
<file path=[Content_Types].xml><?xml version="1.0" encoding="utf-8"?>
<Types xmlns="http://schemas.openxmlformats.org/package/2006/content-types">
  <Default Extension="png" ContentType="image/png"/>
  <Default Extension="jpeg" ContentType="image/jpeg"/>
  <Default Extension="emf" ContentType="image/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32760" yWindow="32760" windowWidth="20490" windowHeight="7755"/>
  </bookViews>
  <sheets>
    <sheet sheetId="2" name="OptiMaxx plus" state="visible" r:id="rId4"/>
    <sheet sheetId="17" name="No Deducible 93" state="hidden" r:id="rId5"/>
    <sheet sheetId="19" name="Deducible 151" state="hidden" r:id="rId6"/>
    <sheet sheetId="20" name="Deducible 185" state="hidden" r:id="rId7"/>
    <sheet sheetId="18" name="Bono" state="hidden" r:id="rId8"/>
    <sheet sheetId="21" name="Resumen" state="hidden" r:id="rId9"/>
    <sheet sheetId="22" name="Hoja1" state="hidden" r:id="rId10"/>
    <sheet sheetId="23" name="Hoja2" state="hidden" r:id="rId11"/>
  </sheets>
  <definedNames>
    <definedName name="Z_4E3BA7BB_7103_4B0B_984E_F9B0612D34E6_.wvu.PrintArea">'OptiMaxx plus'!$B$2:$AH$153</definedName>
    <definedName name="Z_EC1A7031_5F5C_4CD5_8FF6_12DE6DECECD0_.wvu.PrintArea">'OptiMaxx plus'!$B$2:$AH$153</definedName>
    <definedName name="Z_ECC7F292_CCD5_4095_898F_E1B6A0658540_.wvu.PrintArea">'OptiMaxx plus'!$B$2:$AI$79</definedName>
    <definedName name="_xlnm.Print_Area" localSheetId="0">'OptiMaxx plus'!$C3:$AG65</definedName>
  </definedNames>
  <calcPr calcId="171027"/>
</workbook>
</file>

<file path=xl/comments2.xml><?xml version="1.0" encoding="utf-8"?>
<comments xmlns="http://schemas.openxmlformats.org/spreadsheetml/2006/main">
  <authors>
    <author>Author</author>
  </authors>
  <commentList>
    <comment ref="AJ2" authorId="0">
      <text>
        <r>
          <rPr>
            <b/>
            <color indexed="81"/>
            <family val="2"/>
            <sz val="8"/>
            <rFont val="Tahoma"/>
          </rPr>
          <t>Elige el artículo por el cual deseas adquirir tu plan</t>
        </r>
      </text>
    </comment>
    <comment ref="AJ3" authorId="0">
      <text>
        <r>
          <rPr>
            <b/>
            <color indexed="81"/>
            <family val="2"/>
            <sz val="8"/>
            <rFont val="Tahoma"/>
          </rPr>
          <t>Si conoces tu tasa de impuestos, favor de modificarla. De lo contrario elegir 30%</t>
        </r>
      </text>
    </comment>
    <comment ref="AJ22" authorId="0">
      <text>
        <r>
          <rPr>
            <b/>
            <color indexed="81"/>
            <family val="2"/>
            <sz val="8"/>
            <rFont val="Tahoma"/>
          </rPr>
          <t>Elige la cantidad que deseas aportar de acuerdo a la periodicidad que hayas elegido</t>
        </r>
      </text>
    </comment>
  </commentList>
</comments>
</file>

<file path=xl/sharedStrings.xml><?xml version="1.0" encoding="utf-8"?>
<sst xmlns="http://schemas.openxmlformats.org/spreadsheetml/2006/main" count="451" uniqueCount="155">
  <si>
    <t>Simulador OptiMaxx plus</t>
  </si>
  <si>
    <t>Artículo</t>
  </si>
  <si>
    <t>Plazo</t>
  </si>
  <si>
    <t>Periodicidad</t>
  </si>
  <si>
    <t>Actualización con inflación</t>
  </si>
  <si>
    <t>% ISR</t>
  </si>
  <si>
    <t>Comentarios:</t>
  </si>
  <si>
    <t>Fideicomiso Art. 151 (Antes Art. 176)</t>
  </si>
  <si>
    <t>Deducible Art. 151 (Antes Art. 176)</t>
  </si>
  <si>
    <t>Mensual</t>
  </si>
  <si>
    <t>Si</t>
  </si>
  <si>
    <t xml:space="preserve">el monto de inversión no debe ser mayor al 10% del ingreso anual del cliente con un tope máximo de 5 SMGA ($92,290) anualmente , </t>
  </si>
  <si>
    <t>Datos Generales</t>
  </si>
  <si>
    <t>Deducible Art. 185 (Antes Art. 218)</t>
  </si>
  <si>
    <t>Trimestral</t>
  </si>
  <si>
    <t>No</t>
  </si>
  <si>
    <t xml:space="preserve">el monto de inversión no debe ser mayor a $152,000 anualmente , </t>
  </si>
  <si>
    <t>Art. 93 (Antes Art. 109)</t>
  </si>
  <si>
    <t>Semestral</t>
  </si>
  <si>
    <t xml:space="preserve">la distribución entre los diferentes portafolios tiene que sumar 100% , </t>
  </si>
  <si>
    <t>David Emanuel</t>
  </si>
  <si>
    <t>Anual</t>
  </si>
  <si>
    <t>Nombre</t>
  </si>
  <si>
    <t>Edad</t>
  </si>
  <si>
    <t>Aportaciones</t>
  </si>
  <si>
    <t>Características</t>
  </si>
  <si>
    <t>Aportación</t>
  </si>
  <si>
    <t>Tipo de Plan</t>
  </si>
  <si>
    <t>Plazo Comprometido</t>
  </si>
  <si>
    <t>Incremento con Inflación</t>
  </si>
  <si>
    <t>% ISR del Cliente</t>
  </si>
  <si>
    <t>Portafolios</t>
  </si>
  <si>
    <t>Resumen</t>
  </si>
  <si>
    <t>Hombre</t>
  </si>
  <si>
    <t>Conservador</t>
  </si>
  <si>
    <t>Balanceado</t>
  </si>
  <si>
    <t>Dinámico</t>
  </si>
  <si>
    <t>Mujer</t>
  </si>
  <si>
    <t>Pesos</t>
  </si>
  <si>
    <t>Dólares</t>
  </si>
  <si>
    <t>Aportaciones Acumuladas</t>
  </si>
  <si>
    <t>Euros</t>
  </si>
  <si>
    <t>APORRTACION MINIMA</t>
  </si>
  <si>
    <t>mensuales</t>
  </si>
  <si>
    <t>Revaluables</t>
  </si>
  <si>
    <t>China</t>
  </si>
  <si>
    <t>% de Bono Acreditado</t>
  </si>
  <si>
    <t>Bono Acreditado</t>
  </si>
  <si>
    <t>trimestrales</t>
  </si>
  <si>
    <t>Brasil</t>
  </si>
  <si>
    <t>Mercados Emergentes</t>
  </si>
  <si>
    <t>semestrales</t>
  </si>
  <si>
    <t>BRIC</t>
  </si>
  <si>
    <t>Oro</t>
  </si>
  <si>
    <t>anuales</t>
  </si>
  <si>
    <t>Año</t>
  </si>
  <si>
    <t>Aportación Anual</t>
  </si>
  <si>
    <t>Aportación Acumulada</t>
  </si>
  <si>
    <t>Saldo del Fondo</t>
  </si>
  <si>
    <t>Saldo Disponible</t>
  </si>
  <si>
    <t>Saldo disponible neto de retención de impuestos de Allianz</t>
  </si>
  <si>
    <t>APORTACION MAXIMA</t>
  </si>
  <si>
    <t>Retiros</t>
  </si>
  <si>
    <t>Año de Retiro</t>
  </si>
  <si>
    <t>Aportaciones Adicionales</t>
  </si>
  <si>
    <t>Tasa anual proyectada</t>
  </si>
  <si>
    <t>El monto mínimo para cada fondo debe de ser de 12,000 pesos anuales</t>
  </si>
  <si>
    <t>Anualmente desde un inicio</t>
  </si>
  <si>
    <t>Única aportación adicional</t>
  </si>
  <si>
    <t>No aplica</t>
  </si>
  <si>
    <t xml:space="preserve">La  tasa de rendimiento proyectada antes de cargos, de  </t>
  </si>
  <si>
    <t>%,corresponde a una estimación con base en rendimientos históricos, por lo que es de carácter informativo.  Por ningún motivo representa un compromiso futuro para Allianz México S.A., Compañía de Seguros.</t>
  </si>
  <si>
    <t>Moderado</t>
  </si>
  <si>
    <t>Resumen de Resultados</t>
  </si>
  <si>
    <t>Pesos (Mex)</t>
  </si>
  <si>
    <t>Dólares USA</t>
  </si>
  <si>
    <t>Distribución de fondos</t>
  </si>
  <si>
    <t>Portafolio</t>
  </si>
  <si>
    <t>Tasa</t>
  </si>
  <si>
    <t>Conservador Pesos</t>
  </si>
  <si>
    <t>Moderado Pesos</t>
  </si>
  <si>
    <t>Dinámico Pesos</t>
  </si>
  <si>
    <t>Conservador Dólares</t>
  </si>
  <si>
    <t>Interés Anual</t>
  </si>
  <si>
    <t>Moderado Dólares</t>
  </si>
  <si>
    <t>Interés Mensual</t>
  </si>
  <si>
    <t>Dinámico Dólares</t>
  </si>
  <si>
    <t>% Bono</t>
  </si>
  <si>
    <t>Conservador Euros</t>
  </si>
  <si>
    <t>Moderado Euros</t>
  </si>
  <si>
    <t>Dinámico Euros</t>
  </si>
  <si>
    <t>Pesos Revaluables</t>
  </si>
  <si>
    <t>Incremento Inflación</t>
  </si>
  <si>
    <t>Mercado Emergentes</t>
  </si>
  <si>
    <t>Inflación</t>
  </si>
  <si>
    <t>Udi</t>
  </si>
  <si>
    <t>Tasa Ponderada Bruta</t>
  </si>
  <si>
    <t>Saldo Inicial</t>
  </si>
  <si>
    <t>Saldo Comprometido</t>
  </si>
  <si>
    <t>Bono</t>
  </si>
  <si>
    <t>Mes</t>
  </si>
  <si>
    <t>Saldo Anterior</t>
  </si>
  <si>
    <t>Interés</t>
  </si>
  <si>
    <t>Cargo Fijo</t>
  </si>
  <si>
    <t>Cargo Administrativo</t>
  </si>
  <si>
    <t>Cargo Gestión Inversión</t>
  </si>
  <si>
    <t>Saldo Final</t>
  </si>
  <si>
    <t>Saldo Fondo</t>
  </si>
  <si>
    <t>Años</t>
  </si>
  <si>
    <t>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exento de impuestos.</t>
  </si>
  <si>
    <t>La presente ilustración se ofrece únicamente a modo de guía y no debe ser considerada como un contrato desde el punto de vista legal. Para mayores detalles vea el folleto del cliente y las Condiciones de la Póliza. La presente ilustración se ofrece únicamente a modo de guía y no debe ser considerada como un contrato desde el punto de vista legal. Para mayores detalles vea el folleto del cliente y las Condiciones de la Póliza.</t>
  </si>
  <si>
    <t>Aportación Acum.</t>
  </si>
  <si>
    <t>SMG</t>
  </si>
  <si>
    <t>5 SMG</t>
  </si>
  <si>
    <t>15 SMG</t>
  </si>
  <si>
    <t>De acuerdo a la Ley del Impuesto Sobre la Renta, el monto total de las deducciones personales no podrá exceder de la cantidad que resulte menor entre 5 UMAS anuales o del 10% de los ingresos anuales percibidos. El fondo exento a edad 65 será el equivalente a 15 salarios mínimos anuales (dicha exención se podrá realizar cada año) o 90 salarios mínimos anuales en una sola exhibición. Sobre excedente se pagará 20%.</t>
  </si>
  <si>
    <t>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 Dicha retención actualmente es del 20%.</t>
  </si>
  <si>
    <t>Todo retiro es acumulable al ingreso del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t>
  </si>
  <si>
    <t>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t>
  </si>
  <si>
    <t>Todo retiro es acumulable al ingreso de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t>
  </si>
  <si>
    <t>mensual</t>
  </si>
  <si>
    <t>trimestral</t>
  </si>
  <si>
    <t>semestral</t>
  </si>
  <si>
    <t>anual</t>
  </si>
  <si>
    <t>Bono según la tabla</t>
  </si>
  <si>
    <t>Tope 151</t>
  </si>
  <si>
    <t>5 UMA ANUAL</t>
  </si>
  <si>
    <t>Saldo Del Fondo</t>
  </si>
  <si>
    <t>Saldo disponible</t>
  </si>
  <si>
    <t>Saldo neto de retenciones</t>
  </si>
  <si>
    <t>Beneficio Fiscal Reinvertido</t>
  </si>
  <si>
    <t>Tope 185</t>
  </si>
  <si>
    <t>Alternativa del Cliente</t>
  </si>
  <si>
    <t>No Deducible 93</t>
  </si>
  <si>
    <t>Deducible 151</t>
  </si>
  <si>
    <t>Deducible 185</t>
  </si>
  <si>
    <t>Aportación Aual</t>
  </si>
  <si>
    <t>Reinvertido</t>
  </si>
  <si>
    <t>Base 151</t>
  </si>
  <si>
    <t>Base 185</t>
  </si>
  <si>
    <t>Beneficio Fiscal Re-invertido a una tasa del</t>
  </si>
  <si>
    <t>Saldo proyectado a edad de 65</t>
  </si>
  <si>
    <t>De acuerdo a la Ley del Impuesto Sobre la Renta el importe de los depósitos, pagos o adquisiciones a que se refiere este artículo no podrán exceder en el año de calendario de que se trate, del equivalente a $152,000.00, considerando todos los conceptos. Por retiros se cobrará la tasa máxima vigente.</t>
  </si>
  <si>
    <t>Edad después del plazo</t>
  </si>
  <si>
    <t>Saldo proyectado a edad de 65 del cliente</t>
  </si>
  <si>
    <t>Inflación anual</t>
  </si>
  <si>
    <t>Periocidad</t>
  </si>
  <si>
    <t>Saldo sin Bono</t>
  </si>
  <si>
    <t>Aportacion</t>
  </si>
  <si>
    <t>Valor con Inflación</t>
  </si>
  <si>
    <t>Suma</t>
  </si>
  <si>
    <t>Intereses reales</t>
  </si>
  <si>
    <t>Relación Intereses reales / Saldo</t>
  </si>
  <si>
    <t>Retiro</t>
  </si>
  <si>
    <t>Retención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</si>
</sst>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0&quot; años&quot;"/>
    <numFmt numFmtId="165" formatCode="0.0%"/>
    <numFmt numFmtId="166" formatCode="#,##0_ ;-#,##0 "/>
    <numFmt numFmtId="167" formatCode="_-* #,##0.00_-;-* #,##0.00_-;_-* &quot;-&quot;??_-;_-@_-"/>
    <numFmt numFmtId="168" formatCode="#,##0.0"/>
    <numFmt numFmtId="169" formatCode="_-* #,##0_-;-* #,##0_-;_-* &quot;-&quot;??_-;_-@_-"/>
    <numFmt numFmtId="170" formatCode="_-* #,##0.0000_-;-* #,##0.0000_-;_-* &quot;-&quot;??_-;_-@_-"/>
    <numFmt numFmtId="171" formatCode="_-* #,##0.00 _€_-;-* #,##0.00 _€_-;_-* &quot;-&quot;?? _€_-;_-@_-"/>
    <numFmt numFmtId="172" formatCode="0.000%"/>
    <numFmt numFmtId="173" formatCode="0.0000%"/>
  </numFmts>
  <fonts count="42" x14ac:knownFonts="1">
    <font>
      <color theme="1"/>
      <family val="2"/>
      <scheme val="minor"/>
      <sz val="11"/>
      <name val="Calibri"/>
    </font>
    <font>
      <family val="3"/>
      <sz val="9"/>
      <name val="Allianz Sans"/>
    </font>
    <font>
      <color indexed="9"/>
      <family val="3"/>
      <sz val="9"/>
      <name val="Allianz Sans"/>
    </font>
    <font>
      <family val="3"/>
      <sz val="10"/>
      <name val="Allianz Sans"/>
    </font>
    <font>
      <b/>
      <family val="3"/>
      <sz val="9"/>
      <name val="Allianz Sans"/>
    </font>
    <font>
      <color indexed="9"/>
      <family val="3"/>
      <sz val="22"/>
      <name val="Allianz Sans"/>
    </font>
    <font>
      <b/>
      <u/>
      <color indexed="56"/>
      <family val="3"/>
      <sz val="10"/>
      <name val="Allianz Sans"/>
    </font>
    <font>
      <color indexed="9"/>
      <family val="3"/>
      <sz val="16"/>
      <name val="Allianz Sans"/>
    </font>
    <font>
      <b/>
      <color indexed="10"/>
      <family val="3"/>
      <sz val="10"/>
      <name val="Allianz Sans"/>
    </font>
    <font>
      <b/>
      <color indexed="9"/>
      <family val="3"/>
      <sz val="9"/>
      <name val="Allianz Sans"/>
    </font>
    <font>
      <b/>
      <color indexed="56"/>
      <family val="3"/>
      <sz val="10"/>
      <name val="Allianz Sans"/>
    </font>
    <font>
      <color indexed="56"/>
      <family val="3"/>
      <sz val="10"/>
      <name val="Allianz Sans"/>
    </font>
    <font>
      <b/>
      <family val="3"/>
      <sz val="10"/>
      <name val="Allianz Sans"/>
    </font>
    <font>
      <color indexed="56"/>
      <family val="3"/>
      <sz val="8"/>
      <name val="Allianz Sans"/>
    </font>
    <font>
      <b/>
      <color indexed="56"/>
      <family val="3"/>
      <sz val="8"/>
      <name val="Allianz Sans"/>
    </font>
    <font>
      <color indexed="56"/>
      <family val="3"/>
      <sz val="9"/>
      <name val="Allianz Sans"/>
    </font>
    <font>
      <b/>
      <color indexed="10"/>
      <family val="3"/>
      <sz val="9"/>
      <name val="Allianz Sans"/>
    </font>
    <font>
      <family val="3"/>
      <sz val="8"/>
      <name val="Allianz Sans"/>
    </font>
    <font>
      <color indexed="10"/>
      <family val="3"/>
      <sz val="8"/>
      <name val="Allianz Sans"/>
    </font>
    <font>
      <color indexed="9"/>
      <family val="3"/>
      <sz val="11"/>
      <name val="Allianz Sans"/>
    </font>
    <font>
      <color indexed="63"/>
      <family val="3"/>
      <sz val="10"/>
      <name val="Allianz Sans"/>
    </font>
    <font>
      <b/>
      <u/>
      <color theme="0"/>
      <family val="3"/>
      <sz val="9"/>
      <name val="Allianz Sans"/>
    </font>
    <font>
      <color indexed="10"/>
      <family val="3"/>
      <sz val="10"/>
      <name val="Allianz Sans"/>
    </font>
    <font>
      <color indexed="58"/>
      <family val="3"/>
      <sz val="10"/>
      <name val="Allianz Sans"/>
    </font>
    <font>
      <b/>
      <u/>
      <color indexed="9"/>
      <family val="3"/>
      <sz val="9"/>
      <name val="Allianz Sans"/>
    </font>
    <font>
      <color indexed="63"/>
      <family val="3"/>
      <sz val="9"/>
      <name val="Allianz Sans"/>
    </font>
    <font>
      <b/>
      <color indexed="56"/>
      <family val="3"/>
      <sz val="9"/>
      <name val="Allianz Sans"/>
    </font>
    <font>
      <b/>
      <family val="3"/>
      <sz val="8"/>
      <name val="Allianz Sans"/>
    </font>
    <font>
      <color indexed="63"/>
      <family val="3"/>
      <sz val="8"/>
      <name val="Allianz Sans"/>
    </font>
    <font>
      <color indexed="10"/>
      <family val="3"/>
      <sz val="9"/>
      <name val="Allianz Sans"/>
    </font>
    <font>
      <i/>
      <family val="3"/>
      <sz val="8"/>
      <name val="Allianz Sans"/>
    </font>
    <font>
      <family val="3"/>
      <sz val="7"/>
      <name val="Allianz Sans"/>
    </font>
    <font>
      <color indexed="9"/>
      <family val="3"/>
      <sz val="7"/>
      <name val="Allianz Sans"/>
    </font>
    <font>
      <color indexed="9"/>
      <family val="3"/>
      <sz val="8"/>
      <name val="Allianz Sans"/>
    </font>
    <font>
      <color indexed="18"/>
      <family val="2"/>
      <sz val="8"/>
      <name val="Calibri"/>
    </font>
    <font>
      <color indexed="18"/>
      <family val="2"/>
      <sz val="9"/>
      <name val="Calibri"/>
    </font>
    <font>
      <b/>
      <family val="2"/>
      <sz val="10"/>
      <name val="Arial"/>
    </font>
    <font>
      <sz val="10"/>
      <name val="Arial"/>
    </font>
    <font>
      <family val="2"/>
      <sz val="9"/>
      <name val="Calibri"/>
    </font>
    <font>
      <b/>
      <family val="2"/>
      <sz val="9"/>
      <name val="Calibri"/>
    </font>
    <font>
      <color indexed="9"/>
      <family val="2"/>
      <sz val="9"/>
      <name val="Calibri"/>
    </font>
    <font>
      <family val="2"/>
      <sz val="10"/>
      <name val="Arial"/>
    </font>
  </fonts>
  <fills count="16">
    <fill>
      <patternFill patternType="none"/>
    </fill>
    <fill>
      <patternFill patternType="gray125"/>
    </fill>
    <fill>
      <patternFill patternType="solid">
        <fgColor indexed="9"/>
        <bgColor indexed="64"/>
      </patternFill>
    </fill>
    <fill>
      <patternFill patternType="solid">
        <fgColor indexed="56"/>
        <bgColor indexed="64"/>
      </patternFill>
    </fill>
    <fill>
      <patternFill patternType="solid">
        <fgColor indexed="22"/>
        <bgColor indexed="64"/>
      </patternFill>
    </fill>
    <fill>
      <patternFill patternType="solid">
        <fgColor rgb="FF080163"/>
        <bgColor indexed="64"/>
      </patternFill>
    </fill>
    <fill>
      <patternFill patternType="solid">
        <fgColor indexed="9"/>
        <bgColor indexed="44"/>
      </patternFill>
    </fill>
    <fill>
      <patternFill patternType="solid">
        <fgColor indexed="17"/>
        <bgColor indexed="64"/>
      </patternFill>
    </fill>
    <fill>
      <patternFill patternType="solid">
        <fgColor indexed="13"/>
        <bgColor indexed="64"/>
      </patternFill>
    </fill>
    <fill>
      <patternFill patternType="solid">
        <fgColor rgb="FFFFFF00"/>
        <bgColor indexed="64"/>
      </patternFill>
    </fill>
    <fill>
      <patternFill patternType="solid">
        <fgColor theme="6" tint="0.3999755851924192"/>
        <bgColor indexed="64"/>
      </patternFill>
    </fill>
    <fill>
      <patternFill patternType="solid">
        <fgColor theme="4" tint="0.3999755851924192"/>
        <bgColor indexed="64"/>
      </patternFill>
    </fill>
    <fill>
      <patternFill patternType="solid">
        <fgColor rgb="FFFFC000"/>
        <bgColor indexed="64"/>
      </patternFill>
    </fill>
    <fill>
      <patternFill patternType="solid">
        <fgColor rgb="FF92D050"/>
        <bgColor indexed="64"/>
      </patternFill>
    </fill>
    <fill>
      <patternFill patternType="solid">
        <fgColor indexed="18"/>
        <bgColor indexed="64"/>
      </patternFill>
    </fill>
    <fill>
      <patternFill patternType="solid">
        <fgColor theme="0"/>
        <bgColor indexed="64"/>
      </patternFill>
    </fill>
  </fills>
  <borders count="7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56"/>
      </left>
      <right/>
      <top style="medium">
        <color indexed="56"/>
      </top>
      <bottom/>
      <diagonal/>
    </border>
    <border>
      <left/>
      <right/>
      <top style="medium">
        <color indexed="56"/>
      </top>
      <bottom/>
      <diagonal/>
    </border>
    <border>
      <left/>
      <right style="medium">
        <color indexed="56"/>
      </right>
      <top style="medium">
        <color indexed="56"/>
      </top>
      <bottom/>
      <diagonal/>
    </border>
    <border>
      <left/>
      <right/>
      <top style="thin">
        <color indexed="9"/>
      </top>
      <bottom/>
      <diagonal/>
    </border>
    <border>
      <left style="medium">
        <color indexed="56"/>
      </left>
      <right/>
      <top/>
      <bottom style="medium">
        <color indexed="56"/>
      </bottom>
      <diagonal/>
    </border>
    <border>
      <left/>
      <right/>
      <top/>
      <bottom style="medium">
        <color indexed="56"/>
      </bottom>
      <diagonal/>
    </border>
    <border>
      <left/>
      <right style="medium">
        <color indexed="56"/>
      </right>
      <top/>
      <bottom style="medium">
        <color indexed="56"/>
      </bottom>
      <diagonal/>
    </border>
    <border>
      <left style="medium">
        <color indexed="56"/>
      </left>
      <right/>
      <top/>
      <bottom/>
      <diagonal/>
    </border>
    <border>
      <left/>
      <right style="medium">
        <color indexed="56"/>
      </right>
      <top/>
      <bottom/>
      <diagonal/>
    </border>
    <border>
      <left style="medium">
        <color indexed="55"/>
      </left>
      <right/>
      <top style="medium">
        <color indexed="55"/>
      </top>
      <bottom style="medium">
        <color indexed="55"/>
      </bottom>
      <diagonal/>
    </border>
    <border>
      <left/>
      <right/>
      <top style="medium">
        <color indexed="55"/>
      </top>
      <bottom style="medium">
        <color indexed="55"/>
      </bottom>
      <diagonal/>
    </border>
    <border>
      <left/>
      <right style="medium">
        <color indexed="55"/>
      </right>
      <top style="medium">
        <color indexed="55"/>
      </top>
      <bottom style="medium">
        <color indexed="55"/>
      </bottom>
      <diagonal/>
    </border>
    <border>
      <left/>
      <right/>
      <top style="medium">
        <color indexed="55"/>
      </top>
      <bottom/>
      <diagonal/>
    </border>
    <border>
      <left style="medium">
        <color indexed="55"/>
      </left>
      <right/>
      <top style="medium">
        <color indexed="55"/>
      </top>
      <bottom/>
      <diagonal/>
    </border>
    <border>
      <left/>
      <right style="medium">
        <color indexed="55"/>
      </right>
      <top style="medium">
        <color indexed="55"/>
      </top>
      <bottom/>
      <diagonal/>
    </border>
    <border>
      <left style="medium">
        <color indexed="55"/>
      </left>
      <right/>
      <top/>
      <bottom style="medium">
        <color indexed="55"/>
      </bottom>
      <diagonal/>
    </border>
    <border>
      <left/>
      <right/>
      <top/>
      <bottom style="medium">
        <color indexed="55"/>
      </bottom>
      <diagonal/>
    </border>
    <border>
      <left/>
      <right style="medium">
        <color indexed="55"/>
      </right>
      <top/>
      <bottom style="medium">
        <color indexed="55"/>
      </bottom>
      <diagonal/>
    </border>
    <border>
      <left style="medium">
        <color indexed="56"/>
      </left>
      <right/>
      <top style="medium">
        <color indexed="56"/>
      </top>
      <bottom style="medium">
        <color indexed="56"/>
      </bottom>
      <diagonal/>
    </border>
    <border>
      <left/>
      <right/>
      <top style="medium">
        <color indexed="56"/>
      </top>
      <bottom style="medium">
        <color indexed="56"/>
      </bottom>
      <diagonal/>
    </border>
    <border>
      <left/>
      <right style="medium">
        <color indexed="56"/>
      </right>
      <top style="medium">
        <color indexed="56"/>
      </top>
      <bottom style="medium">
        <color indexed="56"/>
      </bottom>
      <diagonal/>
    </border>
    <border>
      <left style="medium">
        <color indexed="56"/>
      </left>
      <right style="thin">
        <color indexed="9"/>
      </right>
      <top/>
      <bottom style="thin">
        <color indexed="9"/>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right/>
      <top/>
      <bottom style="thin">
        <color indexed="9"/>
      </bottom>
      <diagonal/>
    </border>
    <border>
      <left/>
      <right style="medium">
        <color indexed="56"/>
      </right>
      <top/>
      <bottom style="thin">
        <color indexed="9"/>
      </bottom>
      <diagonal/>
    </border>
    <border>
      <left style="medium">
        <color indexed="56"/>
      </left>
      <right/>
      <top style="thin">
        <color indexed="9"/>
      </top>
      <bottom style="thin">
        <color indexed="9"/>
      </bottom>
      <diagonal/>
    </border>
    <border>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top style="thin">
        <color indexed="9"/>
      </top>
      <bottom style="thin">
        <color indexed="9"/>
      </bottom>
      <diagonal/>
    </border>
    <border>
      <left/>
      <right style="medium">
        <color indexed="56"/>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medium">
        <color indexed="56"/>
      </left>
      <right/>
      <top style="thin">
        <color indexed="9"/>
      </top>
      <bottom/>
      <diagonal/>
    </border>
    <border>
      <left/>
      <right style="thin">
        <color indexed="9"/>
      </right>
      <top style="thin">
        <color indexed="9"/>
      </top>
      <bottom/>
      <diagonal/>
    </border>
    <border>
      <left style="thin">
        <color indexed="9"/>
      </left>
      <right/>
      <top style="thin">
        <color indexed="9"/>
      </top>
      <bottom/>
      <diagonal/>
    </border>
    <border>
      <left/>
      <right style="medium">
        <color indexed="56"/>
      </right>
      <top style="thin">
        <color indexed="9"/>
      </top>
      <bottom/>
      <diagonal/>
    </border>
    <border>
      <left style="medium">
        <color indexed="56"/>
      </left>
      <right style="thin">
        <color indexed="9"/>
      </right>
      <top style="medium">
        <color indexed="56"/>
      </top>
      <bottom style="thin">
        <color indexed="9"/>
      </bottom>
      <diagonal/>
    </border>
    <border>
      <left style="thin">
        <color indexed="9"/>
      </left>
      <right style="thin">
        <color indexed="9"/>
      </right>
      <top style="medium">
        <color indexed="56"/>
      </top>
      <bottom style="thin">
        <color indexed="9"/>
      </bottom>
      <diagonal/>
    </border>
    <border>
      <left style="thin">
        <color indexed="9"/>
      </left>
      <right style="medium">
        <color indexed="56"/>
      </right>
      <top style="medium">
        <color indexed="56"/>
      </top>
      <bottom style="thin">
        <color indexed="9"/>
      </bottom>
      <diagonal/>
    </border>
    <border>
      <left/>
      <right style="thin">
        <color indexed="9"/>
      </right>
      <top style="medium">
        <color indexed="56"/>
      </top>
      <bottom style="thin">
        <color indexed="9"/>
      </bottom>
      <diagonal/>
    </border>
    <border>
      <left style="thin">
        <color indexed="9"/>
      </left>
      <right/>
      <top style="medium">
        <color indexed="56"/>
      </top>
      <bottom style="thin">
        <color indexed="9"/>
      </bottom>
      <diagonal/>
    </border>
    <border>
      <left/>
      <right/>
      <top style="medium">
        <color indexed="56"/>
      </top>
      <bottom style="thin">
        <color indexed="9"/>
      </bottom>
      <diagonal/>
    </border>
    <border>
      <left style="medium">
        <color indexed="56"/>
      </left>
      <right style="thin">
        <color indexed="9"/>
      </right>
      <top style="thin">
        <color indexed="9"/>
      </top>
      <bottom style="medium">
        <color indexed="56"/>
      </bottom>
      <diagonal/>
    </border>
    <border>
      <left style="thin">
        <color indexed="9"/>
      </left>
      <right style="thin">
        <color indexed="9"/>
      </right>
      <top style="thin">
        <color indexed="9"/>
      </top>
      <bottom style="medium">
        <color indexed="56"/>
      </bottom>
      <diagonal/>
    </border>
    <border>
      <left style="thin">
        <color indexed="9"/>
      </left>
      <right style="medium">
        <color indexed="56"/>
      </right>
      <top style="thin">
        <color indexed="9"/>
      </top>
      <bottom style="medium">
        <color indexed="56"/>
      </bottom>
      <diagonal/>
    </border>
    <border>
      <left/>
      <right style="thin">
        <color indexed="9"/>
      </right>
      <top style="thin">
        <color indexed="9"/>
      </top>
      <bottom style="medium">
        <color indexed="56"/>
      </bottom>
      <diagonal/>
    </border>
    <border>
      <left style="thin">
        <color indexed="9"/>
      </left>
      <right/>
      <top style="thin">
        <color indexed="9"/>
      </top>
      <bottom style="medium">
        <color indexed="56"/>
      </bottom>
      <diagonal/>
    </border>
    <border>
      <left/>
      <right/>
      <top style="thin">
        <color indexed="9"/>
      </top>
      <bottom style="medium">
        <color indexed="56"/>
      </bottom>
      <diagonal/>
    </border>
    <border>
      <left style="medium">
        <color indexed="56"/>
      </left>
      <right/>
      <top/>
      <bottom style="thin">
        <color indexed="56"/>
      </bottom>
      <diagonal/>
    </border>
    <border>
      <left/>
      <right/>
      <top/>
      <bottom style="thin">
        <color indexed="56"/>
      </bottom>
      <diagonal/>
    </border>
    <border>
      <left/>
      <right style="medium">
        <color indexed="56"/>
      </right>
      <top/>
      <bottom style="thin">
        <color indexed="56"/>
      </bottom>
      <diagonal/>
    </border>
    <border>
      <left style="medium">
        <color indexed="56"/>
      </left>
      <right style="thin">
        <color indexed="9"/>
      </right>
      <top style="thin">
        <color indexed="56"/>
      </top>
      <bottom style="thin">
        <color indexed="56"/>
      </bottom>
      <diagonal/>
    </border>
    <border>
      <left style="thin">
        <color indexed="9"/>
      </left>
      <right/>
      <top style="thin">
        <color indexed="56"/>
      </top>
      <bottom style="thin">
        <color indexed="56"/>
      </bottom>
      <diagonal/>
    </border>
    <border>
      <left/>
      <right/>
      <top style="thin">
        <color indexed="56"/>
      </top>
      <bottom style="thin">
        <color indexed="56"/>
      </bottom>
      <diagonal/>
    </border>
    <border>
      <left/>
      <right style="thin">
        <color indexed="9"/>
      </right>
      <top style="thin">
        <color indexed="56"/>
      </top>
      <bottom style="thin">
        <color indexed="56"/>
      </bottom>
      <diagonal/>
    </border>
    <border>
      <left style="thin">
        <color indexed="9"/>
      </left>
      <right style="medium">
        <color indexed="56"/>
      </right>
      <top style="thin">
        <color indexed="56"/>
      </top>
      <bottom style="thin">
        <color indexed="56"/>
      </bottom>
      <diagonal/>
    </border>
    <border>
      <left/>
      <right/>
      <top/>
      <bottom style="thin">
        <color indexed="64"/>
      </bottom>
      <diagonal/>
    </border>
    <border>
      <left style="medium">
        <color indexed="56"/>
      </left>
      <right style="thin">
        <color indexed="9"/>
      </right>
      <top style="thin">
        <color indexed="56"/>
      </top>
      <bottom style="thin">
        <color indexed="9"/>
      </bottom>
      <diagonal/>
    </border>
    <border>
      <left style="thin">
        <color indexed="9"/>
      </left>
      <right style="thin">
        <color indexed="9"/>
      </right>
      <top style="thin">
        <color indexed="56"/>
      </top>
      <bottom style="thin">
        <color indexed="9"/>
      </bottom>
      <diagonal/>
    </border>
    <border>
      <left style="thin">
        <color indexed="9"/>
      </left>
      <right style="medium">
        <color indexed="56"/>
      </right>
      <top style="thin">
        <color indexed="56"/>
      </top>
      <bottom style="thin">
        <color indexed="9"/>
      </bottom>
      <diagonal/>
    </border>
    <border>
      <left style="medium">
        <color indexed="56"/>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56"/>
      </right>
      <top style="thin">
        <color indexed="9"/>
      </top>
      <bottom style="thin">
        <color indexed="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479">
    <xf numFmtId="0" fontId="0" fillId="0" borderId="0" xfId="0"/>
    <xf numFmtId="3" fontId="1" fillId="0" borderId="0" xfId="0" applyNumberFormat="1" applyFont="1" applyAlignment="1">
      <alignment vertical="center"/>
    </xf>
    <xf numFmtId="3" fontId="2" fillId="2" borderId="0" xfId="0" applyNumberFormat="1" applyFont="1" applyFill="1" applyAlignment="1">
      <alignment vertical="center"/>
    </xf>
    <xf numFmtId="3" fontId="1" fillId="2" borderId="0" xfId="0" applyNumberFormat="1" applyFont="1" applyFill="1" applyAlignment="1">
      <alignment vertical="center"/>
    </xf>
    <xf numFmtId="3" fontId="1" fillId="3" borderId="0" xfId="0" applyNumberFormat="1" applyFont="1" applyFill="1" applyAlignment="1">
      <alignment vertical="center"/>
    </xf>
    <xf numFmtId="3" fontId="2" fillId="3" borderId="0" xfId="0" applyNumberFormat="1" applyFont="1" applyFill="1" applyAlignment="1">
      <alignment vertical="center"/>
    </xf>
    <xf numFmtId="0" fontId="3" fillId="0" borderId="0" xfId="0" applyFont="1"/>
    <xf numFmtId="3" fontId="4" fillId="4" borderId="1" xfId="0" applyNumberFormat="1" applyFont="1" applyFill="1" applyBorder="1" applyAlignment="1" applyProtection="1">
      <alignment horizontal="center" vertical="center"/>
      <protection locked="0"/>
    </xf>
    <xf numFmtId="3" fontId="4" fillId="4" borderId="2" xfId="0" applyNumberFormat="1" applyFont="1" applyFill="1" applyBorder="1" applyAlignment="1" applyProtection="1">
      <alignment horizontal="center" vertical="center"/>
      <protection locked="0"/>
    </xf>
    <xf numFmtId="3" fontId="4" fillId="4" borderId="3" xfId="0" applyNumberFormat="1" applyFont="1" applyFill="1" applyBorder="1" applyAlignment="1" applyProtection="1">
      <alignment horizontal="center" vertical="center"/>
      <protection locked="0"/>
    </xf>
    <xf numFmtId="3" fontId="5" fillId="5" borderId="4" xfId="0" applyNumberFormat="1" applyFont="1" applyFill="1" applyBorder="1" applyAlignment="1">
      <alignment horizontal="center" vertical="center" wrapText="1"/>
    </xf>
    <xf numFmtId="3" fontId="5" fillId="5" borderId="5" xfId="0" applyNumberFormat="1" applyFont="1" applyFill="1" applyBorder="1" applyAlignment="1">
      <alignment horizontal="center" vertical="center" wrapText="1"/>
    </xf>
    <xf numFmtId="3" fontId="5" fillId="5" borderId="6" xfId="0" applyNumberFormat="1" applyFont="1" applyFill="1" applyBorder="1" applyAlignment="1">
      <alignment horizontal="center" vertical="center" wrapText="1"/>
    </xf>
    <xf numFmtId="0" fontId="3" fillId="0" borderId="7" xfId="0" applyFon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3" fillId="0" borderId="6" xfId="0" applyFont="1" applyBorder="1" applyAlignment="1">
      <alignment horizontal="center"/>
    </xf>
    <xf numFmtId="9" fontId="4" fillId="4" borderId="1" xfId="0" applyNumberFormat="1" applyFont="1" applyFill="1" applyBorder="1" applyAlignment="1" applyProtection="1">
      <alignment horizontal="center" vertical="center"/>
      <protection locked="0"/>
    </xf>
    <xf numFmtId="9" fontId="4" fillId="4" borderId="2" xfId="0" applyNumberFormat="1" applyFont="1" applyFill="1" applyBorder="1" applyAlignment="1" applyProtection="1">
      <alignment horizontal="center" vertical="center"/>
      <protection locked="0"/>
    </xf>
    <xf numFmtId="9" fontId="4" fillId="4" borderId="3" xfId="0" applyNumberFormat="1" applyFont="1" applyFill="1" applyBorder="1" applyAlignment="1" applyProtection="1">
      <alignment horizontal="center" vertical="center"/>
      <protection locked="0"/>
    </xf>
    <xf numFmtId="3" fontId="2" fillId="3" borderId="0" xfId="0" applyNumberFormat="1" applyFont="1" applyFill="1" applyAlignment="1">
      <alignment horizontal="center" vertical="center"/>
    </xf>
    <xf numFmtId="3" fontId="5" fillId="5" borderId="8" xfId="0" applyNumberFormat="1" applyFont="1" applyFill="1" applyBorder="1" applyAlignment="1">
      <alignment horizontal="center" vertical="center" wrapText="1"/>
    </xf>
    <xf numFmtId="3" fontId="5" fillId="5" borderId="9" xfId="0" applyNumberFormat="1" applyFont="1" applyFill="1" applyBorder="1" applyAlignment="1">
      <alignment horizontal="center" vertical="center" wrapText="1"/>
    </xf>
    <xf numFmtId="3" fontId="5" fillId="5" borderId="10" xfId="0" applyNumberFormat="1" applyFont="1" applyFill="1" applyBorder="1" applyAlignment="1">
      <alignment horizontal="center" vertical="center" wrapText="1"/>
    </xf>
    <xf numFmtId="0" fontId="3" fillId="0" borderId="0" xfId="0" applyFont="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2" fillId="3" borderId="0" xfId="0" applyFont="1" applyFill="1" applyAlignment="1">
      <alignment horizontal="center" vertical="center"/>
    </xf>
    <xf numFmtId="9" fontId="2" fillId="3" borderId="0" xfId="0" applyNumberFormat="1" applyFont="1" applyFill="1" applyAlignment="1">
      <alignment horizontal="center" vertical="center"/>
    </xf>
    <xf numFmtId="3" fontId="1" fillId="0" borderId="4" xfId="0" applyNumberFormat="1" applyFont="1" applyBorder="1" applyAlignment="1">
      <alignment vertical="center"/>
    </xf>
    <xf numFmtId="3" fontId="6" fillId="0" borderId="5" xfId="0" applyNumberFormat="1" applyFont="1" applyBorder="1" applyAlignment="1">
      <alignment vertical="center" wrapText="1"/>
    </xf>
    <xf numFmtId="3" fontId="7" fillId="0" borderId="5" xfId="0" applyNumberFormat="1" applyFont="1" applyBorder="1" applyAlignment="1">
      <alignment horizontal="center" vertical="center" wrapText="1"/>
    </xf>
    <xf numFmtId="3" fontId="7" fillId="0" borderId="6" xfId="0" applyNumberFormat="1" applyFont="1" applyBorder="1" applyAlignment="1">
      <alignment horizontal="center" vertical="center" wrapText="1"/>
    </xf>
    <xf numFmtId="3" fontId="7" fillId="0" borderId="0" xfId="0" applyNumberFormat="1" applyFont="1" applyAlignment="1">
      <alignment horizontal="center" vertical="center" wrapText="1"/>
    </xf>
    <xf numFmtId="0" fontId="2" fillId="3" borderId="0" xfId="0" applyFont="1" applyFill="1" applyAlignment="1">
      <alignment horizontal="left" vertical="center"/>
    </xf>
    <xf numFmtId="3" fontId="1" fillId="0" borderId="11" xfId="0" applyNumberFormat="1" applyFont="1" applyBorder="1" applyAlignment="1">
      <alignment vertical="center"/>
    </xf>
    <xf numFmtId="3" fontId="6" fillId="0" borderId="0" xfId="0" applyNumberFormat="1" applyFont="1" applyAlignment="1">
      <alignment vertical="center" wrapText="1"/>
    </xf>
    <xf numFmtId="3" fontId="1" fillId="0" borderId="12" xfId="0" applyNumberFormat="1" applyFont="1" applyBorder="1" applyAlignment="1">
      <alignment vertical="center"/>
    </xf>
    <xf numFmtId="3" fontId="8" fillId="0" borderId="0" xfId="0" applyNumberFormat="1" applyFont="1" applyAlignment="1">
      <alignment horizontal="center" wrapText="1"/>
    </xf>
    <xf numFmtId="3" fontId="9" fillId="3" borderId="0" xfId="0" applyNumberFormat="1" applyFont="1" applyFill="1" applyAlignment="1">
      <alignment vertical="center"/>
    </xf>
    <xf numFmtId="3" fontId="10" fillId="6" borderId="13" xfId="0" applyNumberFormat="1" applyFont="1" applyFill="1" applyBorder="1" applyAlignment="1" applyProtection="1">
      <alignment horizontal="center" vertical="center"/>
      <protection locked="0"/>
    </xf>
    <xf numFmtId="3" fontId="10" fillId="6" borderId="14" xfId="0" applyNumberFormat="1" applyFont="1" applyFill="1" applyBorder="1" applyAlignment="1" applyProtection="1">
      <alignment horizontal="center" vertical="center"/>
      <protection locked="0"/>
    </xf>
    <xf numFmtId="3" fontId="10" fillId="6" borderId="15" xfId="0" applyNumberFormat="1" applyFont="1" applyFill="1" applyBorder="1" applyAlignment="1" applyProtection="1">
      <alignment horizontal="center" vertical="center"/>
      <protection locked="0"/>
    </xf>
    <xf numFmtId="3" fontId="3" fillId="0" borderId="0" xfId="0" applyNumberFormat="1" applyFont="1" applyAlignment="1">
      <alignment vertical="center"/>
    </xf>
    <xf numFmtId="164" fontId="10" fillId="6" borderId="13" xfId="0" applyNumberFormat="1" applyFont="1" applyFill="1" applyBorder="1" applyAlignment="1" applyProtection="1">
      <alignment horizontal="center" vertical="center"/>
      <protection locked="0"/>
    </xf>
    <xf numFmtId="164" fontId="10" fillId="6" borderId="14" xfId="0" applyNumberFormat="1" applyFont="1" applyFill="1" applyBorder="1" applyAlignment="1" applyProtection="1">
      <alignment horizontal="center" vertical="center"/>
      <protection locked="0"/>
    </xf>
    <xf numFmtId="164" fontId="10" fillId="6" borderId="15" xfId="0" applyNumberFormat="1" applyFont="1" applyFill="1" applyBorder="1" applyAlignment="1" applyProtection="1">
      <alignment horizontal="center" vertical="center"/>
      <protection locked="0"/>
    </xf>
    <xf numFmtId="3" fontId="1" fillId="0" borderId="5" xfId="0" applyNumberFormat="1" applyFont="1" applyBorder="1" applyAlignment="1">
      <alignment vertical="center"/>
    </xf>
    <xf numFmtId="3" fontId="1" fillId="0" borderId="6" xfId="0" applyNumberFormat="1" applyFont="1" applyBorder="1" applyAlignment="1">
      <alignment vertical="center"/>
    </xf>
    <xf numFmtId="3" fontId="11" fillId="0" borderId="0" xfId="0" applyNumberFormat="1" applyFont="1" applyAlignment="1">
      <alignment vertical="top"/>
    </xf>
    <xf numFmtId="3" fontId="12" fillId="0" borderId="0" xfId="0" applyNumberFormat="1" applyFont="1" applyAlignment="1">
      <alignment vertical="top"/>
    </xf>
    <xf numFmtId="3" fontId="12" fillId="0" borderId="0" xfId="0" applyNumberFormat="1" applyFont="1" applyAlignment="1">
      <alignment vertical="center"/>
    </xf>
    <xf numFmtId="3" fontId="11" fillId="0" borderId="0" xfId="0" applyNumberFormat="1" applyFont="1" applyAlignment="1">
      <alignment horizontal="center" vertical="top"/>
    </xf>
    <xf numFmtId="3" fontId="13" fillId="0" borderId="12" xfId="0" applyNumberFormat="1" applyFont="1" applyBorder="1" applyAlignment="1">
      <alignment vertical="top"/>
    </xf>
    <xf numFmtId="3" fontId="12" fillId="0" borderId="12" xfId="0" applyNumberFormat="1" applyFont="1" applyBorder="1" applyAlignment="1">
      <alignment vertical="top"/>
    </xf>
    <xf numFmtId="3" fontId="1" fillId="2" borderId="8" xfId="0" applyNumberFormat="1" applyFont="1" applyFill="1" applyBorder="1" applyAlignment="1">
      <alignment vertical="center"/>
    </xf>
    <xf numFmtId="164" fontId="11" fillId="6" borderId="9" xfId="0" applyNumberFormat="1" applyFont="1" applyFill="1" applyBorder="1" applyAlignment="1" applyProtection="1">
      <alignment horizontal="center" vertical="center" wrapText="1"/>
      <protection locked="0"/>
    </xf>
    <xf numFmtId="3" fontId="1" fillId="2" borderId="9" xfId="0" applyNumberFormat="1" applyFont="1" applyFill="1" applyBorder="1" applyAlignment="1">
      <alignment vertical="center" wrapText="1"/>
    </xf>
    <xf numFmtId="3" fontId="13" fillId="2" borderId="10" xfId="0" applyNumberFormat="1" applyFont="1" applyFill="1" applyBorder="1" applyAlignment="1">
      <alignment vertical="top" wrapText="1"/>
    </xf>
    <xf numFmtId="3" fontId="13" fillId="2" borderId="0" xfId="0" applyNumberFormat="1" applyFont="1" applyFill="1" applyAlignment="1">
      <alignment vertical="top" wrapText="1"/>
    </xf>
    <xf numFmtId="164" fontId="11" fillId="6" borderId="11" xfId="0" applyNumberFormat="1" applyFont="1" applyFill="1" applyBorder="1" applyAlignment="1" applyProtection="1">
      <alignment horizontal="center" vertical="center" wrapText="1"/>
      <protection locked="0"/>
    </xf>
    <xf numFmtId="164" fontId="11" fillId="6" borderId="0" xfId="0" applyNumberFormat="1" applyFont="1" applyFill="1" applyAlignment="1" applyProtection="1">
      <alignment horizontal="center" vertical="center" wrapText="1"/>
      <protection locked="0"/>
    </xf>
    <xf numFmtId="164" fontId="11" fillId="6" borderId="12" xfId="0" applyNumberFormat="1" applyFont="1" applyFill="1" applyBorder="1" applyAlignment="1" applyProtection="1">
      <alignment horizontal="center" vertical="center" wrapText="1"/>
      <protection locked="0"/>
    </xf>
    <xf numFmtId="3" fontId="1" fillId="2" borderId="0" xfId="0" applyNumberFormat="1" applyFont="1" applyFill="1" applyAlignment="1">
      <alignment vertical="center" wrapText="1"/>
    </xf>
    <xf numFmtId="3" fontId="1" fillId="2" borderId="4" xfId="0" applyNumberFormat="1" applyFont="1" applyFill="1" applyBorder="1" applyAlignment="1">
      <alignment vertical="center"/>
    </xf>
    <xf numFmtId="3" fontId="6" fillId="0" borderId="5" xfId="0" applyNumberFormat="1" applyFont="1" applyBorder="1" applyAlignment="1">
      <alignment horizontal="left" vertical="center" wrapText="1"/>
    </xf>
    <xf numFmtId="3" fontId="6" fillId="0" borderId="6" xfId="0" applyNumberFormat="1" applyFont="1" applyBorder="1" applyAlignment="1">
      <alignment vertical="center" wrapText="1"/>
    </xf>
    <xf numFmtId="3" fontId="6" fillId="0" borderId="5" xfId="0" applyNumberFormat="1" applyFont="1" applyBorder="1" applyAlignment="1">
      <alignment horizontal="center" vertical="center" wrapText="1"/>
    </xf>
    <xf numFmtId="3" fontId="6" fillId="0" borderId="11" xfId="0" applyNumberFormat="1" applyFont="1" applyBorder="1" applyAlignment="1">
      <alignment vertical="center" wrapText="1"/>
    </xf>
    <xf numFmtId="3" fontId="6" fillId="0" borderId="12" xfId="0" applyNumberFormat="1" applyFont="1" applyBorder="1" applyAlignment="1">
      <alignment vertical="center" wrapText="1"/>
    </xf>
    <xf numFmtId="3" fontId="1" fillId="2" borderId="11" xfId="0" applyNumberFormat="1" applyFont="1" applyFill="1" applyBorder="1" applyAlignment="1">
      <alignment vertical="center"/>
    </xf>
    <xf numFmtId="3" fontId="10" fillId="2" borderId="13" xfId="0" applyNumberFormat="1" applyFont="1" applyFill="1" applyBorder="1" applyAlignment="1" applyProtection="1">
      <alignment horizontal="center" vertical="center" wrapText="1"/>
      <protection locked="0"/>
    </xf>
    <xf numFmtId="3" fontId="10" fillId="2" borderId="14" xfId="0" applyNumberFormat="1" applyFont="1" applyFill="1" applyBorder="1" applyAlignment="1" applyProtection="1">
      <alignment horizontal="center" vertical="center" wrapText="1"/>
      <protection locked="0"/>
    </xf>
    <xf numFmtId="3" fontId="10" fillId="2" borderId="15" xfId="0" applyNumberFormat="1" applyFont="1" applyFill="1" applyBorder="1" applyAlignment="1" applyProtection="1">
      <alignment horizontal="center" vertical="center" wrapText="1"/>
      <protection locked="0"/>
    </xf>
    <xf numFmtId="0" fontId="3" fillId="0" borderId="12" xfId="0" applyFont="1" applyBorder="1"/>
    <xf numFmtId="9" fontId="14" fillId="2" borderId="13" xfId="0" applyNumberFormat="1" applyFont="1" applyFill="1" applyBorder="1" applyAlignment="1" applyProtection="1">
      <alignment horizontal="center" vertical="center" wrapText="1"/>
      <protection locked="0"/>
    </xf>
    <xf numFmtId="9" fontId="14" fillId="2" borderId="14" xfId="0" applyNumberFormat="1" applyFont="1" applyFill="1" applyBorder="1" applyAlignment="1" applyProtection="1">
      <alignment horizontal="center" vertical="center" wrapText="1"/>
      <protection locked="0"/>
    </xf>
    <xf numFmtId="9" fontId="14" fillId="2" borderId="15" xfId="0" applyNumberFormat="1" applyFont="1" applyFill="1" applyBorder="1" applyAlignment="1" applyProtection="1">
      <alignment horizontal="center" vertical="center" wrapText="1"/>
      <protection locked="0"/>
    </xf>
    <xf numFmtId="0" fontId="10" fillId="2" borderId="13" xfId="0" applyFont="1" applyFill="1" applyBorder="1" applyAlignment="1">
      <alignment horizontal="center" vertical="center" wrapText="1"/>
    </xf>
    <xf numFmtId="0" fontId="10" fillId="2" borderId="14" xfId="0" applyFont="1" applyFill="1" applyBorder="1" applyAlignment="1">
      <alignment horizontal="center" vertical="center" wrapText="1"/>
    </xf>
    <xf numFmtId="0" fontId="10" fillId="2" borderId="15" xfId="0" applyFont="1" applyFill="1" applyBorder="1" applyAlignment="1">
      <alignment horizontal="center" vertical="center" wrapText="1"/>
    </xf>
    <xf numFmtId="3" fontId="15" fillId="0" borderId="0" xfId="0" applyNumberFormat="1" applyFont="1" applyAlignment="1">
      <alignment horizontal="center" vertical="top"/>
    </xf>
    <xf numFmtId="3" fontId="13" fillId="0" borderId="0" xfId="0" applyNumberFormat="1" applyFont="1" applyAlignment="1">
      <alignment vertical="top"/>
    </xf>
    <xf numFmtId="3" fontId="15" fillId="0" borderId="16" xfId="0" applyNumberFormat="1" applyFont="1" applyBorder="1" applyAlignment="1">
      <alignment horizontal="center" vertical="top"/>
    </xf>
    <xf numFmtId="3" fontId="1" fillId="2" borderId="12" xfId="0" applyNumberFormat="1" applyFont="1" applyFill="1" applyBorder="1" applyAlignment="1">
      <alignment vertical="center" wrapText="1"/>
    </xf>
    <xf numFmtId="3" fontId="1" fillId="2" borderId="11" xfId="0" applyNumberFormat="1" applyFont="1" applyFill="1" applyBorder="1" applyAlignment="1">
      <alignment vertical="center" wrapText="1"/>
    </xf>
    <xf numFmtId="9" fontId="10" fillId="2" borderId="13" xfId="0" applyNumberFormat="1" applyFont="1" applyFill="1" applyBorder="1" applyAlignment="1" applyProtection="1">
      <alignment horizontal="center" vertical="center" wrapText="1"/>
      <protection locked="0"/>
    </xf>
    <xf numFmtId="9" fontId="10" fillId="2" borderId="14" xfId="0" applyNumberFormat="1" applyFont="1" applyFill="1" applyBorder="1" applyAlignment="1" applyProtection="1">
      <alignment horizontal="center" vertical="center" wrapText="1"/>
      <protection locked="0"/>
    </xf>
    <xf numFmtId="9" fontId="10" fillId="2" borderId="15" xfId="0" applyNumberFormat="1" applyFont="1" applyFill="1" applyBorder="1" applyAlignment="1" applyProtection="1">
      <alignment horizontal="center" vertical="center" wrapText="1"/>
      <protection locked="0"/>
    </xf>
    <xf numFmtId="3" fontId="15" fillId="0" borderId="0" xfId="0" applyNumberFormat="1" applyFont="1" applyAlignment="1">
      <alignment horizontal="center" vertical="top" wrapText="1"/>
    </xf>
    <xf numFmtId="3" fontId="10" fillId="0" borderId="11" xfId="0" applyNumberFormat="1" applyFont="1" applyBorder="1" applyAlignment="1">
      <alignment horizontal="center" vertical="top"/>
    </xf>
    <xf numFmtId="3" fontId="10" fillId="0" borderId="0" xfId="0" applyNumberFormat="1" applyFont="1" applyAlignment="1">
      <alignment horizontal="center" vertical="top"/>
    </xf>
    <xf numFmtId="3" fontId="2" fillId="3" borderId="2" xfId="0" applyNumberFormat="1" applyFont="1" applyFill="1" applyBorder="1" applyAlignment="1">
      <alignment vertical="center"/>
    </xf>
    <xf numFmtId="3" fontId="16" fillId="2" borderId="9" xfId="0" applyNumberFormat="1" applyFont="1" applyFill="1" applyBorder="1" applyAlignment="1">
      <alignment horizontal="center" vertical="center"/>
    </xf>
    <xf numFmtId="3" fontId="8" fillId="2" borderId="10" xfId="0" applyNumberFormat="1" applyFont="1" applyFill="1" applyBorder="1" applyAlignment="1">
      <alignment horizontal="center" wrapText="1"/>
    </xf>
    <xf numFmtId="0" fontId="3" fillId="2" borderId="0" xfId="0" applyFont="1" applyFill="1"/>
    <xf numFmtId="3" fontId="1" fillId="2" borderId="9" xfId="0" applyNumberFormat="1" applyFont="1" applyFill="1" applyBorder="1" applyAlignment="1">
      <alignment vertical="center"/>
    </xf>
    <xf numFmtId="3" fontId="17" fillId="2" borderId="9" xfId="0" applyNumberFormat="1" applyFont="1" applyFill="1" applyBorder="1" applyAlignment="1">
      <alignment vertical="top"/>
    </xf>
    <xf numFmtId="3" fontId="17" fillId="2" borderId="9" xfId="0" applyNumberFormat="1" applyFont="1" applyFill="1" applyBorder="1" applyAlignment="1">
      <alignment vertical="center"/>
    </xf>
    <xf numFmtId="3" fontId="10" fillId="2" borderId="9" xfId="0" applyNumberFormat="1" applyFont="1" applyFill="1" applyBorder="1" applyAlignment="1">
      <alignment vertical="center"/>
    </xf>
    <xf numFmtId="3" fontId="17" fillId="2" borderId="10" xfId="0" applyNumberFormat="1" applyFont="1" applyFill="1" applyBorder="1" applyAlignment="1">
      <alignment vertical="center"/>
    </xf>
    <xf numFmtId="3" fontId="1" fillId="2" borderId="0" xfId="0" applyNumberFormat="1" applyFont="1" applyFill="1" applyAlignment="1">
      <alignment horizontal="center" vertical="center"/>
    </xf>
    <xf numFmtId="0" fontId="3" fillId="2" borderId="8" xfId="0" applyFont="1" applyFill="1" applyBorder="1"/>
    <xf numFmtId="3" fontId="8" fillId="2" borderId="9" xfId="0" applyNumberFormat="1" applyFont="1" applyFill="1" applyBorder="1" applyAlignment="1">
      <alignment horizontal="center" wrapText="1"/>
    </xf>
    <xf numFmtId="3" fontId="17" fillId="0" borderId="0" xfId="0" applyNumberFormat="1" applyFont="1" applyAlignment="1">
      <alignment vertical="top"/>
    </xf>
    <xf numFmtId="3" fontId="17" fillId="0" borderId="0" xfId="0" applyNumberFormat="1" applyFont="1" applyAlignment="1">
      <alignment vertical="center"/>
    </xf>
    <xf numFmtId="3" fontId="2" fillId="3" borderId="2" xfId="0" applyNumberFormat="1" applyFont="1" applyFill="1" applyBorder="1" applyAlignment="1">
      <alignment horizontal="center" vertical="center"/>
    </xf>
    <xf numFmtId="9" fontId="2" fillId="3" borderId="2" xfId="0" applyNumberFormat="1" applyFont="1" applyFill="1" applyBorder="1" applyAlignment="1">
      <alignment horizontal="center" vertical="center"/>
    </xf>
    <xf numFmtId="3" fontId="1" fillId="3" borderId="2" xfId="0" applyNumberFormat="1" applyFont="1" applyFill="1" applyBorder="1" applyAlignment="1">
      <alignment vertical="center"/>
    </xf>
    <xf numFmtId="0" fontId="3" fillId="0" borderId="2" xfId="0" applyFont="1" applyBorder="1"/>
    <xf numFmtId="0" fontId="18" fillId="0" borderId="5" xfId="0" applyFont="1" applyBorder="1" applyAlignment="1">
      <alignment horizontal="center" vertical="center"/>
    </xf>
    <xf numFmtId="0" fontId="18" fillId="0" borderId="6" xfId="0" applyFont="1" applyBorder="1" applyAlignment="1">
      <alignment horizontal="center" vertical="center"/>
    </xf>
    <xf numFmtId="3" fontId="19" fillId="2" borderId="0" xfId="0" applyNumberFormat="1" applyFont="1" applyFill="1" applyAlignment="1">
      <alignment horizontal="center" vertical="center"/>
    </xf>
    <xf numFmtId="3" fontId="15" fillId="2" borderId="0" xfId="0" applyNumberFormat="1" applyFont="1" applyFill="1" applyAlignment="1">
      <alignment horizontal="center" vertical="center"/>
    </xf>
    <xf numFmtId="3" fontId="15" fillId="0" borderId="0" xfId="0" applyNumberFormat="1" applyFont="1" applyAlignment="1">
      <alignment horizontal="center" vertical="center"/>
    </xf>
    <xf numFmtId="3" fontId="17" fillId="0" borderId="12" xfId="0" applyNumberFormat="1" applyFont="1" applyBorder="1" applyAlignment="1">
      <alignment vertical="center"/>
    </xf>
    <xf numFmtId="3" fontId="11" fillId="2" borderId="11" xfId="0" applyNumberFormat="1" applyFont="1" applyFill="1" applyBorder="1" applyAlignment="1">
      <alignment horizontal="center" vertical="center"/>
    </xf>
    <xf numFmtId="3" fontId="11" fillId="2" borderId="0" xfId="0" applyNumberFormat="1" applyFont="1" applyFill="1" applyAlignment="1">
      <alignment horizontal="center" vertical="center"/>
    </xf>
    <xf numFmtId="9" fontId="10" fillId="2" borderId="13" xfId="0" applyNumberFormat="1" applyFont="1" applyFill="1" applyBorder="1" applyAlignment="1" applyProtection="1">
      <alignment horizontal="center" vertical="center"/>
      <protection locked="0"/>
    </xf>
    <xf numFmtId="9" fontId="10" fillId="2" borderId="14" xfId="0" applyNumberFormat="1" applyFont="1" applyFill="1" applyBorder="1" applyAlignment="1" applyProtection="1">
      <alignment horizontal="center" vertical="center"/>
      <protection locked="0"/>
    </xf>
    <xf numFmtId="9" fontId="10" fillId="2" borderId="15" xfId="0" applyNumberFormat="1" applyFont="1" applyFill="1" applyBorder="1" applyAlignment="1" applyProtection="1">
      <alignment horizontal="center" vertical="center"/>
      <protection locked="0"/>
    </xf>
    <xf numFmtId="3" fontId="20" fillId="2" borderId="13" xfId="0" applyNumberFormat="1" applyFont="1" applyFill="1" applyBorder="1" applyAlignment="1">
      <alignment horizontal="center" vertical="center" wrapText="1"/>
    </xf>
    <xf numFmtId="3" fontId="20" fillId="2" borderId="14" xfId="0" applyNumberFormat="1" applyFont="1" applyFill="1" applyBorder="1" applyAlignment="1">
      <alignment horizontal="center" vertical="center" wrapText="1"/>
    </xf>
    <xf numFmtId="3" fontId="20" fillId="2" borderId="15" xfId="0" applyNumberFormat="1" applyFont="1" applyFill="1" applyBorder="1" applyAlignment="1">
      <alignment horizontal="center" vertical="center" wrapText="1"/>
    </xf>
    <xf numFmtId="3" fontId="21" fillId="3" borderId="0" xfId="0" applyNumberFormat="1" applyFont="1" applyFill="1" applyAlignment="1">
      <alignment vertical="center"/>
    </xf>
    <xf numFmtId="9" fontId="20" fillId="2" borderId="13" xfId="0" applyNumberFormat="1" applyFont="1" applyFill="1" applyBorder="1" applyAlignment="1">
      <alignment horizontal="center" vertical="center" wrapText="1"/>
    </xf>
    <xf numFmtId="9" fontId="20" fillId="2" borderId="14" xfId="0" applyNumberFormat="1" applyFont="1" applyFill="1" applyBorder="1" applyAlignment="1">
      <alignment horizontal="center" vertical="center" wrapText="1"/>
    </xf>
    <xf numFmtId="9" fontId="20" fillId="2" borderId="15" xfId="0" applyNumberFormat="1" applyFont="1" applyFill="1" applyBorder="1" applyAlignment="1">
      <alignment horizontal="center" vertical="center" wrapText="1"/>
    </xf>
    <xf numFmtId="3" fontId="15" fillId="2" borderId="11" xfId="0" applyNumberFormat="1" applyFont="1" applyFill="1" applyBorder="1" applyAlignment="1">
      <alignment horizontal="center" vertical="center"/>
    </xf>
    <xf numFmtId="9" fontId="10" fillId="2" borderId="17" xfId="0" applyNumberFormat="1" applyFont="1" applyFill="1" applyBorder="1" applyAlignment="1" applyProtection="1">
      <alignment horizontal="center" vertical="center"/>
      <protection locked="0"/>
    </xf>
    <xf numFmtId="9" fontId="10" fillId="2" borderId="16" xfId="0" applyNumberFormat="1" applyFont="1" applyFill="1" applyBorder="1" applyAlignment="1" applyProtection="1">
      <alignment horizontal="center" vertical="center"/>
      <protection locked="0"/>
    </xf>
    <xf numFmtId="9" fontId="10" fillId="2" borderId="18" xfId="0" applyNumberFormat="1" applyFont="1" applyFill="1" applyBorder="1" applyAlignment="1" applyProtection="1">
      <alignment horizontal="center" vertical="center"/>
      <protection locked="0"/>
    </xf>
    <xf numFmtId="3" fontId="15" fillId="0" borderId="11" xfId="0" applyNumberFormat="1" applyFont="1" applyBorder="1" applyAlignment="1">
      <alignment horizontal="center" vertical="center"/>
    </xf>
    <xf numFmtId="0" fontId="15" fillId="0" borderId="0" xfId="0" applyFont="1"/>
    <xf numFmtId="9" fontId="10" fillId="2" borderId="19" xfId="0" applyNumberFormat="1" applyFont="1" applyFill="1" applyBorder="1" applyAlignment="1" applyProtection="1">
      <alignment horizontal="center" vertical="center"/>
      <protection locked="0"/>
    </xf>
    <xf numFmtId="9" fontId="10" fillId="2" borderId="20" xfId="0" applyNumberFormat="1" applyFont="1" applyFill="1" applyBorder="1" applyAlignment="1" applyProtection="1">
      <alignment horizontal="center" vertical="center"/>
      <protection locked="0"/>
    </xf>
    <xf numFmtId="9" fontId="10" fillId="2" borderId="21" xfId="0" applyNumberFormat="1" applyFont="1" applyFill="1" applyBorder="1" applyAlignment="1" applyProtection="1">
      <alignment horizontal="center" vertical="center"/>
      <protection locked="0"/>
    </xf>
    <xf numFmtId="3" fontId="17" fillId="0" borderId="11" xfId="0" applyNumberFormat="1" applyFont="1" applyBorder="1" applyAlignment="1">
      <alignment vertical="top"/>
    </xf>
    <xf numFmtId="3" fontId="8" fillId="0" borderId="12" xfId="0" applyNumberFormat="1" applyFont="1" applyBorder="1" applyAlignment="1">
      <alignment horizontal="center" wrapText="1"/>
    </xf>
    <xf numFmtId="3" fontId="1" fillId="0" borderId="8" xfId="0" applyNumberFormat="1" applyFont="1" applyBorder="1" applyAlignment="1">
      <alignment vertical="center"/>
    </xf>
    <xf numFmtId="0" fontId="22" fillId="0" borderId="9" xfId="0" applyFont="1" applyBorder="1" applyAlignment="1">
      <alignment horizontal="center"/>
    </xf>
    <xf numFmtId="3" fontId="17" fillId="0" borderId="10" xfId="0" applyNumberFormat="1" applyFont="1" applyBorder="1" applyAlignment="1">
      <alignment vertical="center"/>
    </xf>
    <xf numFmtId="9" fontId="23" fillId="0" borderId="8" xfId="0" applyNumberFormat="1" applyFont="1" applyBorder="1" applyAlignment="1" applyProtection="1">
      <alignment horizontal="center" vertical="center"/>
      <protection locked="0"/>
    </xf>
    <xf numFmtId="3" fontId="1" fillId="0" borderId="9" xfId="0" applyNumberFormat="1" applyFont="1" applyBorder="1" applyAlignment="1">
      <alignment vertical="center"/>
    </xf>
    <xf numFmtId="3" fontId="8" fillId="0" borderId="9" xfId="0" applyNumberFormat="1" applyFont="1" applyBorder="1" applyAlignment="1">
      <alignment horizontal="center" wrapText="1"/>
    </xf>
    <xf numFmtId="3" fontId="8" fillId="0" borderId="10" xfId="0" applyNumberFormat="1" applyFont="1" applyBorder="1" applyAlignment="1">
      <alignment horizontal="center" wrapText="1"/>
    </xf>
    <xf numFmtId="3" fontId="3" fillId="0" borderId="0" xfId="0" applyNumberFormat="1" applyFont="1"/>
    <xf numFmtId="0" fontId="1" fillId="0" borderId="0" xfId="0" applyFont="1" applyAlignment="1">
      <alignment horizontal="center" vertical="center"/>
    </xf>
    <xf numFmtId="3" fontId="1" fillId="0" borderId="0" xfId="0" applyNumberFormat="1" applyFont="1" applyAlignment="1">
      <alignment horizontal="center" vertical="center"/>
    </xf>
    <xf numFmtId="3" fontId="2" fillId="2" borderId="0" xfId="0" applyNumberFormat="1" applyFont="1" applyFill="1" applyAlignment="1">
      <alignment horizontal="center" vertical="center"/>
    </xf>
    <xf numFmtId="3" fontId="15" fillId="0" borderId="22" xfId="0" applyNumberFormat="1" applyFont="1" applyBorder="1" applyAlignment="1">
      <alignment horizontal="center" vertical="center"/>
    </xf>
    <xf numFmtId="3" fontId="15" fillId="0" borderId="23" xfId="0" applyNumberFormat="1" applyFont="1" applyBorder="1" applyAlignment="1">
      <alignment horizontal="center" vertical="center"/>
    </xf>
    <xf numFmtId="0" fontId="15" fillId="0" borderId="23" xfId="0" applyFont="1" applyBorder="1" applyAlignment="1">
      <alignment horizontal="center" vertical="center"/>
    </xf>
    <xf numFmtId="9" fontId="15" fillId="0" borderId="23" xfId="0" applyNumberFormat="1" applyFont="1" applyBorder="1" applyAlignment="1" applyProtection="1">
      <alignment horizontal="center" vertical="center"/>
      <protection locked="0"/>
    </xf>
    <xf numFmtId="9" fontId="15" fillId="0" borderId="24" xfId="0" applyNumberFormat="1" applyFont="1" applyBorder="1" applyAlignment="1" applyProtection="1">
      <alignment horizontal="center" vertical="center"/>
      <protection locked="0"/>
    </xf>
    <xf numFmtId="0" fontId="15" fillId="0" borderId="23" xfId="0" applyFont="1" applyBorder="1" applyAlignment="1">
      <alignment horizontal="center" vertical="center" wrapText="1"/>
    </xf>
    <xf numFmtId="3" fontId="15" fillId="0" borderId="23" xfId="0" applyNumberFormat="1" applyFont="1" applyBorder="1" applyAlignment="1">
      <alignment horizontal="center" vertical="center" wrapText="1"/>
    </xf>
    <xf numFmtId="3" fontId="15" fillId="0" borderId="24" xfId="0" applyNumberFormat="1" applyFont="1" applyBorder="1" applyAlignment="1">
      <alignment horizontal="center" vertical="center" wrapText="1"/>
    </xf>
    <xf numFmtId="3" fontId="24" fillId="3" borderId="0" xfId="0" applyNumberFormat="1" applyFont="1" applyFill="1" applyAlignment="1">
      <alignment horizontal="left"/>
    </xf>
    <xf numFmtId="3" fontId="1" fillId="3" borderId="0" xfId="0" applyNumberFormat="1" applyFont="1" applyFill="1" applyAlignment="1">
      <alignment horizontal="center" vertical="center"/>
    </xf>
    <xf numFmtId="3" fontId="25" fillId="0" borderId="25" xfId="0" applyNumberFormat="1" applyFont="1" applyBorder="1" applyAlignment="1">
      <alignment horizontal="center" vertical="center"/>
    </xf>
    <xf numFmtId="3" fontId="25" fillId="0" borderId="26" xfId="0" applyNumberFormat="1" applyFont="1" applyBorder="1" applyAlignment="1">
      <alignment horizontal="center" vertical="center"/>
    </xf>
    <xf numFmtId="3" fontId="25" fillId="0" borderId="27" xfId="0" applyNumberFormat="1" applyFont="1" applyBorder="1" applyAlignment="1">
      <alignment horizontal="center" vertical="center"/>
    </xf>
    <xf numFmtId="3" fontId="25" fillId="0" borderId="4" xfId="0" applyNumberFormat="1" applyFont="1" applyBorder="1" applyAlignment="1">
      <alignment horizontal="center" vertical="center"/>
    </xf>
    <xf numFmtId="3" fontId="25" fillId="0" borderId="5" xfId="0" applyNumberFormat="1" applyFont="1" applyBorder="1" applyAlignment="1">
      <alignment horizontal="center" vertical="center"/>
    </xf>
    <xf numFmtId="3" fontId="25" fillId="0" borderId="6" xfId="0" applyNumberFormat="1" applyFont="1" applyBorder="1" applyAlignment="1">
      <alignment horizontal="center" vertical="center"/>
    </xf>
    <xf numFmtId="3" fontId="25" fillId="0" borderId="28" xfId="0" applyNumberFormat="1" applyFont="1" applyBorder="1" applyAlignment="1">
      <alignment horizontal="center" vertical="center"/>
    </xf>
    <xf numFmtId="3" fontId="25" fillId="0" borderId="29" xfId="0" applyNumberFormat="1" applyFont="1" applyBorder="1" applyAlignment="1">
      <alignment horizontal="center" vertical="center"/>
    </xf>
    <xf numFmtId="3" fontId="25" fillId="0" borderId="30" xfId="0" applyNumberFormat="1" applyFont="1" applyBorder="1" applyAlignment="1">
      <alignment horizontal="center" vertical="center"/>
    </xf>
    <xf numFmtId="3" fontId="25" fillId="0" borderId="31" xfId="0" applyNumberFormat="1" applyFont="1" applyBorder="1" applyAlignment="1">
      <alignment horizontal="center" vertical="center"/>
    </xf>
    <xf numFmtId="3" fontId="25" fillId="0" borderId="32" xfId="0" applyNumberFormat="1" applyFont="1" applyBorder="1" applyAlignment="1">
      <alignment horizontal="center" vertical="center"/>
    </xf>
    <xf numFmtId="3" fontId="25" fillId="0" borderId="33" xfId="0" applyNumberFormat="1" applyFont="1" applyBorder="1" applyAlignment="1">
      <alignment horizontal="center" vertical="center"/>
    </xf>
    <xf numFmtId="3" fontId="25" fillId="0" borderId="11" xfId="0" applyNumberFormat="1" applyFont="1" applyBorder="1" applyAlignment="1">
      <alignment horizontal="center" vertical="center"/>
    </xf>
    <xf numFmtId="3" fontId="25" fillId="0" borderId="0" xfId="0" applyNumberFormat="1" applyFont="1" applyAlignment="1">
      <alignment horizontal="center" vertical="center"/>
    </xf>
    <xf numFmtId="3" fontId="25" fillId="0" borderId="12" xfId="0" applyNumberFormat="1" applyFont="1" applyBorder="1" applyAlignment="1">
      <alignment horizontal="center" vertical="center"/>
    </xf>
    <xf numFmtId="3" fontId="25" fillId="0" borderId="34" xfId="0" applyNumberFormat="1" applyFont="1" applyBorder="1" applyAlignment="1">
      <alignment horizontal="center" vertical="center"/>
    </xf>
    <xf numFmtId="3" fontId="9" fillId="3" borderId="2" xfId="0" applyNumberFormat="1" applyFont="1" applyFill="1" applyBorder="1" applyAlignment="1">
      <alignment vertical="center"/>
    </xf>
    <xf numFmtId="3" fontId="1" fillId="0" borderId="2" xfId="0" applyNumberFormat="1" applyFont="1" applyBorder="1" applyAlignment="1">
      <alignment vertical="center"/>
    </xf>
    <xf numFmtId="3" fontId="2" fillId="3" borderId="35" xfId="0" applyNumberFormat="1" applyFont="1" applyFill="1" applyBorder="1" applyAlignment="1">
      <alignment horizontal="center" vertical="center"/>
    </xf>
    <xf numFmtId="3" fontId="1" fillId="3" borderId="35" xfId="0" applyNumberFormat="1" applyFont="1" applyFill="1" applyBorder="1" applyAlignment="1">
      <alignment vertical="center"/>
    </xf>
    <xf numFmtId="9" fontId="2" fillId="3" borderId="35" xfId="0" applyNumberFormat="1" applyFont="1" applyFill="1" applyBorder="1" applyAlignment="1">
      <alignment horizontal="center" vertical="center"/>
    </xf>
    <xf numFmtId="3" fontId="25" fillId="0" borderId="36" xfId="0" applyNumberFormat="1" applyFont="1" applyBorder="1" applyAlignment="1">
      <alignment horizontal="center" vertical="center"/>
    </xf>
    <xf numFmtId="3" fontId="25" fillId="0" borderId="37" xfId="0" applyNumberFormat="1" applyFont="1" applyBorder="1" applyAlignment="1">
      <alignment horizontal="center" vertical="center"/>
    </xf>
    <xf numFmtId="3" fontId="25" fillId="0" borderId="38" xfId="0" applyNumberFormat="1" applyFont="1" applyBorder="1" applyAlignment="1">
      <alignment horizontal="center" vertical="center"/>
    </xf>
    <xf numFmtId="3" fontId="25" fillId="0" borderId="7" xfId="0" applyNumberFormat="1" applyFont="1" applyBorder="1" applyAlignment="1">
      <alignment horizontal="center" vertical="center"/>
    </xf>
    <xf numFmtId="3" fontId="25" fillId="0" borderId="8" xfId="0" applyNumberFormat="1" applyFont="1" applyBorder="1" applyAlignment="1">
      <alignment horizontal="center" vertical="center"/>
    </xf>
    <xf numFmtId="3" fontId="25" fillId="0" borderId="9" xfId="0" applyNumberFormat="1" applyFont="1" applyBorder="1" applyAlignment="1">
      <alignment horizontal="center" vertical="center"/>
    </xf>
    <xf numFmtId="3" fontId="25" fillId="0" borderId="10" xfId="0" applyNumberFormat="1" applyFont="1" applyBorder="1" applyAlignment="1">
      <alignment horizontal="center" vertical="center"/>
    </xf>
    <xf numFmtId="3" fontId="25" fillId="0" borderId="39" xfId="0" applyNumberFormat="1" applyFont="1" applyBorder="1" applyAlignment="1">
      <alignment horizontal="center" vertical="center"/>
    </xf>
    <xf numFmtId="4" fontId="2" fillId="3" borderId="0" xfId="0" applyNumberFormat="1" applyFont="1" applyFill="1" applyAlignment="1">
      <alignment horizontal="center" vertical="center"/>
    </xf>
    <xf numFmtId="3" fontId="15" fillId="0" borderId="40" xfId="0" applyNumberFormat="1" applyFont="1" applyBorder="1" applyAlignment="1">
      <alignment horizontal="left" vertical="center" indent="2"/>
    </xf>
    <xf numFmtId="3" fontId="26" fillId="2" borderId="41" xfId="0" applyNumberFormat="1" applyFont="1" applyFill="1" applyBorder="1" applyAlignment="1">
      <alignment vertical="top"/>
    </xf>
    <xf numFmtId="3" fontId="15" fillId="2" borderId="41" xfId="0" applyNumberFormat="1" applyFont="1" applyFill="1" applyBorder="1" applyAlignment="1">
      <alignment vertical="center"/>
    </xf>
    <xf numFmtId="3" fontId="15" fillId="0" borderId="41" xfId="0" applyNumberFormat="1" applyFont="1" applyBorder="1" applyAlignment="1">
      <alignment horizontal="center" vertical="center"/>
    </xf>
    <xf numFmtId="3" fontId="15" fillId="0" borderId="42" xfId="0" applyNumberFormat="1" applyFont="1" applyBorder="1" applyAlignment="1">
      <alignment horizontal="center" vertical="center"/>
    </xf>
    <xf numFmtId="3" fontId="15" fillId="0" borderId="43" xfId="0" applyNumberFormat="1" applyFont="1" applyBorder="1" applyAlignment="1">
      <alignment horizontal="left" vertical="center" indent="2"/>
    </xf>
    <xf numFmtId="0" fontId="15" fillId="2" borderId="41" xfId="0" applyFont="1" applyFill="1" applyBorder="1" applyAlignment="1">
      <alignment horizontal="center" vertical="center" wrapText="1"/>
    </xf>
    <xf numFmtId="10" fontId="15" fillId="2" borderId="44" xfId="0" applyNumberFormat="1" applyFont="1" applyFill="1" applyBorder="1" applyAlignment="1">
      <alignment horizontal="center" vertical="center" wrapText="1"/>
    </xf>
    <xf numFmtId="0" fontId="15" fillId="2" borderId="45" xfId="0" applyFont="1" applyFill="1" applyBorder="1" applyAlignment="1">
      <alignment horizontal="center" vertical="center" wrapText="1"/>
    </xf>
    <xf numFmtId="0" fontId="15" fillId="2" borderId="43" xfId="0" applyFont="1" applyFill="1" applyBorder="1" applyAlignment="1">
      <alignment horizontal="center" vertical="center" wrapText="1"/>
    </xf>
    <xf numFmtId="0" fontId="3" fillId="2" borderId="42" xfId="0" applyFont="1" applyFill="1" applyBorder="1" applyAlignment="1">
      <alignment horizontal="center" vertical="center" wrapText="1"/>
    </xf>
    <xf numFmtId="3" fontId="15" fillId="0" borderId="46" xfId="0" applyNumberFormat="1" applyFont="1" applyBorder="1" applyAlignment="1">
      <alignment horizontal="left" vertical="center" indent="2"/>
    </xf>
    <xf numFmtId="0" fontId="15" fillId="2" borderId="47" xfId="0" applyFont="1" applyFill="1" applyBorder="1"/>
    <xf numFmtId="3" fontId="15" fillId="2" borderId="47" xfId="0" applyNumberFormat="1" applyFont="1" applyFill="1" applyBorder="1" applyAlignment="1">
      <alignment vertical="center"/>
    </xf>
    <xf numFmtId="3" fontId="15" fillId="2" borderId="47" xfId="0" applyNumberFormat="1" applyFont="1" applyFill="1" applyBorder="1" applyAlignment="1">
      <alignment horizontal="center" vertical="center"/>
    </xf>
    <xf numFmtId="3" fontId="15" fillId="2" borderId="48" xfId="0" applyNumberFormat="1" applyFont="1" applyFill="1" applyBorder="1" applyAlignment="1">
      <alignment horizontal="center" vertical="center"/>
    </xf>
    <xf numFmtId="3" fontId="15" fillId="0" borderId="49" xfId="0" applyNumberFormat="1" applyFont="1" applyBorder="1" applyAlignment="1">
      <alignment horizontal="left" vertical="center" indent="2"/>
    </xf>
    <xf numFmtId="0" fontId="15" fillId="2" borderId="47" xfId="0" applyFont="1" applyFill="1" applyBorder="1" applyAlignment="1">
      <alignment horizontal="center" vertical="center" wrapText="1"/>
    </xf>
    <xf numFmtId="3" fontId="15" fillId="2" borderId="50" xfId="0" applyNumberFormat="1" applyFont="1" applyFill="1" applyBorder="1" applyAlignment="1">
      <alignment horizontal="center" vertical="center" wrapText="1"/>
    </xf>
    <xf numFmtId="0" fontId="15" fillId="2" borderId="51" xfId="0" applyFont="1" applyFill="1" applyBorder="1" applyAlignment="1">
      <alignment horizontal="center" vertical="center" wrapText="1"/>
    </xf>
    <xf numFmtId="0" fontId="15" fillId="2" borderId="49" xfId="0" applyFont="1" applyFill="1" applyBorder="1" applyAlignment="1">
      <alignment horizontal="center" vertical="center" wrapText="1"/>
    </xf>
    <xf numFmtId="0" fontId="3" fillId="2" borderId="48" xfId="0" applyFont="1" applyFill="1" applyBorder="1" applyAlignment="1">
      <alignment horizontal="center" vertical="center" wrapText="1"/>
    </xf>
    <xf numFmtId="3" fontId="15" fillId="0" borderId="4" xfId="0" applyNumberFormat="1" applyFont="1" applyBorder="1" applyAlignment="1">
      <alignment horizontal="left" vertical="center" wrapText="1" indent="4"/>
    </xf>
    <xf numFmtId="3" fontId="15" fillId="0" borderId="5" xfId="0" applyNumberFormat="1" applyFont="1" applyBorder="1" applyAlignment="1">
      <alignment horizontal="left" vertical="center" wrapText="1" indent="4"/>
    </xf>
    <xf numFmtId="3" fontId="15" fillId="0" borderId="6" xfId="0" applyNumberFormat="1" applyFont="1" applyBorder="1" applyAlignment="1">
      <alignment horizontal="left" vertical="center" wrapText="1" indent="4"/>
    </xf>
    <xf numFmtId="4" fontId="2" fillId="3" borderId="0" xfId="0" applyNumberFormat="1" applyFont="1" applyFill="1" applyAlignment="1">
      <alignment horizontal="left" vertical="center"/>
    </xf>
    <xf numFmtId="3" fontId="2" fillId="3" borderId="1" xfId="0" applyNumberFormat="1" applyFont="1" applyFill="1" applyBorder="1" applyAlignment="1">
      <alignment horizontal="center" vertical="center"/>
    </xf>
    <xf numFmtId="9" fontId="2" fillId="3" borderId="3" xfId="0" applyNumberFormat="1" applyFont="1" applyFill="1" applyBorder="1" applyAlignment="1">
      <alignment horizontal="center" vertical="center"/>
    </xf>
    <xf numFmtId="3" fontId="15" fillId="0" borderId="11" xfId="0" applyNumberFormat="1" applyFont="1" applyBorder="1" applyAlignment="1">
      <alignment horizontal="left" vertical="center" wrapText="1" indent="4"/>
    </xf>
    <xf numFmtId="3" fontId="15" fillId="0" borderId="0" xfId="0" applyNumberFormat="1" applyFont="1" applyAlignment="1">
      <alignment horizontal="left" vertical="center" wrapText="1" indent="4"/>
    </xf>
    <xf numFmtId="3" fontId="15" fillId="0" borderId="12" xfId="0" applyNumberFormat="1" applyFont="1" applyBorder="1" applyAlignment="1">
      <alignment horizontal="left" vertical="center" wrapText="1" indent="4"/>
    </xf>
    <xf numFmtId="3" fontId="15" fillId="0" borderId="52" xfId="0" applyNumberFormat="1" applyFont="1" applyBorder="1" applyAlignment="1">
      <alignment horizontal="left" vertical="center" wrapText="1" indent="4"/>
    </xf>
    <xf numFmtId="3" fontId="15" fillId="0" borderId="53" xfId="0" applyNumberFormat="1" applyFont="1" applyBorder="1" applyAlignment="1">
      <alignment horizontal="left" vertical="center" wrapText="1" indent="4"/>
    </xf>
    <xf numFmtId="3" fontId="15" fillId="0" borderId="54" xfId="0" applyNumberFormat="1" applyFont="1" applyBorder="1" applyAlignment="1">
      <alignment horizontal="left" vertical="center" wrapText="1" indent="4"/>
    </xf>
    <xf numFmtId="3" fontId="2" fillId="7" borderId="0" xfId="0" applyNumberFormat="1" applyFont="1" applyFill="1" applyAlignment="1">
      <alignment vertical="center"/>
    </xf>
    <xf numFmtId="3" fontId="1" fillId="0" borderId="55" xfId="0" applyNumberFormat="1" applyFont="1" applyBorder="1" applyAlignment="1">
      <alignment vertical="center"/>
    </xf>
    <xf numFmtId="3" fontId="15" fillId="2" borderId="56" xfId="0" applyNumberFormat="1" applyFont="1" applyFill="1" applyBorder="1" applyAlignment="1">
      <alignment horizontal="justify" vertical="center" wrapText="1"/>
    </xf>
    <xf numFmtId="3" fontId="15" fillId="2" borderId="57" xfId="0" applyNumberFormat="1" applyFont="1" applyFill="1" applyBorder="1" applyAlignment="1">
      <alignment horizontal="justify" vertical="center" wrapText="1"/>
    </xf>
    <xf numFmtId="3" fontId="15" fillId="2" borderId="58" xfId="0" applyNumberFormat="1" applyFont="1" applyFill="1" applyBorder="1" applyAlignment="1">
      <alignment horizontal="justify" vertical="center" wrapText="1"/>
    </xf>
    <xf numFmtId="3" fontId="15" fillId="2" borderId="59" xfId="0" applyNumberFormat="1" applyFont="1" applyFill="1" applyBorder="1" applyAlignment="1">
      <alignment horizontal="justify" vertical="center" wrapText="1"/>
    </xf>
    <xf numFmtId="3" fontId="2" fillId="3" borderId="60" xfId="0" applyNumberFormat="1" applyFont="1" applyFill="1" applyBorder="1" applyAlignment="1">
      <alignment vertical="center"/>
    </xf>
    <xf numFmtId="3" fontId="2" fillId="3" borderId="35" xfId="0" applyNumberFormat="1" applyFont="1" applyFill="1" applyBorder="1" applyAlignment="1">
      <alignment vertical="center"/>
    </xf>
    <xf numFmtId="3" fontId="15" fillId="2" borderId="61" xfId="0" applyNumberFormat="1" applyFont="1" applyFill="1" applyBorder="1" applyAlignment="1">
      <alignment horizontal="justify" vertical="center" wrapText="1"/>
    </xf>
    <xf numFmtId="3" fontId="15" fillId="2" borderId="62" xfId="0" applyNumberFormat="1" applyFont="1" applyFill="1" applyBorder="1" applyAlignment="1">
      <alignment horizontal="justify" vertical="center" wrapText="1"/>
    </xf>
    <xf numFmtId="3" fontId="15" fillId="2" borderId="63" xfId="0" applyNumberFormat="1" applyFont="1" applyFill="1" applyBorder="1" applyAlignment="1">
      <alignment horizontal="justify" vertical="center" wrapText="1"/>
    </xf>
    <xf numFmtId="3" fontId="15" fillId="2" borderId="64" xfId="0" applyNumberFormat="1" applyFont="1" applyFill="1" applyBorder="1" applyAlignment="1">
      <alignment horizontal="justify" vertical="center" wrapText="1"/>
    </xf>
    <xf numFmtId="3" fontId="15" fillId="2" borderId="65" xfId="0" applyNumberFormat="1" applyFont="1" applyFill="1" applyBorder="1" applyAlignment="1">
      <alignment horizontal="justify" vertical="center" wrapText="1"/>
    </xf>
    <xf numFmtId="3" fontId="15" fillId="2" borderId="66" xfId="0" applyNumberFormat="1" applyFont="1" applyFill="1" applyBorder="1" applyAlignment="1">
      <alignment horizontal="justify" vertical="center" wrapText="1"/>
    </xf>
    <xf numFmtId="3" fontId="2" fillId="2" borderId="46" xfId="0" applyNumberFormat="1" applyFont="1" applyFill="1" applyBorder="1" applyAlignment="1">
      <alignment horizontal="center" vertical="center"/>
    </xf>
    <xf numFmtId="3" fontId="2" fillId="2" borderId="47" xfId="0" applyNumberFormat="1" applyFont="1" applyFill="1" applyBorder="1" applyAlignment="1">
      <alignment horizontal="center" vertical="center"/>
    </xf>
    <xf numFmtId="3" fontId="2" fillId="2" borderId="48" xfId="0" applyNumberFormat="1" applyFont="1" applyFill="1" applyBorder="1" applyAlignment="1">
      <alignment horizontal="center" vertical="center"/>
    </xf>
    <xf numFmtId="0" fontId="17" fillId="2" borderId="0" xfId="0" applyFont="1" applyFill="1" applyAlignment="1">
      <alignment vertical="center"/>
    </xf>
    <xf numFmtId="3" fontId="17" fillId="2" borderId="0" xfId="0" applyNumberFormat="1" applyFont="1" applyFill="1" applyAlignment="1">
      <alignment vertical="center"/>
    </xf>
    <xf numFmtId="0" fontId="17" fillId="2" borderId="0" xfId="0" applyFont="1" applyFill="1" applyAlignment="1">
      <alignment horizontal="left" vertical="center" wrapText="1"/>
    </xf>
    <xf numFmtId="3" fontId="27" fillId="2" borderId="0" xfId="0" applyNumberFormat="1" applyFont="1" applyFill="1" applyAlignment="1">
      <alignment horizontal="center" wrapText="1"/>
    </xf>
    <xf numFmtId="3" fontId="1" fillId="0" borderId="1" xfId="0" applyNumberFormat="1" applyFont="1" applyBorder="1" applyAlignment="1">
      <alignment horizontal="center" vertical="center"/>
    </xf>
    <xf numFmtId="3" fontId="1" fillId="0" borderId="2" xfId="0" applyNumberFormat="1" applyFont="1" applyBorder="1" applyAlignment="1">
      <alignment horizontal="center" vertical="center"/>
    </xf>
    <xf numFmtId="3" fontId="1" fillId="0" borderId="3" xfId="0" applyNumberFormat="1" applyFont="1" applyBorder="1" applyAlignment="1">
      <alignment horizontal="center" vertical="center"/>
    </xf>
    <xf numFmtId="0" fontId="17" fillId="2" borderId="0" xfId="0" applyFont="1" applyFill="1" applyAlignment="1">
      <alignment horizontal="left" vertical="center"/>
    </xf>
    <xf numFmtId="0" fontId="3" fillId="2" borderId="0" xfId="0" applyFont="1" applyFill="1" applyAlignment="1">
      <alignment horizontal="left" vertical="center" wrapText="1"/>
    </xf>
    <xf numFmtId="3" fontId="8" fillId="2" borderId="0" xfId="0" applyNumberFormat="1" applyFont="1" applyFill="1" applyAlignment="1">
      <alignment horizontal="center" wrapText="1"/>
    </xf>
    <xf numFmtId="9" fontId="2" fillId="3" borderId="0" xfId="0" applyNumberFormat="1" applyFont="1" applyFill="1" applyAlignment="1">
      <alignment vertical="center"/>
    </xf>
    <xf numFmtId="0" fontId="28" fillId="2" borderId="0" xfId="0" applyFont="1" applyFill="1" applyAlignment="1">
      <alignment horizontal="left" vertical="center" wrapText="1"/>
    </xf>
    <xf numFmtId="0" fontId="1" fillId="0" borderId="0" xfId="0" applyFont="1"/>
    <xf numFmtId="3" fontId="2" fillId="3" borderId="67" xfId="0" applyNumberFormat="1" applyFont="1" applyFill="1" applyBorder="1" applyAlignment="1">
      <alignment horizontal="center" vertical="center"/>
    </xf>
    <xf numFmtId="3" fontId="2" fillId="3" borderId="68" xfId="0" applyNumberFormat="1" applyFont="1" applyFill="1" applyBorder="1" applyAlignment="1">
      <alignment horizontal="center" vertical="center"/>
    </xf>
    <xf numFmtId="3" fontId="2" fillId="3" borderId="69" xfId="0" applyNumberFormat="1" applyFont="1" applyFill="1" applyBorder="1" applyAlignment="1">
      <alignment horizontal="center" vertical="center"/>
    </xf>
    <xf numFmtId="3" fontId="2" fillId="3" borderId="0" xfId="0" applyNumberFormat="1" applyFont="1" applyFill="1" applyAlignment="1">
      <alignment horizontal="center" vertical="center" wrapText="1"/>
    </xf>
    <xf numFmtId="3" fontId="2" fillId="3" borderId="70" xfId="0" applyNumberFormat="1" applyFont="1" applyFill="1" applyBorder="1" applyAlignment="1">
      <alignment horizontal="center" vertical="center" wrapText="1"/>
    </xf>
    <xf numFmtId="3" fontId="6" fillId="0" borderId="0" xfId="0" applyNumberFormat="1" applyFont="1" applyAlignment="1">
      <alignment vertical="center"/>
    </xf>
    <xf numFmtId="9" fontId="1" fillId="0" borderId="35" xfId="0" applyNumberFormat="1" applyFont="1" applyBorder="1" applyAlignment="1" applyProtection="1">
      <alignment horizontal="center" vertical="center"/>
      <protection locked="0"/>
    </xf>
    <xf numFmtId="3" fontId="2" fillId="3" borderId="70" xfId="0" applyNumberFormat="1" applyFont="1" applyFill="1" applyBorder="1" applyAlignment="1">
      <alignment vertical="center"/>
    </xf>
    <xf numFmtId="9" fontId="1" fillId="0" borderId="1" xfId="0" applyNumberFormat="1" applyFont="1" applyBorder="1" applyAlignment="1">
      <alignment horizontal="center" vertical="center"/>
    </xf>
    <xf numFmtId="9" fontId="1" fillId="0" borderId="2" xfId="0" applyNumberFormat="1" applyFont="1" applyBorder="1" applyAlignment="1">
      <alignment horizontal="center" vertical="center"/>
    </xf>
    <xf numFmtId="9" fontId="1" fillId="0" borderId="3" xfId="0" applyNumberFormat="1" applyFont="1" applyBorder="1" applyAlignment="1">
      <alignment horizontal="center" vertical="center"/>
    </xf>
    <xf numFmtId="3" fontId="13" fillId="2" borderId="0" xfId="0" applyNumberFormat="1" applyFont="1" applyFill="1" applyAlignment="1">
      <alignment vertical="top"/>
    </xf>
    <xf numFmtId="3" fontId="8" fillId="0" borderId="0" xfId="0" applyNumberFormat="1" applyFont="1" applyAlignment="1">
      <alignment horizontal="center" vertical="center"/>
    </xf>
    <xf numFmtId="165" fontId="12" fillId="0" borderId="35" xfId="0" applyNumberFormat="1" applyFont="1" applyBorder="1" applyAlignment="1">
      <alignment horizontal="center" vertical="center"/>
    </xf>
    <xf numFmtId="10" fontId="2" fillId="3" borderId="0" xfId="0" applyNumberFormat="1" applyFont="1" applyFill="1" applyAlignment="1">
      <alignment vertical="center"/>
    </xf>
    <xf numFmtId="3" fontId="16" fillId="0" borderId="60" xfId="0" applyNumberFormat="1" applyFont="1" applyBorder="1" applyAlignment="1">
      <alignment horizontal="centerContinuous" vertical="center"/>
    </xf>
    <xf numFmtId="3" fontId="29" fillId="0" borderId="60" xfId="0" applyNumberFormat="1" applyFont="1" applyBorder="1" applyAlignment="1">
      <alignment horizontal="centerContinuous" vertical="center"/>
    </xf>
    <xf numFmtId="3" fontId="16" fillId="0" borderId="60" xfId="0" applyNumberFormat="1" applyFont="1" applyBorder="1" applyAlignment="1">
      <alignment horizontal="center" vertical="center"/>
    </xf>
    <xf numFmtId="3" fontId="16" fillId="0" borderId="0" xfId="0" applyNumberFormat="1" applyFont="1" applyAlignment="1">
      <alignment horizontal="center" vertical="center"/>
    </xf>
    <xf numFmtId="3" fontId="29" fillId="0" borderId="0" xfId="0" applyNumberFormat="1" applyFont="1" applyAlignment="1">
      <alignment horizontal="centerContinuous" vertical="center"/>
    </xf>
    <xf numFmtId="3" fontId="1" fillId="0" borderId="67" xfId="0" applyNumberFormat="1" applyFont="1" applyBorder="1" applyAlignment="1">
      <alignment horizontal="center" vertical="center" wrapText="1"/>
    </xf>
    <xf numFmtId="3" fontId="1" fillId="0" borderId="68" xfId="0" applyNumberFormat="1" applyFont="1" applyBorder="1" applyAlignment="1">
      <alignment horizontal="center" vertical="center" wrapText="1"/>
    </xf>
    <xf numFmtId="3" fontId="1" fillId="0" borderId="69" xfId="0" applyNumberFormat="1" applyFont="1" applyBorder="1" applyAlignment="1">
      <alignment horizontal="center" vertical="center" wrapText="1"/>
    </xf>
    <xf numFmtId="0" fontId="1" fillId="8" borderId="68" xfId="0" applyFont="1" applyFill="1" applyBorder="1"/>
    <xf numFmtId="0" fontId="1" fillId="2" borderId="68" xfId="0" applyFont="1" applyFill="1" applyBorder="1" applyAlignment="1">
      <alignment horizontal="center" vertical="center" wrapText="1"/>
    </xf>
    <xf numFmtId="3" fontId="1" fillId="0" borderId="71" xfId="0" applyNumberFormat="1" applyFont="1" applyBorder="1" applyAlignment="1">
      <alignment horizontal="center" vertical="center" wrapText="1"/>
    </xf>
    <xf numFmtId="3" fontId="1" fillId="0" borderId="0" xfId="0" applyNumberFormat="1" applyFont="1" applyAlignment="1">
      <alignment horizontal="center" vertical="center" wrapText="1"/>
    </xf>
    <xf numFmtId="3" fontId="1" fillId="0" borderId="70" xfId="0" applyNumberFormat="1" applyFont="1" applyBorder="1" applyAlignment="1">
      <alignment horizontal="center" vertical="center" wrapText="1"/>
    </xf>
    <xf numFmtId="0" fontId="1" fillId="8" borderId="0" xfId="0" applyFont="1" applyFill="1"/>
    <xf numFmtId="0" fontId="1" fillId="2" borderId="0" xfId="0" applyFont="1" applyFill="1" applyAlignment="1">
      <alignment horizontal="center" vertical="center" wrapText="1"/>
    </xf>
    <xf numFmtId="3" fontId="1" fillId="0" borderId="72" xfId="0" applyNumberFormat="1" applyFont="1" applyBorder="1" applyAlignment="1">
      <alignment horizontal="center" vertical="center" wrapText="1"/>
    </xf>
    <xf numFmtId="3" fontId="1" fillId="0" borderId="60" xfId="0" applyNumberFormat="1" applyFont="1" applyBorder="1" applyAlignment="1">
      <alignment horizontal="center" vertical="center" wrapText="1"/>
    </xf>
    <xf numFmtId="3" fontId="1" fillId="0" borderId="73" xfId="0" applyNumberFormat="1" applyFont="1" applyBorder="1" applyAlignment="1">
      <alignment horizontal="center" vertical="center" wrapText="1"/>
    </xf>
    <xf numFmtId="3" fontId="1" fillId="0" borderId="60" xfId="0" applyNumberFormat="1" applyFont="1" applyBorder="1" applyAlignment="1">
      <alignment vertical="center"/>
    </xf>
    <xf numFmtId="3" fontId="1" fillId="8" borderId="60" xfId="0" applyNumberFormat="1" applyFont="1" applyFill="1" applyBorder="1" applyAlignment="1">
      <alignment vertical="center"/>
    </xf>
    <xf numFmtId="0" fontId="1" fillId="2" borderId="60" xfId="0" applyFont="1" applyFill="1" applyBorder="1" applyAlignment="1">
      <alignment horizontal="center" vertical="center" wrapText="1"/>
    </xf>
    <xf numFmtId="3" fontId="3" fillId="0" borderId="0" xfId="0" applyNumberFormat="1" applyFont="1" applyAlignment="1">
      <alignment horizontal="center" vertical="center" wrapText="1"/>
    </xf>
    <xf numFmtId="3" fontId="3" fillId="0" borderId="70" xfId="0" applyNumberFormat="1" applyFont="1" applyBorder="1" applyAlignment="1">
      <alignment horizontal="center" vertical="center" wrapText="1"/>
    </xf>
    <xf numFmtId="3" fontId="3" fillId="0" borderId="71" xfId="0" applyNumberFormat="1" applyFont="1" applyBorder="1" applyAlignment="1">
      <alignment horizontal="center" vertical="center"/>
    </xf>
    <xf numFmtId="3" fontId="3" fillId="0" borderId="0" xfId="0" applyNumberFormat="1" applyFont="1" applyAlignment="1">
      <alignment horizontal="center" vertical="center"/>
    </xf>
    <xf numFmtId="3" fontId="3" fillId="2" borderId="0" xfId="0" applyNumberFormat="1" applyFont="1" applyFill="1" applyAlignment="1">
      <alignment horizontal="center" vertical="center" wrapText="1"/>
    </xf>
    <xf numFmtId="3" fontId="3" fillId="2" borderId="0" xfId="0" applyNumberFormat="1" applyFont="1" applyFill="1" applyAlignment="1">
      <alignment vertical="center"/>
    </xf>
    <xf numFmtId="0" fontId="3" fillId="2" borderId="0" xfId="0" applyFont="1" applyFill="1" applyAlignment="1">
      <alignment horizontal="center" vertical="center" wrapText="1"/>
    </xf>
    <xf numFmtId="3" fontId="17" fillId="0" borderId="71" xfId="0" applyNumberFormat="1" applyFont="1" applyBorder="1" applyAlignment="1">
      <alignment horizontal="center" vertical="center" wrapText="1"/>
    </xf>
    <xf numFmtId="3" fontId="17" fillId="0" borderId="0" xfId="0" applyNumberFormat="1" applyFont="1" applyAlignment="1">
      <alignment horizontal="center" vertical="center" wrapText="1"/>
    </xf>
    <xf numFmtId="3" fontId="17" fillId="0" borderId="70" xfId="0" applyNumberFormat="1" applyFont="1" applyBorder="1" applyAlignment="1">
      <alignment horizontal="center" vertical="center" wrapText="1"/>
    </xf>
    <xf numFmtId="3" fontId="17" fillId="2" borderId="71" xfId="0" applyNumberFormat="1" applyFont="1" applyFill="1" applyBorder="1" applyAlignment="1">
      <alignment horizontal="center" vertical="center"/>
    </xf>
    <xf numFmtId="3" fontId="17" fillId="2" borderId="0" xfId="0" applyNumberFormat="1" applyFont="1" applyFill="1" applyAlignment="1">
      <alignment horizontal="center" vertical="center"/>
    </xf>
    <xf numFmtId="3" fontId="17" fillId="2" borderId="0" xfId="0" applyNumberFormat="1" applyFont="1" applyFill="1" applyAlignment="1">
      <alignment horizontal="center" vertical="center" wrapText="1"/>
    </xf>
    <xf numFmtId="3" fontId="17" fillId="2" borderId="70" xfId="0" applyNumberFormat="1" applyFont="1" applyFill="1" applyBorder="1" applyAlignment="1">
      <alignment horizontal="center" vertical="center" wrapText="1"/>
    </xf>
    <xf numFmtId="3" fontId="15" fillId="3" borderId="0" xfId="0" applyNumberFormat="1" applyFont="1" applyFill="1" applyAlignment="1">
      <alignment vertical="center"/>
    </xf>
    <xf numFmtId="0" fontId="2" fillId="0" borderId="0" xfId="0" applyFont="1" applyAlignment="1">
      <alignment vertical="center"/>
    </xf>
    <xf numFmtId="3" fontId="17" fillId="2" borderId="60" xfId="0" applyNumberFormat="1" applyFont="1" applyFill="1" applyBorder="1" applyAlignment="1">
      <alignment horizontal="center" vertical="center" wrapText="1"/>
    </xf>
    <xf numFmtId="3" fontId="17" fillId="2" borderId="73" xfId="0" applyNumberFormat="1" applyFont="1" applyFill="1" applyBorder="1" applyAlignment="1">
      <alignment horizontal="center" vertical="center" wrapText="1"/>
    </xf>
    <xf numFmtId="3" fontId="1" fillId="2" borderId="60" xfId="0" applyNumberFormat="1" applyFont="1" applyFill="1" applyBorder="1" applyAlignment="1">
      <alignment horizontal="center" vertical="center" wrapText="1"/>
    </xf>
    <xf numFmtId="3" fontId="1" fillId="2" borderId="0" xfId="0" applyNumberFormat="1" applyFont="1" applyFill="1" applyAlignment="1">
      <alignment horizontal="center" vertical="center" wrapText="1"/>
    </xf>
    <xf numFmtId="0" fontId="4" fillId="0" borderId="2" xfId="0" applyFont="1" applyBorder="1" applyAlignment="1">
      <alignment vertical="center"/>
    </xf>
    <xf numFmtId="3" fontId="4" fillId="0" borderId="2" xfId="0" applyNumberFormat="1" applyFont="1" applyBorder="1" applyAlignment="1">
      <alignment horizontal="left" vertical="center"/>
    </xf>
    <xf numFmtId="3" fontId="4" fillId="0" borderId="2" xfId="0" applyNumberFormat="1" applyFont="1" applyBorder="1" applyAlignment="1">
      <alignment horizontal="center" vertical="center"/>
    </xf>
    <xf numFmtId="0" fontId="1" fillId="0" borderId="60" xfId="0" applyFont="1" applyBorder="1" applyAlignment="1">
      <alignment vertical="center"/>
    </xf>
    <xf numFmtId="3" fontId="4" fillId="0" borderId="1" xfId="0" applyNumberFormat="1" applyFont="1" applyBorder="1" applyAlignment="1">
      <alignment horizontal="center" vertical="center"/>
    </xf>
    <xf numFmtId="3" fontId="4" fillId="0" borderId="2" xfId="0" applyNumberFormat="1" applyFont="1" applyBorder="1" applyAlignment="1">
      <alignment horizontal="center" vertical="center" wrapText="1"/>
    </xf>
    <xf numFmtId="3" fontId="4" fillId="0" borderId="3" xfId="0" applyNumberFormat="1" applyFont="1" applyBorder="1" applyAlignment="1">
      <alignment horizontal="center" vertical="center" wrapText="1"/>
    </xf>
    <xf numFmtId="0" fontId="1" fillId="0" borderId="0" xfId="0" applyFont="1" applyAlignment="1">
      <alignment vertical="center"/>
    </xf>
    <xf numFmtId="3" fontId="1" fillId="0" borderId="68" xfId="0" applyNumberFormat="1" applyFont="1" applyBorder="1" applyAlignment="1">
      <alignment horizontal="center" vertical="center"/>
    </xf>
    <xf numFmtId="0" fontId="1" fillId="0" borderId="68" xfId="0" applyFont="1" applyBorder="1" applyAlignment="1">
      <alignment vertical="center"/>
    </xf>
    <xf numFmtId="0" fontId="17" fillId="0" borderId="0" xfId="0" applyFont="1" applyAlignment="1">
      <alignment vertical="center"/>
    </xf>
    <xf numFmtId="3" fontId="17" fillId="0" borderId="0" xfId="0" applyNumberFormat="1" applyFont="1" applyAlignment="1">
      <alignment horizontal="center" vertical="center"/>
    </xf>
    <xf numFmtId="0" fontId="17" fillId="0" borderId="0" xfId="0" applyFont="1" applyAlignment="1">
      <alignment horizontal="center" vertical="center"/>
    </xf>
    <xf numFmtId="3" fontId="17" fillId="2" borderId="71" xfId="0" applyNumberFormat="1" applyFont="1" applyFill="1" applyBorder="1" applyAlignment="1">
      <alignment horizontal="left" vertical="center" indent="1"/>
    </xf>
    <xf numFmtId="3" fontId="17" fillId="2" borderId="0" xfId="0" applyNumberFormat="1" applyFont="1" applyFill="1" applyAlignment="1">
      <alignment horizontal="left" vertical="center" indent="1"/>
    </xf>
    <xf numFmtId="166" fontId="17" fillId="2" borderId="0" xfId="0" applyNumberFormat="1" applyFont="1" applyFill="1" applyAlignment="1">
      <alignment horizontal="center"/>
    </xf>
    <xf numFmtId="166" fontId="17" fillId="2" borderId="70" xfId="0" applyNumberFormat="1" applyFont="1" applyFill="1" applyBorder="1" applyAlignment="1">
      <alignment horizontal="center"/>
    </xf>
    <xf numFmtId="166" fontId="17" fillId="0" borderId="0" xfId="0" applyNumberFormat="1" applyFont="1" applyAlignment="1">
      <alignment horizontal="center"/>
    </xf>
    <xf numFmtId="166" fontId="17" fillId="0" borderId="70" xfId="0" applyNumberFormat="1" applyFont="1" applyBorder="1" applyAlignment="1">
      <alignment horizontal="center"/>
    </xf>
    <xf numFmtId="0" fontId="17" fillId="2" borderId="0" xfId="0" applyFont="1" applyFill="1" applyAlignment="1">
      <alignment horizontal="center" vertical="center"/>
    </xf>
    <xf numFmtId="0" fontId="1" fillId="2" borderId="0" xfId="0" applyFont="1" applyFill="1" applyAlignment="1">
      <alignment vertical="center"/>
    </xf>
    <xf numFmtId="165" fontId="30" fillId="0" borderId="0" xfId="0" applyNumberFormat="1" applyFont="1" applyAlignment="1">
      <alignment horizontal="center" vertical="center"/>
    </xf>
    <xf numFmtId="3" fontId="17" fillId="0" borderId="71" xfId="0" applyNumberFormat="1" applyFont="1" applyBorder="1" applyAlignment="1">
      <alignment horizontal="left" vertical="center" indent="1"/>
    </xf>
    <xf numFmtId="3" fontId="17" fillId="0" borderId="0" xfId="0" applyNumberFormat="1" applyFont="1" applyAlignment="1">
      <alignment horizontal="left" vertical="center" indent="1"/>
    </xf>
    <xf numFmtId="166" fontId="17" fillId="2" borderId="0" xfId="0" applyNumberFormat="1" applyFont="1" applyFill="1" applyAlignment="1">
      <alignment horizontal="center" vertical="center"/>
    </xf>
    <xf numFmtId="166" fontId="17" fillId="2" borderId="70" xfId="0" applyNumberFormat="1" applyFont="1" applyFill="1" applyBorder="1" applyAlignment="1">
      <alignment horizontal="center" vertical="center"/>
    </xf>
    <xf numFmtId="9" fontId="1" fillId="2" borderId="0" xfId="0" applyNumberFormat="1" applyFont="1" applyFill="1" applyAlignment="1">
      <alignment horizontal="center" vertical="center"/>
    </xf>
    <xf numFmtId="3" fontId="1" fillId="2" borderId="60" xfId="0" applyNumberFormat="1" applyFont="1" applyFill="1" applyBorder="1" applyAlignment="1">
      <alignment horizontal="center" vertical="center"/>
    </xf>
    <xf numFmtId="3" fontId="1" fillId="0" borderId="60" xfId="0" applyNumberFormat="1" applyFont="1" applyBorder="1" applyAlignment="1">
      <alignment horizontal="center" vertical="center"/>
    </xf>
    <xf numFmtId="3" fontId="31" fillId="0" borderId="0" xfId="0" applyNumberFormat="1" applyFont="1" applyAlignment="1">
      <alignment horizontal="center" vertical="center" wrapText="1"/>
    </xf>
    <xf numFmtId="3" fontId="31" fillId="0" borderId="68" xfId="0" applyNumberFormat="1" applyFont="1" applyBorder="1" applyAlignment="1">
      <alignment horizontal="justify" wrapText="1"/>
    </xf>
    <xf numFmtId="0" fontId="3" fillId="0" borderId="68" xfId="0" applyFont="1" applyBorder="1" applyAlignment="1">
      <alignment horizontal="justify" wrapText="1"/>
    </xf>
    <xf numFmtId="0" fontId="3" fillId="0" borderId="69" xfId="0" applyFont="1" applyBorder="1" applyAlignment="1">
      <alignment horizontal="justify" wrapText="1"/>
    </xf>
    <xf numFmtId="0" fontId="3" fillId="0" borderId="0" xfId="0" applyFont="1" applyAlignment="1">
      <alignment horizontal="justify" wrapText="1"/>
    </xf>
    <xf numFmtId="0" fontId="3" fillId="0" borderId="70" xfId="0" applyFont="1" applyBorder="1" applyAlignment="1">
      <alignment horizontal="justify" wrapText="1"/>
    </xf>
    <xf numFmtId="3" fontId="32" fillId="2" borderId="0" xfId="0" applyNumberFormat="1" applyFont="1" applyFill="1" applyAlignment="1">
      <alignment vertical="center"/>
    </xf>
    <xf numFmtId="0" fontId="31" fillId="0" borderId="0" xfId="0" applyFont="1" applyAlignment="1">
      <alignment horizontal="justify" vertical="top" wrapText="1"/>
    </xf>
    <xf numFmtId="0" fontId="3" fillId="0" borderId="0" xfId="0" applyFont="1" applyAlignment="1">
      <alignment horizontal="justify" vertical="top" wrapText="1"/>
    </xf>
    <xf numFmtId="0" fontId="3" fillId="0" borderId="70" xfId="0" applyFont="1" applyBorder="1" applyAlignment="1">
      <alignment horizontal="justify" vertical="top" wrapText="1"/>
    </xf>
    <xf numFmtId="3" fontId="31" fillId="0" borderId="60" xfId="0" applyNumberFormat="1" applyFont="1" applyBorder="1" applyAlignment="1">
      <alignment horizontal="center" vertical="center" wrapText="1"/>
    </xf>
    <xf numFmtId="0" fontId="3" fillId="0" borderId="60" xfId="0" applyFont="1" applyBorder="1" applyAlignment="1">
      <alignment horizontal="justify" vertical="top" wrapText="1"/>
    </xf>
    <xf numFmtId="0" fontId="3" fillId="0" borderId="73" xfId="0" applyFont="1" applyBorder="1" applyAlignment="1">
      <alignment horizontal="justify" vertical="top" wrapText="1"/>
    </xf>
    <xf numFmtId="3" fontId="31" fillId="2" borderId="0" xfId="0" applyNumberFormat="1" applyFont="1" applyFill="1" applyAlignment="1">
      <alignment horizontal="center" vertical="center" wrapText="1"/>
    </xf>
    <xf numFmtId="166" fontId="1" fillId="2" borderId="0" xfId="0" applyNumberFormat="1" applyFont="1" applyFill="1" applyAlignment="1">
      <alignment horizontal="center"/>
    </xf>
    <xf numFmtId="3" fontId="31" fillId="0" borderId="0" xfId="0" applyNumberFormat="1" applyFont="1" applyAlignment="1">
      <alignment vertical="center"/>
    </xf>
    <xf numFmtId="3" fontId="17" fillId="0" borderId="0" xfId="0" applyNumberFormat="1" applyFont="1"/>
    <xf numFmtId="3" fontId="17" fillId="0" borderId="0" xfId="0" applyNumberFormat="1" applyFont="1" applyAlignment="1">
      <alignment horizontal="center"/>
    </xf>
    <xf numFmtId="165" fontId="17" fillId="0" borderId="0" xfId="0" applyNumberFormat="1" applyFont="1"/>
    <xf numFmtId="4" fontId="17" fillId="0" borderId="0" xfId="0" applyNumberFormat="1" applyFont="1"/>
    <xf numFmtId="3" fontId="17" fillId="9" borderId="0" xfId="0" applyNumberFormat="1" applyFont="1" applyFill="1"/>
    <xf numFmtId="3" fontId="17" fillId="9" borderId="0" xfId="0" applyNumberFormat="1" applyFont="1" applyFill="1" applyAlignment="1">
      <alignment horizontal="center"/>
    </xf>
    <xf numFmtId="3" fontId="17" fillId="9" borderId="0" xfId="0" applyNumberFormat="1" applyFont="1" applyFill="1" applyAlignment="1">
      <alignment horizontal="right"/>
    </xf>
    <xf numFmtId="3" fontId="27" fillId="9" borderId="0" xfId="0" applyNumberFormat="1" applyFont="1" applyFill="1"/>
    <xf numFmtId="165" fontId="27" fillId="9" borderId="0" xfId="0" applyNumberFormat="1" applyFont="1" applyFill="1" applyAlignment="1">
      <alignment horizontal="right"/>
    </xf>
    <xf numFmtId="165" fontId="17" fillId="9" borderId="0" xfId="0" applyNumberFormat="1" applyFont="1" applyFill="1"/>
    <xf numFmtId="10" fontId="17" fillId="9" borderId="0" xfId="0" applyNumberFormat="1" applyFont="1" applyFill="1"/>
    <xf numFmtId="9" fontId="17" fillId="9" borderId="0" xfId="0" applyNumberFormat="1" applyFont="1" applyFill="1"/>
    <xf numFmtId="10" fontId="17" fillId="9" borderId="0" xfId="0" applyNumberFormat="1" applyFont="1" applyFill="1" applyAlignment="1">
      <alignment horizontal="right"/>
    </xf>
    <xf numFmtId="9" fontId="17" fillId="9" borderId="0" xfId="0" applyNumberFormat="1" applyFont="1" applyFill="1" applyAlignment="1">
      <alignment horizontal="right"/>
    </xf>
    <xf numFmtId="4" fontId="17" fillId="9" borderId="0" xfId="0" applyNumberFormat="1" applyFont="1" applyFill="1" applyAlignment="1">
      <alignment horizontal="right"/>
    </xf>
    <xf numFmtId="165" fontId="27" fillId="9" borderId="0" xfId="0" applyNumberFormat="1" applyFont="1" applyFill="1"/>
    <xf numFmtId="10" fontId="27" fillId="9" borderId="0" xfId="0" applyNumberFormat="1" applyFont="1" applyFill="1"/>
    <xf numFmtId="10" fontId="17" fillId="0" borderId="0" xfId="0" applyNumberFormat="1" applyFont="1"/>
    <xf numFmtId="3" fontId="27" fillId="0" borderId="35" xfId="0" applyNumberFormat="1" applyFont="1" applyBorder="1" applyAlignment="1">
      <alignment horizontal="center"/>
    </xf>
    <xf numFmtId="3" fontId="33" fillId="3" borderId="0" xfId="0" applyNumberFormat="1" applyFont="1" applyFill="1" applyAlignment="1">
      <alignment horizontal="center" vertical="center" wrapText="1"/>
    </xf>
    <xf numFmtId="4" fontId="33" fillId="3" borderId="0" xfId="0" applyNumberFormat="1" applyFont="1" applyFill="1" applyAlignment="1">
      <alignment horizontal="center" vertical="center" wrapText="1"/>
    </xf>
    <xf numFmtId="3" fontId="33" fillId="0" borderId="0" xfId="0" applyNumberFormat="1" applyFont="1" applyAlignment="1">
      <alignment horizontal="center" vertical="center" wrapText="1"/>
    </xf>
    <xf numFmtId="167" fontId="17" fillId="0" borderId="0" xfId="0" applyNumberFormat="1" applyFont="1"/>
    <xf numFmtId="3" fontId="27" fillId="0" borderId="0" xfId="0" applyNumberFormat="1" applyFont="1" applyAlignment="1">
      <alignment horizontal="center"/>
    </xf>
    <xf numFmtId="3" fontId="27" fillId="0" borderId="0" xfId="0" applyNumberFormat="1" applyFont="1"/>
    <xf numFmtId="3" fontId="17" fillId="10" borderId="0" xfId="0" applyNumberFormat="1" applyFont="1" applyFill="1"/>
    <xf numFmtId="165" fontId="34" fillId="0" borderId="0" xfId="0" applyNumberFormat="1" applyFont="1" applyAlignment="1">
      <alignment horizontal="center" vertical="top" wrapText="1" readingOrder="1"/>
    </xf>
    <xf numFmtId="0" fontId="34" fillId="0" borderId="0" xfId="0" applyFont="1" applyAlignment="1">
      <alignment horizontal="center" vertical="center" wrapText="1" readingOrder="1"/>
    </xf>
    <xf numFmtId="3" fontId="17" fillId="11" borderId="0" xfId="0" applyNumberFormat="1" applyFont="1" applyFill="1" applyAlignment="1">
      <alignment horizontal="center"/>
    </xf>
    <xf numFmtId="168" fontId="17" fillId="9" borderId="0" xfId="0" applyNumberFormat="1" applyFont="1" applyFill="1" applyAlignment="1">
      <alignment horizontal="right"/>
    </xf>
    <xf numFmtId="9" fontId="13" fillId="9" borderId="0" xfId="0" applyNumberFormat="1" applyFont="1" applyFill="1" applyAlignment="1">
      <alignment horizontal="right"/>
    </xf>
    <xf numFmtId="0" fontId="35" fillId="0" borderId="0" xfId="0" applyFont="1" applyAlignment="1">
      <alignment horizontal="center" wrapText="1" readingOrder="1"/>
    </xf>
    <xf numFmtId="3" fontId="17" fillId="0" borderId="35" xfId="0" applyNumberFormat="1" applyFont="1" applyBorder="1" applyAlignment="1">
      <alignment horizontal="center"/>
    </xf>
    <xf numFmtId="3" fontId="17" fillId="0" borderId="35" xfId="0" applyNumberFormat="1" applyFont="1" applyBorder="1" applyAlignment="1">
      <alignment horizontal="left"/>
    </xf>
    <xf numFmtId="165" fontId="17" fillId="0" borderId="35" xfId="0" applyNumberFormat="1" applyFont="1" applyBorder="1" applyAlignment="1">
      <alignment horizontal="center"/>
    </xf>
    <xf numFmtId="167" fontId="17" fillId="9" borderId="0" xfId="0" applyNumberFormat="1" applyFont="1" applyFill="1"/>
    <xf numFmtId="9" fontId="17" fillId="0" borderId="0" xfId="0" applyNumberFormat="1" applyFont="1" applyAlignment="1">
      <alignment horizontal="right"/>
    </xf>
    <xf numFmtId="9" fontId="17" fillId="0" borderId="0" xfId="0" applyNumberFormat="1" applyFont="1"/>
    <xf numFmtId="0" fontId="36" fillId="0" borderId="0" xfId="0" applyFont="1" applyAlignment="1">
      <alignment horizontal="center" wrapText="1"/>
    </xf>
    <xf numFmtId="3" fontId="36" fillId="12" borderId="0" xfId="0" applyNumberFormat="1" applyFont="1" applyFill="1"/>
    <xf numFmtId="169" fontId="36" fillId="0" borderId="0" xfId="0" applyNumberFormat="1" applyFont="1"/>
    <xf numFmtId="3" fontId="12" fillId="0" borderId="0" xfId="0" applyNumberFormat="1" applyFont="1" applyAlignment="1">
      <alignment horizontal="center" vertical="center" textRotation="255"/>
    </xf>
    <xf numFmtId="0" fontId="36" fillId="0" borderId="0" xfId="0" applyFont="1"/>
    <xf numFmtId="9" fontId="37" fillId="0" borderId="0" xfId="0" applyNumberFormat="1" applyFont="1"/>
    <xf numFmtId="9" fontId="36" fillId="12" borderId="0" xfId="0" applyNumberFormat="1" applyFont="1" applyFill="1"/>
    <xf numFmtId="0" fontId="36" fillId="0" borderId="0" xfId="0" applyFont="1" applyAlignment="1">
      <alignment horizontal="center" vertical="center" textRotation="255"/>
    </xf>
    <xf numFmtId="167" fontId="38" fillId="2" borderId="0" xfId="0" applyNumberFormat="1" applyFont="1" applyFill="1"/>
    <xf numFmtId="167" fontId="38" fillId="2" borderId="0" xfId="0" applyNumberFormat="1" applyFont="1" applyFill="1" applyAlignment="1">
      <alignment horizontal="center"/>
    </xf>
    <xf numFmtId="0" fontId="38" fillId="2" borderId="0" xfId="0" applyFont="1" applyFill="1"/>
    <xf numFmtId="0" fontId="38" fillId="2" borderId="0" xfId="0" applyFont="1" applyFill="1" applyAlignment="1">
      <alignment horizontal="center"/>
    </xf>
    <xf numFmtId="170" fontId="39" fillId="2" borderId="0" xfId="0" applyNumberFormat="1" applyFont="1" applyFill="1"/>
    <xf numFmtId="3" fontId="39" fillId="2" borderId="0" xfId="0" applyNumberFormat="1" applyFont="1" applyFill="1"/>
    <xf numFmtId="3" fontId="39" fillId="12" borderId="0" xfId="0" applyNumberFormat="1" applyFont="1" applyFill="1" applyAlignment="1">
      <alignment horizontal="left"/>
    </xf>
    <xf numFmtId="0" fontId="39" fillId="12" borderId="0" xfId="0" applyFont="1" applyFill="1" applyAlignment="1">
      <alignment horizontal="left"/>
    </xf>
    <xf numFmtId="0" fontId="39" fillId="9" borderId="0" xfId="0" applyFont="1" applyFill="1" applyAlignment="1">
      <alignment wrapText="1"/>
    </xf>
    <xf numFmtId="0" fontId="39" fillId="13" borderId="0" xfId="0" applyFont="1" applyFill="1" applyAlignment="1">
      <alignment horizontal="right"/>
    </xf>
    <xf numFmtId="169" fontId="39" fillId="13" borderId="0" xfId="0" applyNumberFormat="1" applyFont="1" applyFill="1" applyAlignment="1">
      <alignment horizontal="left"/>
    </xf>
    <xf numFmtId="0" fontId="40" fillId="7" borderId="0" xfId="0" applyFont="1" applyFill="1" applyAlignment="1">
      <alignment horizontal="center"/>
    </xf>
    <xf numFmtId="0" fontId="36" fillId="9" borderId="0" xfId="0" applyFont="1" applyFill="1" applyAlignment="1">
      <alignment wrapText="1"/>
    </xf>
    <xf numFmtId="167" fontId="40" fillId="14" borderId="0" xfId="0" applyNumberFormat="1" applyFont="1" applyFill="1" applyAlignment="1">
      <alignment horizontal="center"/>
    </xf>
    <xf numFmtId="0" fontId="40" fillId="14" borderId="0" xfId="0" applyFont="1" applyFill="1" applyAlignment="1">
      <alignment horizontal="center"/>
    </xf>
    <xf numFmtId="0" fontId="40" fillId="14" borderId="0" xfId="0" applyFont="1" applyFill="1"/>
    <xf numFmtId="0" fontId="36" fillId="9" borderId="60" xfId="0" applyFont="1" applyFill="1" applyBorder="1" applyAlignment="1">
      <alignment wrapText="1"/>
    </xf>
    <xf numFmtId="167" fontId="38" fillId="2" borderId="60" xfId="0" applyNumberFormat="1" applyFont="1" applyFill="1" applyBorder="1"/>
    <xf numFmtId="167" fontId="38" fillId="2" borderId="60" xfId="0" applyNumberFormat="1" applyFont="1" applyFill="1" applyBorder="1" applyAlignment="1">
      <alignment horizontal="center"/>
    </xf>
    <xf numFmtId="0" fontId="38" fillId="2" borderId="60" xfId="0" applyFont="1" applyFill="1" applyBorder="1"/>
    <xf numFmtId="0" fontId="39" fillId="2" borderId="35" xfId="0" applyFont="1" applyFill="1" applyBorder="1" applyAlignment="1">
      <alignment horizontal="center"/>
    </xf>
    <xf numFmtId="170" fontId="39" fillId="2" borderId="35" xfId="0" applyNumberFormat="1" applyFont="1" applyFill="1" applyBorder="1" applyAlignment="1">
      <alignment horizontal="center"/>
    </xf>
    <xf numFmtId="3" fontId="39" fillId="12" borderId="35" xfId="0" applyNumberFormat="1" applyFont="1" applyFill="1" applyBorder="1" applyAlignment="1">
      <alignment horizontal="center"/>
    </xf>
    <xf numFmtId="3" fontId="40" fillId="15" borderId="0" xfId="0" applyNumberFormat="1" applyFont="1" applyFill="1" applyAlignment="1">
      <alignment horizontal="center" vertical="center"/>
    </xf>
    <xf numFmtId="167" fontId="38" fillId="2" borderId="35" xfId="0" applyNumberFormat="1" applyFont="1" applyFill="1" applyBorder="1"/>
    <xf numFmtId="167" fontId="38" fillId="2" borderId="35" xfId="0" applyNumberFormat="1" applyFont="1" applyFill="1" applyBorder="1" applyAlignment="1">
      <alignment horizontal="center"/>
    </xf>
    <xf numFmtId="0" fontId="38" fillId="2" borderId="35" xfId="0" applyFont="1" applyFill="1" applyBorder="1"/>
    <xf numFmtId="3" fontId="38" fillId="2" borderId="35" xfId="0" applyNumberFormat="1" applyFont="1" applyFill="1" applyBorder="1"/>
    <xf numFmtId="0" fontId="38" fillId="2" borderId="35" xfId="0" applyFont="1" applyFill="1" applyBorder="1" applyAlignment="1">
      <alignment horizontal="center"/>
    </xf>
    <xf numFmtId="3" fontId="38" fillId="2" borderId="35" xfId="0" applyNumberFormat="1" applyFont="1" applyFill="1" applyBorder="1" applyAlignment="1">
      <alignment horizontal="center"/>
    </xf>
    <xf numFmtId="3" fontId="38" fillId="2" borderId="1" xfId="0" applyNumberFormat="1" applyFont="1" applyFill="1" applyBorder="1"/>
    <xf numFmtId="167" fontId="38" fillId="9" borderId="35" xfId="0" applyNumberFormat="1" applyFont="1" applyFill="1" applyBorder="1"/>
    <xf numFmtId="10" fontId="38" fillId="2" borderId="0" xfId="0" applyNumberFormat="1" applyFont="1" applyFill="1"/>
    <xf numFmtId="9" fontId="38" fillId="2" borderId="0" xfId="0" applyNumberFormat="1" applyFont="1" applyFill="1"/>
    <xf numFmtId="171" fontId="38" fillId="2" borderId="0" xfId="0" applyNumberFormat="1" applyFont="1" applyFill="1"/>
    <xf numFmtId="3" fontId="38" fillId="2" borderId="0" xfId="0" applyNumberFormat="1" applyFont="1" applyFill="1" applyAlignment="1">
      <alignment horizontal="center" vertical="center"/>
    </xf>
    <xf numFmtId="167" fontId="39" fillId="2" borderId="0" xfId="0" applyNumberFormat="1" applyFont="1" applyFill="1"/>
    <xf numFmtId="0" fontId="39" fillId="2" borderId="0" xfId="0" applyFont="1" applyFill="1"/>
    <xf numFmtId="0" fontId="39" fillId="2" borderId="0" xfId="0" applyFont="1" applyFill="1" applyAlignment="1">
      <alignment horizontal="center" vertical="center"/>
    </xf>
    <xf numFmtId="3" fontId="40" fillId="3" borderId="0" xfId="0" applyNumberFormat="1" applyFont="1" applyFill="1" applyAlignment="1">
      <alignment horizontal="center" vertical="center"/>
    </xf>
    <xf numFmtId="0" fontId="38" fillId="2" borderId="0" xfId="0" applyFont="1" applyFill="1" applyAlignment="1">
      <alignment horizontal="left" wrapText="1"/>
    </xf>
    <xf numFmtId="0" fontId="37" fillId="0" borderId="0" xfId="0" applyFont="1" applyAlignment="1">
      <alignment horizontal="left" wrapText="1"/>
    </xf>
    <xf numFmtId="0" fontId="38" fillId="2" borderId="0" xfId="0" applyFont="1" applyFill="1" applyAlignment="1">
      <alignment wrapText="1"/>
    </xf>
    <xf numFmtId="0" fontId="37" fillId="0" borderId="0" xfId="0" applyFont="1" applyAlignment="1">
      <alignment wrapText="1"/>
    </xf>
    <xf numFmtId="0" fontId="39" fillId="2" borderId="0" xfId="0" applyFont="1" applyFill="1" applyAlignment="1">
      <alignment horizontal="left"/>
    </xf>
    <xf numFmtId="0" fontId="39" fillId="2" borderId="0" xfId="0" applyFont="1" applyFill="1" applyAlignment="1">
      <alignment horizontal="center"/>
    </xf>
    <xf numFmtId="3" fontId="39" fillId="2" borderId="0" xfId="0" applyNumberFormat="1" applyFont="1" applyFill="1" applyAlignment="1">
      <alignment horizontal="center"/>
    </xf>
    <xf numFmtId="172" fontId="38" fillId="2" borderId="0" xfId="0" applyNumberFormat="1" applyFont="1" applyFill="1" applyAlignment="1">
      <alignment horizontal="left" wrapText="1"/>
    </xf>
    <xf numFmtId="0" fontId="41" fillId="0" borderId="0" xfId="0" applyFont="1" applyAlignment="1">
      <alignment horizontal="left" wrapText="1"/>
    </xf>
    <xf numFmtId="167" fontId="39" fillId="2" borderId="0" xfId="0" applyNumberFormat="1" applyFont="1" applyFill="1" applyAlignment="1">
      <alignment horizontal="left"/>
    </xf>
    <xf numFmtId="3" fontId="38" fillId="2" borderId="0" xfId="0" applyNumberFormat="1" applyFont="1" applyFill="1" applyAlignment="1">
      <alignment horizontal="center"/>
    </xf>
    <xf numFmtId="3" fontId="38" fillId="2" borderId="0" xfId="0" applyNumberFormat="1" applyFont="1" applyFill="1"/>
    <xf numFmtId="170" fontId="38" fillId="2" borderId="0" xfId="0" applyNumberFormat="1" applyFont="1" applyFill="1"/>
    <xf numFmtId="173" fontId="38" fillId="2" borderId="0" xfId="0" applyNumberFormat="1" applyFont="1" applyFill="1"/>
    <xf numFmtId="3" fontId="38" fillId="2" borderId="0" xfId="0" applyNumberFormat="1" applyFont="1" applyFill="1" applyAlignment="1">
      <alignment horizontal="right"/>
    </xf>
    <xf numFmtId="0" fontId="38" fillId="15" borderId="0" xfId="0" applyFont="1" applyFill="1"/>
    <xf numFmtId="0" fontId="39" fillId="9" borderId="0" xfId="0" applyFont="1" applyFill="1"/>
    <xf numFmtId="0" fontId="39" fillId="15" borderId="0" xfId="0" applyFont="1" applyFill="1"/>
    <xf numFmtId="0" fontId="38" fillId="9" borderId="0" xfId="0" applyFont="1" applyFill="1"/>
    <xf numFmtId="169" fontId="38" fillId="9" borderId="0" xfId="0" applyNumberFormat="1" applyFont="1" applyFill="1"/>
    <xf numFmtId="169" fontId="38" fillId="15" borderId="0" xfId="0" applyNumberFormat="1" applyFont="1" applyFill="1"/>
    <xf numFmtId="169" fontId="38" fillId="2" borderId="0" xfId="0" applyNumberFormat="1" applyFont="1" applyFill="1"/>
    <xf numFmtId="169" fontId="38" fillId="2" borderId="0" xfId="0" applyNumberFormat="1" applyFont="1" applyFill="1" applyAlignment="1">
      <alignment horizontal="center"/>
    </xf>
    <xf numFmtId="169" fontId="39" fillId="15" borderId="0" xfId="0" applyNumberFormat="1" applyFont="1" applyFill="1"/>
    <xf numFmtId="169" fontId="39" fillId="2" borderId="0" xfId="0" applyNumberFormat="1" applyFont="1" applyFill="1"/>
    <xf numFmtId="10" fontId="39" fillId="2" borderId="0" xfId="0" applyNumberFormat="1" applyFont="1" applyFill="1"/>
    <xf numFmtId="10" fontId="39" fillId="2" borderId="0" xfId="0" applyNumberFormat="1" applyFont="1" applyFill="1" applyAlignment="1">
      <alignment horizontal="center"/>
    </xf>
    <xf numFmtId="3" fontId="39" fillId="2" borderId="0" xfId="0" applyNumberFormat="1" applyFont="1" applyFill="1" applyAlignment="1">
      <alignment horizontal="right"/>
    </xf>
    <xf numFmtId="0" fontId="39" fillId="2" borderId="0" xfId="0" applyFont="1" applyFill="1" applyAlignment="1">
      <alignment horizontal="right"/>
    </xf>
    <xf numFmtId="9" fontId="39" fillId="12" borderId="0" xfId="0" applyNumberFormat="1" applyFont="1" applyFill="1"/>
    <xf numFmtId="167" fontId="38" fillId="9" borderId="35" xfId="0" applyNumberFormat="1" applyFont="1" applyFill="1" applyBorder="1" applyAlignment="1">
      <alignment horizontal="center"/>
    </xf>
    <xf numFmtId="0" fontId="38" fillId="9" borderId="35" xfId="0" applyFont="1" applyFill="1" applyBorder="1"/>
    <xf numFmtId="3" fontId="38" fillId="9" borderId="35" xfId="0" applyNumberFormat="1" applyFont="1" applyFill="1" applyBorder="1"/>
    <xf numFmtId="3" fontId="38" fillId="9" borderId="0" xfId="0" applyNumberFormat="1" applyFont="1" applyFill="1"/>
    <xf numFmtId="170" fontId="38" fillId="9" borderId="0" xfId="0" applyNumberFormat="1" applyFont="1" applyFill="1"/>
    <xf numFmtId="167" fontId="38" fillId="9" borderId="0" xfId="0" applyNumberFormat="1" applyFont="1" applyFill="1"/>
    <xf numFmtId="0" fontId="38" fillId="9" borderId="0" xfId="0" applyFont="1" applyFill="1" applyAlignment="1">
      <alignment horizontal="center"/>
    </xf>
  </cellXfs>
  <cellStyles count="1">
    <cellStyle name="Normal" xfId="0" builtinId="0"/>
  </cellStyles>
  <dxfs count="1">
    <dxf>
      <font>
        <color indexed="9"/>
        <condense/>
        <extend/>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2.xml"/><Relationship Id="rId5" Type="http://schemas.openxmlformats.org/officeDocument/2006/relationships/worksheet" Target="worksheets/sheet17.xml"/><Relationship Id="rId6" Type="http://schemas.openxmlformats.org/officeDocument/2006/relationships/worksheet" Target="worksheets/sheet19.xml"/><Relationship Id="rId7" Type="http://schemas.openxmlformats.org/officeDocument/2006/relationships/worksheet" Target="worksheets/sheet20.xml"/><Relationship Id="rId8" Type="http://schemas.openxmlformats.org/officeDocument/2006/relationships/worksheet" Target="worksheets/sheet18.xml"/><Relationship Id="rId9" Type="http://schemas.openxmlformats.org/officeDocument/2006/relationships/worksheet" Target="worksheets/sheet21.xml"/><Relationship Id="rId10" Type="http://schemas.openxmlformats.org/officeDocument/2006/relationships/worksheet" Target="worksheets/sheet22.xml"/><Relationship Id="rId11" Type="http://schemas.openxmlformats.org/officeDocument/2006/relationships/worksheet" Target="worksheets/sheet23.xml"/></Relationships>
</file>

<file path=xl/drawings/_rels/drawing1.xml.rels><?xml version="1.0" encoding="UTF-8" standalone="yes"?>
<Relationships xmlns="http://schemas.openxmlformats.org/package/2006/relationships"><Relationship Id="rId1" Type="http://schemas.openxmlformats.org/officeDocument/2006/relationships/image" Target="../media/image3.emf"/><Relationship Id="rId2" Type="http://schemas.openxmlformats.org/officeDocument/2006/relationships/image" Target="../media/image2.jpe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26</xdr:col>
      <xdr:colOff>161925</xdr:colOff>
      <xdr:row>2</xdr:row>
      <xdr:rowOff>28575</xdr:rowOff>
    </xdr:from>
    <xdr:to>
      <xdr:col>32</xdr:col>
      <xdr:colOff>66675</xdr:colOff>
      <xdr:row>3</xdr:row>
      <xdr:rowOff>276225</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26</xdr:col>
      <xdr:colOff>180975</xdr:colOff>
      <xdr:row>2</xdr:row>
      <xdr:rowOff>57150</xdr:rowOff>
    </xdr:from>
    <xdr:to>
      <xdr:col>32</xdr:col>
      <xdr:colOff>47625</xdr:colOff>
      <xdr:row>3</xdr:row>
      <xdr:rowOff>257175</xdr:rowOff>
    </xdr:to>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26</xdr:col>
      <xdr:colOff>19050</xdr:colOff>
      <xdr:row>6</xdr:row>
      <xdr:rowOff>19050</xdr:rowOff>
    </xdr:from>
    <xdr:to>
      <xdr:col>32</xdr:col>
      <xdr:colOff>200025</xdr:colOff>
      <xdr:row>16</xdr:row>
      <xdr:rowOff>123825</xdr:rowOff>
    </xdr:to>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Relationship Id="rId3" Type="http://schemas.openxmlformats.org/officeDocument/2006/relationships/drawing" Target="../drawings/drawing1.xml"/></Relationships>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K705"/>
  <sheetViews>
    <sheetView workbookViewId="0" showGridLines="0" zoomScale="95" zoomScaleNormal="85">
      <selection activeCell="D9" sqref="D9"/>
    </sheetView>
  </sheetViews>
  <sheetFormatPr defaultRowHeight="13.5" outlineLevelRow="0" outlineLevelCol="0" x14ac:dyDescent="0" customHeight="1"/>
  <cols>
    <col min="1" max="1" width="3.42578125" style="1" hidden="1" customWidth="1"/>
    <col min="2" max="2" width="3.42578125" style="2" customWidth="1"/>
    <col min="3" max="3" width="6.7109375" style="1" customWidth="1"/>
    <col min="4" max="5" width="4.7109375" style="1" customWidth="1"/>
    <col min="6" max="6" width="5.85546875" style="1" customWidth="1"/>
    <col min="7" max="7" width="4.42578125" style="1" customWidth="1"/>
    <col min="8" max="9" width="3.42578125" style="1" customWidth="1"/>
    <col min="10" max="10" width="6.42578125" style="1" customWidth="1"/>
    <col min="11" max="11" width="3.42578125" style="1" customWidth="1"/>
    <col min="12" max="12" width="4.140625" style="1" customWidth="1"/>
    <col min="13" max="13" width="5.7109375" style="1" customWidth="1"/>
    <col min="14" max="15" width="4.140625" style="1" customWidth="1"/>
    <col min="16" max="16" width="7" style="1" customWidth="1"/>
    <col min="17" max="18" width="3.42578125" style="1" customWidth="1"/>
    <col min="19" max="19" width="2.140625" style="1" customWidth="1"/>
    <col min="20" max="20" width="5.140625" style="1" customWidth="1"/>
    <col min="21" max="22" width="4.140625" style="1" customWidth="1"/>
    <col min="23" max="23" width="10.7109375" style="1" customWidth="1"/>
    <col min="24" max="24" width="2" style="1" customWidth="1"/>
    <col min="25" max="25" width="1.7109375" style="1" customWidth="1"/>
    <col min="26" max="26" width="2.42578125" style="1" customWidth="1"/>
    <col min="27" max="27" width="4.28515625" style="1" customWidth="1"/>
    <col min="28" max="30" width="4.140625" style="1" customWidth="1"/>
    <col min="31" max="31" width="7.42578125" style="1" customWidth="1"/>
    <col min="32" max="33" width="3.42578125" style="1" customWidth="1"/>
    <col min="34" max="34" width="3.28515625" style="1" customWidth="1"/>
    <col min="35" max="35" width="3.42578125" style="3" hidden="1" customWidth="1"/>
    <col min="36" max="36" width="12.42578125" style="4" hidden="1" customWidth="1"/>
    <col min="37" max="37" width="13.7109375" style="4" hidden="1" customWidth="1"/>
    <col min="38" max="38" width="13.140625" style="4" hidden="1" customWidth="1"/>
    <col min="39" max="39" width="14.42578125" style="4" hidden="1" customWidth="1"/>
    <col min="40" max="40" width="18" style="4" hidden="1" customWidth="1"/>
    <col min="41" max="41" width="27.42578125" style="4" hidden="1" customWidth="1"/>
    <col min="42" max="42" width="15.140625" style="4" hidden="1" customWidth="1"/>
    <col min="43" max="44" width="10.42578125" style="5" hidden="1" customWidth="1"/>
    <col min="45" max="45" width="13" style="4" hidden="1" customWidth="1"/>
    <col min="46" max="46" width="28.42578125" style="4" hidden="1" customWidth="1"/>
    <col min="47" max="68" width="10.42578125" style="5" hidden="1" customWidth="1"/>
    <col min="69" max="75" width="2.42578125" style="4" hidden="1" customWidth="1"/>
    <col min="76" max="232" width="11.42578125" style="4" hidden="1" customWidth="1"/>
    <col min="233" max="237" width="11.42578125" style="6" hidden="1" customWidth="1"/>
    <col min="238" max="239" width="11.7109375" style="6" hidden="1" customWidth="1"/>
    <col min="240" max="244" width="11.42578125" style="6" hidden="1" customWidth="1"/>
    <col min="245" max="245" width="11.7109375" style="6" hidden="1" customWidth="1"/>
    <col min="246" max="16384" width="11.42578125" style="6" hidden="1" customWidth="1"/>
  </cols>
  <sheetData>
    <row r="2" ht="35.25" customHeight="1" spans="36:46" x14ac:dyDescent="0.25">
      <c r="AJ2" s="7">
        <v>109</v>
      </c>
      <c r="AK2" s="8"/>
      <c r="AL2" s="8"/>
      <c r="AM2" s="8"/>
      <c r="AN2" s="8"/>
      <c r="AO2" s="9"/>
      <c r="AP2" s="5"/>
      <c r="AS2" s="5"/>
      <c r="AT2" s="5"/>
    </row>
    <row r="3" ht="18" customHeight="1" spans="3:50" x14ac:dyDescent="0.25">
      <c r="C3" s="10" t="s">
        <v>0</v>
      </c>
      <c r="D3" s="11"/>
      <c r="E3" s="11"/>
      <c r="F3" s="11"/>
      <c r="G3" s="11"/>
      <c r="H3" s="11"/>
      <c r="I3" s="11"/>
      <c r="J3" s="11"/>
      <c r="K3" s="11"/>
      <c r="L3" s="11"/>
      <c r="M3" s="11"/>
      <c r="N3" s="11"/>
      <c r="O3" s="11"/>
      <c r="P3" s="11"/>
      <c r="Q3" s="11"/>
      <c r="R3" s="11"/>
      <c r="S3" s="11"/>
      <c r="T3" s="11"/>
      <c r="U3" s="11"/>
      <c r="V3" s="11"/>
      <c r="W3" s="11"/>
      <c r="X3" s="11"/>
      <c r="Y3" s="12"/>
      <c r="Z3" s="13"/>
      <c r="AA3" s="14"/>
      <c r="AB3" s="15"/>
      <c r="AC3" s="15"/>
      <c r="AD3" s="15"/>
      <c r="AE3" s="15"/>
      <c r="AF3" s="15"/>
      <c r="AG3" s="16"/>
      <c r="AJ3" s="17">
        <v>0.3</v>
      </c>
      <c r="AK3" s="18"/>
      <c r="AL3" s="18"/>
      <c r="AM3" s="18"/>
      <c r="AN3" s="18"/>
      <c r="AO3" s="19"/>
      <c r="AP3" s="5"/>
      <c r="AQ3" s="20" t="s">
        <v>1</v>
      </c>
      <c r="AR3" s="20" t="s">
        <v>2</v>
      </c>
      <c r="AS3" s="20" t="s">
        <v>3</v>
      </c>
      <c r="AT3" s="20" t="s">
        <v>4</v>
      </c>
      <c r="AU3" s="20" t="s">
        <v>5</v>
      </c>
      <c r="AV3" s="5">
        <v>18</v>
      </c>
      <c r="AW3" s="5">
        <v>0</v>
      </c>
      <c r="AX3" s="5" t="s">
        <v>6</v>
      </c>
    </row>
    <row r="4" ht="24" customHeight="1" spans="3:50" x14ac:dyDescent="0.25">
      <c r="C4" s="21"/>
      <c r="D4" s="22"/>
      <c r="E4" s="22"/>
      <c r="F4" s="22"/>
      <c r="G4" s="22"/>
      <c r="H4" s="22"/>
      <c r="I4" s="22"/>
      <c r="J4" s="22"/>
      <c r="K4" s="22"/>
      <c r="L4" s="22"/>
      <c r="M4" s="22"/>
      <c r="N4" s="22"/>
      <c r="O4" s="22"/>
      <c r="P4" s="22"/>
      <c r="Q4" s="22"/>
      <c r="R4" s="22"/>
      <c r="S4" s="22"/>
      <c r="T4" s="22"/>
      <c r="U4" s="22"/>
      <c r="V4" s="22"/>
      <c r="W4" s="22"/>
      <c r="X4" s="22"/>
      <c r="Y4" s="23"/>
      <c r="Z4" s="24"/>
      <c r="AA4" s="25"/>
      <c r="AB4" s="26"/>
      <c r="AC4" s="26"/>
      <c r="AD4" s="26"/>
      <c r="AE4" s="26"/>
      <c r="AF4" s="26"/>
      <c r="AG4" s="27"/>
      <c r="AJ4" s="5">
        <f>+U71</f>
        <v>0</v>
      </c>
      <c r="AK4" s="5"/>
      <c r="AL4" s="5"/>
      <c r="AM4" s="5"/>
      <c r="AN4" s="5"/>
      <c r="AO4" s="28" t="s">
        <v>7</v>
      </c>
      <c r="AP4" s="28" t="s">
        <v>8</v>
      </c>
      <c r="AQ4" s="28">
        <v>151</v>
      </c>
      <c r="AR4" s="20">
        <v>5</v>
      </c>
      <c r="AS4" s="20" t="s">
        <v>9</v>
      </c>
      <c r="AT4" s="20" t="s">
        <v>10</v>
      </c>
      <c r="AU4" s="29">
        <v>0.1</v>
      </c>
      <c r="AV4" s="5">
        <f>+AV3+1</f>
        <v>19</v>
      </c>
      <c r="AW4" s="5">
        <f t="shared" ref="AW4:AW22" si="0">+AW3+1</f>
        <v>1</v>
      </c>
      <c r="AX4" s="5" t="s">
        <v>11</v>
      </c>
    </row>
    <row r="5" ht="13.5" customHeight="1" spans="3:50" x14ac:dyDescent="0.25">
      <c r="C5" s="30"/>
      <c r="D5" s="31" t="s">
        <v>12</v>
      </c>
      <c r="E5" s="31"/>
      <c r="F5" s="31"/>
      <c r="G5" s="31"/>
      <c r="H5" s="31"/>
      <c r="I5" s="31"/>
      <c r="J5" s="31"/>
      <c r="K5" s="31"/>
      <c r="L5" s="31"/>
      <c r="M5" s="31"/>
      <c r="N5" s="31"/>
      <c r="O5" s="31"/>
      <c r="P5" s="31"/>
      <c r="Q5" s="31"/>
      <c r="R5" s="32"/>
      <c r="S5" s="32"/>
      <c r="T5" s="32"/>
      <c r="U5" s="32"/>
      <c r="V5" s="32"/>
      <c r="W5" s="32"/>
      <c r="X5" s="32"/>
      <c r="Y5" s="33"/>
      <c r="Z5" s="34"/>
      <c r="AA5" s="1"/>
      <c r="AB5" s="1"/>
      <c r="AC5" s="1"/>
      <c r="AD5" s="1"/>
      <c r="AE5" s="1"/>
      <c r="AF5" s="1"/>
      <c r="AG5" s="1"/>
      <c r="AJ5" s="5">
        <f>+Y14</f>
        <v>0</v>
      </c>
      <c r="AK5" s="5"/>
      <c r="AL5" s="5"/>
      <c r="AM5" s="5"/>
      <c r="AN5" s="5"/>
      <c r="AO5" s="35" t="s">
        <v>13</v>
      </c>
      <c r="AP5" s="28" t="s">
        <v>13</v>
      </c>
      <c r="AQ5" s="28">
        <v>185</v>
      </c>
      <c r="AR5" s="20">
        <f t="shared" ref="AR5:AR24" si="1">1+AR4</f>
        <v>6</v>
      </c>
      <c r="AS5" s="20" t="s">
        <v>14</v>
      </c>
      <c r="AT5" s="20" t="s">
        <v>15</v>
      </c>
      <c r="AU5" s="29">
        <v>0.15</v>
      </c>
      <c r="AV5" s="5">
        <f t="shared" ref="AV5:AV68" si="2">+AV4+1</f>
        <v>20</v>
      </c>
      <c r="AW5" s="5">
        <f t="shared" si="0"/>
        <v>2</v>
      </c>
      <c r="AX5" s="5" t="s">
        <v>16</v>
      </c>
    </row>
    <row r="6" ht="8.25" customHeight="1" spans="3:50" x14ac:dyDescent="0.25">
      <c r="C6" s="36"/>
      <c r="D6" s="37"/>
      <c r="E6" s="37"/>
      <c r="F6" s="37"/>
      <c r="G6" s="37"/>
      <c r="H6" s="37"/>
      <c r="I6" s="37"/>
      <c r="J6" s="37"/>
      <c r="K6" s="37"/>
      <c r="L6" s="37"/>
      <c r="M6" s="37"/>
      <c r="N6" s="37"/>
      <c r="O6" s="37"/>
      <c r="P6" s="37"/>
      <c r="Q6" s="37"/>
      <c r="R6" s="1"/>
      <c r="S6" s="1"/>
      <c r="T6" s="1"/>
      <c r="U6" s="1"/>
      <c r="V6" s="1"/>
      <c r="W6" s="1"/>
      <c r="X6" s="1"/>
      <c r="Y6" s="38"/>
      <c r="Z6" s="1"/>
      <c r="AA6" s="39"/>
      <c r="AB6" s="39"/>
      <c r="AC6" s="39"/>
      <c r="AD6" s="39"/>
      <c r="AE6" s="39"/>
      <c r="AF6" s="39"/>
      <c r="AG6" s="39"/>
      <c r="AJ6" s="5">
        <f>+AJ22</f>
        <v>0</v>
      </c>
      <c r="AK6" s="5"/>
      <c r="AL6" s="40"/>
      <c r="AM6" s="5"/>
      <c r="AN6" s="5"/>
      <c r="AO6" s="35" t="s">
        <v>17</v>
      </c>
      <c r="AP6" s="35" t="s">
        <v>17</v>
      </c>
      <c r="AQ6" s="28">
        <v>93</v>
      </c>
      <c r="AR6" s="20">
        <f t="shared" si="1"/>
        <v>7</v>
      </c>
      <c r="AS6" s="20" t="s">
        <v>18</v>
      </c>
      <c r="AT6" s="20"/>
      <c r="AU6" s="29">
        <v>0.2</v>
      </c>
      <c r="AV6" s="5">
        <f t="shared" si="2"/>
        <v>21</v>
      </c>
      <c r="AW6" s="5">
        <f t="shared" si="0"/>
        <v>3</v>
      </c>
      <c r="AX6" s="5" t="s">
        <v>19</v>
      </c>
    </row>
    <row r="7" ht="20.25" customHeight="1" spans="3:49" x14ac:dyDescent="0.25">
      <c r="C7" s="36"/>
      <c r="D7" s="41" t="s">
        <v>20</v>
      </c>
      <c r="E7" s="42"/>
      <c r="F7" s="42"/>
      <c r="G7" s="42"/>
      <c r="H7" s="42"/>
      <c r="I7" s="42"/>
      <c r="J7" s="42"/>
      <c r="K7" s="42"/>
      <c r="L7" s="42"/>
      <c r="M7" s="42"/>
      <c r="N7" s="42"/>
      <c r="O7" s="42"/>
      <c r="P7" s="42"/>
      <c r="Q7" s="43"/>
      <c r="R7" s="44"/>
      <c r="S7" s="44"/>
      <c r="T7" s="45">
        <v>29</v>
      </c>
      <c r="U7" s="46"/>
      <c r="V7" s="46"/>
      <c r="W7" s="47"/>
      <c r="X7" s="1"/>
      <c r="Y7" s="38"/>
      <c r="Z7" s="1"/>
      <c r="AA7" s="30"/>
      <c r="AB7" s="48"/>
      <c r="AC7" s="48"/>
      <c r="AD7" s="48"/>
      <c r="AE7" s="48"/>
      <c r="AF7" s="48"/>
      <c r="AG7" s="49"/>
      <c r="AJ7" s="5">
        <f>+J43</f>
        <v>0</v>
      </c>
      <c r="AL7" s="40"/>
      <c r="AM7" s="5"/>
      <c r="AN7" s="5"/>
      <c r="AO7" s="5"/>
      <c r="AP7" s="5"/>
      <c r="AQ7" s="20"/>
      <c r="AR7" s="20">
        <f t="shared" si="1"/>
        <v>8</v>
      </c>
      <c r="AS7" s="20" t="s">
        <v>21</v>
      </c>
      <c r="AT7" s="20"/>
      <c r="AU7" s="29">
        <v>0.25</v>
      </c>
      <c r="AV7" s="5">
        <f t="shared" si="2"/>
        <v>22</v>
      </c>
      <c r="AW7" s="5">
        <f t="shared" si="0"/>
        <v>4</v>
      </c>
    </row>
    <row r="8" ht="17.25" customHeight="1" spans="3:49" x14ac:dyDescent="0.25">
      <c r="C8" s="36"/>
      <c r="D8" s="50" t="s">
        <v>22</v>
      </c>
      <c r="E8" s="51"/>
      <c r="F8" s="51"/>
      <c r="G8" s="51"/>
      <c r="H8" s="51"/>
      <c r="I8" s="51"/>
      <c r="J8" s="51"/>
      <c r="K8" s="51"/>
      <c r="L8" s="51"/>
      <c r="M8" s="51"/>
      <c r="N8" s="51"/>
      <c r="O8" s="51"/>
      <c r="P8" s="52"/>
      <c r="Q8" s="52"/>
      <c r="R8" s="51"/>
      <c r="S8" s="51"/>
      <c r="T8" s="53" t="s">
        <v>23</v>
      </c>
      <c r="U8" s="53"/>
      <c r="V8" s="53"/>
      <c r="W8" s="53"/>
      <c r="X8" s="1"/>
      <c r="Y8" s="54"/>
      <c r="Z8" s="1"/>
      <c r="AA8" s="36"/>
      <c r="AB8" s="1"/>
      <c r="AC8" s="1"/>
      <c r="AD8" s="51"/>
      <c r="AE8" s="51"/>
      <c r="AF8" s="51"/>
      <c r="AG8" s="55"/>
      <c r="AJ8" s="5"/>
      <c r="AL8" s="5"/>
      <c r="AM8" s="5"/>
      <c r="AN8" s="5"/>
      <c r="AO8" s="5"/>
      <c r="AP8" s="5"/>
      <c r="AQ8" s="20"/>
      <c r="AR8" s="20">
        <f t="shared" si="1"/>
        <v>9</v>
      </c>
      <c r="AS8" s="20"/>
      <c r="AT8" s="20"/>
      <c r="AU8" s="29">
        <v>0.3</v>
      </c>
      <c r="AV8" s="5">
        <f t="shared" si="2"/>
        <v>23</v>
      </c>
      <c r="AW8" s="5">
        <f t="shared" si="0"/>
        <v>5</v>
      </c>
    </row>
    <row r="9" ht="14.25" customHeight="1" spans="3:49" x14ac:dyDescent="0.25">
      <c r="C9" s="56"/>
      <c r="D9" s="57"/>
      <c r="E9" s="57"/>
      <c r="F9" s="57"/>
      <c r="G9" s="57"/>
      <c r="H9" s="58"/>
      <c r="I9" s="58"/>
      <c r="J9" s="58"/>
      <c r="K9" s="58"/>
      <c r="L9" s="57"/>
      <c r="M9" s="57"/>
      <c r="N9" s="57"/>
      <c r="O9" s="57"/>
      <c r="P9" s="58"/>
      <c r="Q9" s="58"/>
      <c r="R9" s="58"/>
      <c r="S9" s="57"/>
      <c r="T9" s="57"/>
      <c r="U9" s="57"/>
      <c r="V9" s="57"/>
      <c r="W9" s="57"/>
      <c r="X9" s="57"/>
      <c r="Y9" s="59"/>
      <c r="Z9" s="60"/>
      <c r="AA9" s="61"/>
      <c r="AB9" s="62"/>
      <c r="AC9" s="62"/>
      <c r="AD9" s="62"/>
      <c r="AE9" s="62"/>
      <c r="AF9" s="62"/>
      <c r="AG9" s="63"/>
      <c r="AJ9" s="5"/>
      <c r="AL9" s="5"/>
      <c r="AM9" s="5"/>
      <c r="AN9" s="5"/>
      <c r="AO9" s="5"/>
      <c r="AP9" s="5"/>
      <c r="AQ9" s="20"/>
      <c r="AR9" s="20">
        <f t="shared" si="1"/>
        <v>10</v>
      </c>
      <c r="AS9" s="20"/>
      <c r="AT9" s="20"/>
      <c r="AU9" s="29">
        <v>0.32</v>
      </c>
      <c r="AV9" s="5">
        <f t="shared" si="2"/>
        <v>24</v>
      </c>
      <c r="AW9" s="5">
        <f t="shared" si="0"/>
        <v>6</v>
      </c>
    </row>
    <row r="10" ht="14.25" customHeight="1" spans="3:48" x14ac:dyDescent="0.25">
      <c r="C10" s="3"/>
      <c r="D10" s="62"/>
      <c r="E10" s="62"/>
      <c r="F10" s="62"/>
      <c r="G10" s="62"/>
      <c r="H10" s="64"/>
      <c r="I10" s="64"/>
      <c r="J10" s="64"/>
      <c r="K10" s="64"/>
      <c r="L10" s="62"/>
      <c r="M10" s="62"/>
      <c r="N10" s="62"/>
      <c r="O10" s="62"/>
      <c r="P10" s="64"/>
      <c r="Q10" s="64"/>
      <c r="R10" s="64"/>
      <c r="S10" s="62"/>
      <c r="T10" s="62"/>
      <c r="U10" s="62"/>
      <c r="V10" s="62"/>
      <c r="W10" s="62"/>
      <c r="X10" s="62"/>
      <c r="Y10" s="60"/>
      <c r="Z10" s="60"/>
      <c r="AA10" s="61"/>
      <c r="AB10" s="62"/>
      <c r="AC10" s="62"/>
      <c r="AD10" s="62"/>
      <c r="AE10" s="62"/>
      <c r="AF10" s="62"/>
      <c r="AG10" s="63"/>
      <c r="AJ10" s="5"/>
      <c r="AL10" s="5"/>
      <c r="AM10" s="5"/>
      <c r="AN10" s="5"/>
      <c r="AO10" s="5"/>
      <c r="AP10" s="5"/>
      <c r="AQ10" s="20"/>
      <c r="AR10" s="20">
        <f t="shared" si="1"/>
        <v>11</v>
      </c>
      <c r="AS10" s="20"/>
      <c r="AT10" s="20"/>
      <c r="AU10" s="29">
        <v>0.34</v>
      </c>
      <c r="AV10" s="5">
        <f t="shared" si="2"/>
        <v>25</v>
      </c>
    </row>
    <row r="11" ht="23.25" customHeight="1" spans="3:49" x14ac:dyDescent="0.25">
      <c r="C11" s="65"/>
      <c r="D11" s="66" t="s">
        <v>24</v>
      </c>
      <c r="E11" s="66"/>
      <c r="F11" s="66"/>
      <c r="G11" s="31"/>
      <c r="H11" s="31"/>
      <c r="I11" s="31"/>
      <c r="J11" s="31"/>
      <c r="K11" s="31"/>
      <c r="L11" s="31"/>
      <c r="M11" s="31"/>
      <c r="N11" s="31"/>
      <c r="O11" s="31"/>
      <c r="P11" s="31"/>
      <c r="Q11" s="67"/>
      <c r="R11" s="37"/>
      <c r="S11" s="65"/>
      <c r="T11" s="68" t="s">
        <v>25</v>
      </c>
      <c r="U11" s="68"/>
      <c r="V11" s="68"/>
      <c r="W11" s="68"/>
      <c r="X11" s="31"/>
      <c r="Y11" s="67"/>
      <c r="Z11" s="37"/>
      <c r="AA11" s="69"/>
      <c r="AB11" s="37"/>
      <c r="AC11" s="37"/>
      <c r="AD11" s="37"/>
      <c r="AE11" s="37"/>
      <c r="AF11" s="37"/>
      <c r="AG11" s="70"/>
      <c r="AJ11" s="5"/>
      <c r="AL11" s="5"/>
      <c r="AM11" s="5"/>
      <c r="AN11" s="5"/>
      <c r="AO11" s="5"/>
      <c r="AP11" s="5"/>
      <c r="AQ11" s="20"/>
      <c r="AR11" s="20">
        <f t="shared" si="1"/>
        <v>12</v>
      </c>
      <c r="AS11" s="20"/>
      <c r="AT11" s="20"/>
      <c r="AU11" s="29">
        <v>0.35</v>
      </c>
      <c r="AV11" s="5">
        <f t="shared" si="2"/>
        <v>26</v>
      </c>
      <c r="AW11" s="5">
        <f>+AW9+1</f>
        <v>7</v>
      </c>
    </row>
    <row r="12" ht="26.25" customHeight="1" spans="3:49" x14ac:dyDescent="0.25">
      <c r="C12" s="71"/>
      <c r="D12" s="72">
        <v>1000</v>
      </c>
      <c r="E12" s="73"/>
      <c r="F12" s="73"/>
      <c r="G12" s="73"/>
      <c r="H12" s="74"/>
      <c r="I12" s="6"/>
      <c r="J12" s="6"/>
      <c r="K12" s="72" t="s">
        <v>9</v>
      </c>
      <c r="L12" s="73"/>
      <c r="M12" s="73"/>
      <c r="N12" s="73"/>
      <c r="O12" s="74"/>
      <c r="P12" s="6"/>
      <c r="Q12" s="75"/>
      <c r="R12" s="6"/>
      <c r="S12" s="71"/>
      <c r="T12" s="76" t="s">
        <v>13</v>
      </c>
      <c r="U12" s="77"/>
      <c r="V12" s="77"/>
      <c r="W12" s="77"/>
      <c r="X12" s="78"/>
      <c r="Y12" s="75"/>
      <c r="Z12" s="6"/>
      <c r="AA12" s="36"/>
      <c r="AB12" s="1"/>
      <c r="AC12" s="1"/>
      <c r="AD12" s="1"/>
      <c r="AE12" s="1"/>
      <c r="AF12" s="6"/>
      <c r="AG12" s="75"/>
      <c r="AJ12" s="5"/>
      <c r="AK12" s="79">
        <f>VLOOKUP(T12,$AO$4:$AQ$6,3,0)</f>
        <v>93</v>
      </c>
      <c r="AL12" s="80"/>
      <c r="AM12" s="80"/>
      <c r="AN12" s="80"/>
      <c r="AO12" s="81"/>
      <c r="AP12" s="5"/>
      <c r="AQ12" s="20"/>
      <c r="AR12" s="20">
        <f t="shared" si="1"/>
        <v>13</v>
      </c>
      <c r="AS12" s="20"/>
      <c r="AT12" s="20"/>
      <c r="AU12" s="29"/>
      <c r="AV12" s="5">
        <f t="shared" si="2"/>
        <v>27</v>
      </c>
      <c r="AW12" s="5">
        <f t="shared" si="0"/>
        <v>8</v>
      </c>
    </row>
    <row r="13" ht="17.25" customHeight="1" spans="3:49" x14ac:dyDescent="0.25">
      <c r="C13" s="36"/>
      <c r="D13" s="82" t="s">
        <v>26</v>
      </c>
      <c r="E13" s="82"/>
      <c r="F13" s="82"/>
      <c r="G13" s="82"/>
      <c r="H13" s="82"/>
      <c r="I13" s="83"/>
      <c r="J13" s="83"/>
      <c r="K13" s="82" t="s">
        <v>3</v>
      </c>
      <c r="L13" s="82"/>
      <c r="M13" s="82"/>
      <c r="N13" s="82"/>
      <c r="O13" s="82"/>
      <c r="P13" s="83"/>
      <c r="Q13" s="54"/>
      <c r="R13" s="83"/>
      <c r="S13" s="36"/>
      <c r="T13" s="84" t="s">
        <v>27</v>
      </c>
      <c r="U13" s="84"/>
      <c r="V13" s="84"/>
      <c r="W13" s="84"/>
      <c r="X13" s="84"/>
      <c r="Y13" s="54"/>
      <c r="Z13" s="83"/>
      <c r="AA13" s="36"/>
      <c r="AB13" s="1"/>
      <c r="AC13" s="1"/>
      <c r="AD13" s="1"/>
      <c r="AE13" s="1"/>
      <c r="AF13" s="83"/>
      <c r="AG13" s="54"/>
      <c r="AJ13" s="5"/>
      <c r="AL13" s="5"/>
      <c r="AM13" s="5"/>
      <c r="AN13" s="5"/>
      <c r="AO13" s="5"/>
      <c r="AP13" s="5"/>
      <c r="AQ13" s="20"/>
      <c r="AR13" s="20">
        <f t="shared" si="1"/>
        <v>14</v>
      </c>
      <c r="AS13" s="20"/>
      <c r="AT13" s="20"/>
      <c r="AU13" s="29"/>
      <c r="AV13" s="5">
        <f t="shared" si="2"/>
        <v>28</v>
      </c>
      <c r="AW13" s="5">
        <f t="shared" si="0"/>
        <v>9</v>
      </c>
    </row>
    <row r="14" ht="14.25" customHeight="1" spans="3:49" x14ac:dyDescent="0.25">
      <c r="C14" s="71"/>
      <c r="D14" s="62"/>
      <c r="E14" s="62"/>
      <c r="F14" s="62"/>
      <c r="G14" s="62"/>
      <c r="H14" s="64"/>
      <c r="I14" s="64"/>
      <c r="J14" s="64"/>
      <c r="K14" s="64"/>
      <c r="L14" s="62"/>
      <c r="M14" s="62"/>
      <c r="N14" s="62"/>
      <c r="O14" s="62"/>
      <c r="P14" s="64"/>
      <c r="Q14" s="85"/>
      <c r="R14" s="64"/>
      <c r="S14" s="71"/>
      <c r="T14" s="62"/>
      <c r="U14" s="62"/>
      <c r="V14" s="62"/>
      <c r="W14" s="62"/>
      <c r="X14" s="64"/>
      <c r="Y14" s="85"/>
      <c r="Z14" s="64"/>
      <c r="AA14" s="86"/>
      <c r="AB14" s="62"/>
      <c r="AC14" s="62"/>
      <c r="AD14" s="62"/>
      <c r="AE14" s="62"/>
      <c r="AF14" s="64"/>
      <c r="AG14" s="85"/>
      <c r="AJ14" s="5"/>
      <c r="AL14" s="5"/>
      <c r="AM14" s="5"/>
      <c r="AN14" s="5"/>
      <c r="AO14" s="5"/>
      <c r="AP14" s="5"/>
      <c r="AQ14" s="20"/>
      <c r="AR14" s="20">
        <f t="shared" si="1"/>
        <v>15</v>
      </c>
      <c r="AS14" s="20"/>
      <c r="AT14" s="20"/>
      <c r="AU14" s="29"/>
      <c r="AV14" s="5">
        <f t="shared" si="2"/>
        <v>29</v>
      </c>
      <c r="AW14" s="5">
        <f t="shared" si="0"/>
        <v>10</v>
      </c>
    </row>
    <row r="15" ht="20.25" customHeight="1" spans="3:49" x14ac:dyDescent="0.25">
      <c r="C15" s="71"/>
      <c r="D15" s="72">
        <v>25</v>
      </c>
      <c r="E15" s="73"/>
      <c r="F15" s="73"/>
      <c r="G15" s="73"/>
      <c r="H15" s="74"/>
      <c r="I15" s="6"/>
      <c r="J15" s="6"/>
      <c r="K15" s="72" t="s">
        <v>15</v>
      </c>
      <c r="L15" s="73"/>
      <c r="M15" s="73"/>
      <c r="N15" s="73"/>
      <c r="O15" s="74"/>
      <c r="P15" s="6"/>
      <c r="Q15" s="75"/>
      <c r="R15" s="6"/>
      <c r="S15" s="71"/>
      <c r="T15" s="87">
        <v>0.1</v>
      </c>
      <c r="U15" s="88"/>
      <c r="V15" s="88"/>
      <c r="W15" s="88"/>
      <c r="X15" s="89"/>
      <c r="Y15" s="75"/>
      <c r="Z15" s="6"/>
      <c r="AA15" s="36"/>
      <c r="AB15" s="1"/>
      <c r="AC15" s="1"/>
      <c r="AD15" s="1"/>
      <c r="AE15" s="1"/>
      <c r="AF15" s="6"/>
      <c r="AG15" s="75"/>
      <c r="AJ15" s="5"/>
      <c r="AK15" s="4" t="s">
        <v>15</v>
      </c>
      <c r="AL15" s="5"/>
      <c r="AM15" s="5"/>
      <c r="AN15" s="5"/>
      <c r="AO15" s="5"/>
      <c r="AP15" s="5"/>
      <c r="AQ15" s="20"/>
      <c r="AR15" s="20">
        <f t="shared" si="1"/>
        <v>16</v>
      </c>
      <c r="AS15" s="20"/>
      <c r="AT15" s="20"/>
      <c r="AU15" s="29"/>
      <c r="AV15" s="5">
        <f t="shared" si="2"/>
        <v>30</v>
      </c>
      <c r="AW15" s="5">
        <f t="shared" si="0"/>
        <v>11</v>
      </c>
    </row>
    <row r="16" ht="24" customHeight="1" spans="3:49" x14ac:dyDescent="0.25">
      <c r="C16" s="36"/>
      <c r="D16" s="82" t="s">
        <v>28</v>
      </c>
      <c r="E16" s="82"/>
      <c r="F16" s="82"/>
      <c r="G16" s="82"/>
      <c r="H16" s="82"/>
      <c r="I16" s="83"/>
      <c r="J16" s="83"/>
      <c r="K16" s="90" t="s">
        <v>29</v>
      </c>
      <c r="L16" s="90"/>
      <c r="M16" s="90"/>
      <c r="N16" s="90"/>
      <c r="O16" s="90"/>
      <c r="P16" s="83"/>
      <c r="Q16" s="54"/>
      <c r="R16" s="83"/>
      <c r="S16" s="36"/>
      <c r="T16" s="82" t="s">
        <v>30</v>
      </c>
      <c r="U16" s="82"/>
      <c r="V16" s="82"/>
      <c r="W16" s="82"/>
      <c r="X16" s="82"/>
      <c r="Y16" s="54"/>
      <c r="Z16" s="83"/>
      <c r="AA16" s="91"/>
      <c r="AB16" s="92"/>
      <c r="AC16" s="92"/>
      <c r="AD16" s="92"/>
      <c r="AE16" s="92"/>
      <c r="AF16" s="83"/>
      <c r="AG16" s="54"/>
      <c r="AJ16" s="93"/>
      <c r="AK16" s="4">
        <v>250000</v>
      </c>
      <c r="AL16" s="5"/>
      <c r="AM16" s="5"/>
      <c r="AN16" s="5"/>
      <c r="AO16" s="5"/>
      <c r="AP16" s="5"/>
      <c r="AQ16" s="20"/>
      <c r="AR16" s="20">
        <f t="shared" si="1"/>
        <v>17</v>
      </c>
      <c r="AS16" s="20"/>
      <c r="AT16" s="20"/>
      <c r="AU16" s="29"/>
      <c r="AV16" s="5">
        <f t="shared" si="2"/>
        <v>31</v>
      </c>
      <c r="AW16" s="5">
        <f t="shared" si="0"/>
        <v>12</v>
      </c>
    </row>
    <row r="17" ht="15" customHeight="1" spans="3:49" x14ac:dyDescent="0.25">
      <c r="C17" s="56"/>
      <c r="D17" s="94" t="str">
        <f>IF(D12&lt;AM29,CONCATENATE("La aportación mínima es de"," ",AM29," ","pesos"," ",AN29),IF(D12&gt;AM36,CONCATENATE("La aportación máxima es de"," ",AM36," ","pesos"," ",AN36),""))</f>
        <v>La aportación máxima es de 7500 pesos mensuales</v>
      </c>
      <c r="E17" s="94"/>
      <c r="F17" s="94"/>
      <c r="G17" s="94"/>
      <c r="H17" s="94"/>
      <c r="I17" s="94"/>
      <c r="J17" s="94"/>
      <c r="K17" s="94"/>
      <c r="L17" s="94"/>
      <c r="M17" s="94"/>
      <c r="N17" s="94"/>
      <c r="O17" s="94"/>
      <c r="P17" s="94"/>
      <c r="Q17" s="95"/>
      <c r="R17" s="96"/>
      <c r="S17" s="56"/>
      <c r="T17" s="97"/>
      <c r="U17" s="98"/>
      <c r="V17" s="99"/>
      <c r="W17" s="99"/>
      <c r="X17" s="100"/>
      <c r="Y17" s="101"/>
      <c r="Z17" s="102"/>
      <c r="AA17" s="103"/>
      <c r="AB17" s="104"/>
      <c r="AC17" s="104"/>
      <c r="AD17" s="104"/>
      <c r="AE17" s="104"/>
      <c r="AF17" s="104"/>
      <c r="AG17" s="95"/>
      <c r="AJ17" s="5"/>
      <c r="AK17" s="4">
        <v>500000</v>
      </c>
      <c r="AL17" s="5"/>
      <c r="AM17" s="5"/>
      <c r="AN17" s="5"/>
      <c r="AO17" s="5"/>
      <c r="AP17" s="5"/>
      <c r="AQ17" s="20"/>
      <c r="AR17" s="20">
        <f t="shared" si="1"/>
        <v>18</v>
      </c>
      <c r="AS17" s="20"/>
      <c r="AT17" s="20"/>
      <c r="AU17" s="29">
        <f>+AU8+1%</f>
        <v>0.31</v>
      </c>
      <c r="AV17" s="5">
        <f t="shared" si="2"/>
        <v>32</v>
      </c>
      <c r="AW17" s="5">
        <f t="shared" si="0"/>
        <v>13</v>
      </c>
    </row>
    <row r="18" ht="14.25" customHeight="1" spans="3:238" x14ac:dyDescent="0.25">
      <c r="C18" s="1"/>
      <c r="D18" s="6"/>
      <c r="E18" s="105"/>
      <c r="F18" s="105"/>
      <c r="G18" s="105"/>
      <c r="H18" s="105"/>
      <c r="I18" s="105"/>
      <c r="J18" s="105"/>
      <c r="K18" s="105"/>
      <c r="L18" s="83"/>
      <c r="M18" s="105"/>
      <c r="N18" s="106"/>
      <c r="O18" s="106"/>
      <c r="P18" s="106"/>
      <c r="Q18" s="106"/>
      <c r="R18" s="105"/>
      <c r="S18" s="83"/>
      <c r="T18" s="105"/>
      <c r="U18" s="106"/>
      <c r="V18" s="106"/>
      <c r="W18" s="6"/>
      <c r="X18" s="6"/>
      <c r="Y18" s="6"/>
      <c r="Z18" s="6"/>
      <c r="AA18" s="106"/>
      <c r="AB18" s="106"/>
      <c r="AC18" s="106"/>
      <c r="AD18" s="106"/>
      <c r="AE18" s="106"/>
      <c r="AF18" s="39"/>
      <c r="AG18" s="39"/>
      <c r="AJ18" s="5"/>
      <c r="AK18" s="5">
        <v>750000</v>
      </c>
      <c r="AL18" s="5"/>
      <c r="AM18" s="5"/>
      <c r="AN18" s="5"/>
      <c r="AO18" s="5"/>
      <c r="AP18" s="5"/>
      <c r="AQ18" s="20"/>
      <c r="AR18" s="20">
        <f t="shared" si="1"/>
        <v>19</v>
      </c>
      <c r="AS18" s="107"/>
      <c r="AT18" s="107"/>
      <c r="AU18" s="108"/>
      <c r="AV18" s="5">
        <f t="shared" si="2"/>
        <v>33</v>
      </c>
      <c r="AW18" s="5">
        <f t="shared" si="0"/>
        <v>14</v>
      </c>
      <c r="AX18" s="93"/>
      <c r="AY18" s="93"/>
      <c r="AZ18" s="93"/>
      <c r="BA18" s="93"/>
      <c r="BB18" s="93"/>
      <c r="BC18" s="93"/>
      <c r="BD18" s="93"/>
      <c r="BE18" s="93"/>
      <c r="BF18" s="93"/>
      <c r="BG18" s="93"/>
      <c r="BH18" s="93"/>
      <c r="BI18" s="93"/>
      <c r="BJ18" s="93"/>
      <c r="BK18" s="93"/>
      <c r="BL18" s="93"/>
      <c r="BM18" s="93"/>
      <c r="BN18" s="93"/>
      <c r="BO18" s="93"/>
      <c r="BP18" s="93"/>
      <c r="BQ18" s="109"/>
      <c r="BR18" s="109"/>
      <c r="BS18" s="109"/>
      <c r="BT18" s="109"/>
      <c r="BU18" s="109"/>
      <c r="BV18" s="109"/>
      <c r="BW18" s="109"/>
      <c r="BX18" s="109"/>
      <c r="BY18" s="109"/>
      <c r="BZ18" s="109"/>
      <c r="CA18" s="109"/>
      <c r="CB18" s="109"/>
      <c r="CC18" s="109"/>
      <c r="CD18" s="109"/>
      <c r="CE18" s="109"/>
      <c r="CF18" s="109"/>
      <c r="CG18" s="109"/>
      <c r="CH18" s="109"/>
      <c r="CI18" s="109"/>
      <c r="CJ18" s="109"/>
      <c r="CK18" s="109"/>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09"/>
      <c r="DM18" s="109"/>
      <c r="DN18" s="109"/>
      <c r="DO18" s="109"/>
      <c r="DP18" s="109"/>
      <c r="DQ18" s="109"/>
      <c r="DR18" s="109"/>
      <c r="DS18" s="109"/>
      <c r="DT18" s="109"/>
      <c r="DU18" s="109"/>
      <c r="DV18" s="109"/>
      <c r="DW18" s="109"/>
      <c r="DX18" s="109"/>
      <c r="DY18" s="109"/>
      <c r="DZ18" s="109"/>
      <c r="EA18" s="109"/>
      <c r="EB18" s="109"/>
      <c r="EC18" s="109"/>
      <c r="ED18" s="109"/>
      <c r="EE18" s="109"/>
      <c r="EF18" s="109"/>
      <c r="EG18" s="109"/>
      <c r="EH18" s="109"/>
      <c r="EI18" s="109"/>
      <c r="EJ18" s="109"/>
      <c r="EK18" s="109"/>
      <c r="EL18" s="109"/>
      <c r="EM18" s="109"/>
      <c r="EN18" s="109"/>
      <c r="EO18" s="109"/>
      <c r="EP18" s="109"/>
      <c r="EQ18" s="109"/>
      <c r="ER18" s="109"/>
      <c r="ES18" s="109"/>
      <c r="ET18" s="109"/>
      <c r="EU18" s="109"/>
      <c r="EV18" s="109"/>
      <c r="EW18" s="109"/>
      <c r="EX18" s="109"/>
      <c r="EY18" s="109"/>
      <c r="EZ18" s="109"/>
      <c r="FA18" s="109"/>
      <c r="FB18" s="109"/>
      <c r="FC18" s="109"/>
      <c r="FD18" s="109"/>
      <c r="FE18" s="109"/>
      <c r="FF18" s="109"/>
      <c r="FG18" s="109"/>
      <c r="FH18" s="109"/>
      <c r="FI18" s="109"/>
      <c r="FJ18" s="109"/>
      <c r="FK18" s="109"/>
      <c r="FL18" s="109"/>
      <c r="FM18" s="109"/>
      <c r="FN18" s="109"/>
      <c r="FO18" s="109"/>
      <c r="FP18" s="109"/>
      <c r="FQ18" s="109"/>
      <c r="FR18" s="109"/>
      <c r="FS18" s="109"/>
      <c r="FT18" s="109"/>
      <c r="FU18" s="109"/>
      <c r="FV18" s="109"/>
      <c r="FW18" s="109"/>
      <c r="FX18" s="109"/>
      <c r="FY18" s="109"/>
      <c r="FZ18" s="109"/>
      <c r="GA18" s="109"/>
      <c r="GB18" s="109"/>
      <c r="GC18" s="109"/>
      <c r="GD18" s="109"/>
      <c r="GE18" s="109"/>
      <c r="GF18" s="109"/>
      <c r="GG18" s="109"/>
      <c r="GH18" s="109"/>
      <c r="GI18" s="109"/>
      <c r="GJ18" s="109"/>
      <c r="GK18" s="109"/>
      <c r="GL18" s="109"/>
      <c r="GM18" s="109"/>
      <c r="GN18" s="109"/>
      <c r="GO18" s="109"/>
      <c r="GP18" s="109"/>
      <c r="GQ18" s="109"/>
      <c r="GR18" s="109"/>
      <c r="GS18" s="109"/>
      <c r="GT18" s="109"/>
      <c r="GU18" s="109"/>
      <c r="GV18" s="109"/>
      <c r="GW18" s="109"/>
      <c r="GX18" s="109"/>
      <c r="GY18" s="109"/>
      <c r="GZ18" s="109"/>
      <c r="HA18" s="109"/>
      <c r="HB18" s="109"/>
      <c r="HC18" s="109"/>
      <c r="HD18" s="109"/>
      <c r="HE18" s="109"/>
      <c r="HF18" s="109"/>
      <c r="HG18" s="109"/>
      <c r="HH18" s="109"/>
      <c r="HI18" s="109"/>
      <c r="HJ18" s="109"/>
      <c r="HK18" s="109"/>
      <c r="HL18" s="109"/>
      <c r="HM18" s="109"/>
      <c r="HN18" s="109"/>
      <c r="HO18" s="109"/>
      <c r="HP18" s="109"/>
      <c r="HQ18" s="109"/>
      <c r="HR18" s="109"/>
      <c r="HS18" s="109"/>
      <c r="HT18" s="109"/>
      <c r="HU18" s="109"/>
      <c r="HV18" s="109"/>
      <c r="HW18" s="109"/>
      <c r="HX18" s="109"/>
      <c r="HY18" s="110"/>
      <c r="HZ18" s="110"/>
      <c r="IA18" s="110"/>
      <c r="IB18" s="110"/>
      <c r="IC18" s="110"/>
      <c r="ID18" s="110"/>
    </row>
    <row r="19" ht="23.25" customHeight="1" spans="3:49" x14ac:dyDescent="0.25">
      <c r="C19" s="30"/>
      <c r="D19" s="66" t="s">
        <v>31</v>
      </c>
      <c r="E19" s="66"/>
      <c r="F19" s="66"/>
      <c r="G19" s="111">
        <f>AQ64</f>
      </c>
      <c r="H19" s="111"/>
      <c r="I19" s="111"/>
      <c r="J19" s="111"/>
      <c r="K19" s="111"/>
      <c r="L19" s="111"/>
      <c r="M19" s="111"/>
      <c r="N19" s="111"/>
      <c r="O19" s="111"/>
      <c r="P19" s="111"/>
      <c r="Q19" s="112"/>
      <c r="R19" s="37"/>
      <c r="S19" s="65"/>
      <c r="T19" s="66" t="s">
        <v>32</v>
      </c>
      <c r="U19" s="66"/>
      <c r="V19" s="66"/>
      <c r="W19" s="31"/>
      <c r="X19" s="31"/>
      <c r="Y19" s="31"/>
      <c r="Z19" s="31"/>
      <c r="AA19" s="31"/>
      <c r="AB19" s="31"/>
      <c r="AC19" s="31"/>
      <c r="AD19" s="31"/>
      <c r="AE19" s="31"/>
      <c r="AF19" s="31"/>
      <c r="AG19" s="67"/>
      <c r="AJ19" s="5"/>
      <c r="AK19" s="5">
        <v>1000000</v>
      </c>
      <c r="AL19" s="5"/>
      <c r="AM19" s="5"/>
      <c r="AN19" s="5" t="s">
        <v>33</v>
      </c>
      <c r="AO19" s="5"/>
      <c r="AP19" s="5"/>
      <c r="AQ19" s="20"/>
      <c r="AR19" s="20">
        <f t="shared" si="1"/>
        <v>20</v>
      </c>
      <c r="AS19" s="20"/>
      <c r="AT19" s="20"/>
      <c r="AU19" s="29"/>
      <c r="AV19" s="5">
        <f t="shared" si="2"/>
        <v>34</v>
      </c>
      <c r="AW19" s="5">
        <f t="shared" si="0"/>
        <v>15</v>
      </c>
    </row>
    <row r="20" ht="20.25" customHeight="1" spans="3:49" x14ac:dyDescent="0.25">
      <c r="C20" s="36"/>
      <c r="D20" s="113"/>
      <c r="E20" s="113"/>
      <c r="F20" s="114" t="s">
        <v>34</v>
      </c>
      <c r="G20" s="114"/>
      <c r="H20" s="114"/>
      <c r="I20" s="114"/>
      <c r="J20" s="115" t="s">
        <v>35</v>
      </c>
      <c r="K20" s="115"/>
      <c r="L20" s="115"/>
      <c r="M20" s="115"/>
      <c r="N20" s="115" t="s">
        <v>36</v>
      </c>
      <c r="O20" s="115"/>
      <c r="P20" s="115"/>
      <c r="Q20" s="116"/>
      <c r="R20" s="6"/>
      <c r="S20" s="71"/>
      <c r="T20" s="1"/>
      <c r="U20" s="1"/>
      <c r="V20" s="1"/>
      <c r="W20" s="1"/>
      <c r="X20" s="1"/>
      <c r="Y20" s="1"/>
      <c r="Z20" s="1"/>
      <c r="AA20" s="1"/>
      <c r="AB20" s="1"/>
      <c r="AC20" s="1"/>
      <c r="AD20" s="1"/>
      <c r="AE20" s="1"/>
      <c r="AF20" s="6"/>
      <c r="AG20" s="75"/>
      <c r="AJ20" s="5"/>
      <c r="AL20" s="5"/>
      <c r="AM20" s="5"/>
      <c r="AN20" s="5" t="s">
        <v>37</v>
      </c>
      <c r="AO20" s="5"/>
      <c r="AP20" s="5"/>
      <c r="AQ20" s="20"/>
      <c r="AR20" s="20">
        <f t="shared" si="1"/>
        <v>21</v>
      </c>
      <c r="AS20" s="20"/>
      <c r="AT20" s="20"/>
      <c r="AU20" s="29"/>
      <c r="AV20" s="5">
        <f t="shared" si="2"/>
        <v>35</v>
      </c>
      <c r="AW20" s="5">
        <f t="shared" si="0"/>
        <v>16</v>
      </c>
    </row>
    <row r="21" ht="20.25" customHeight="1" spans="3:49" x14ac:dyDescent="0.25">
      <c r="C21" s="117" t="s">
        <v>38</v>
      </c>
      <c r="D21" s="118"/>
      <c r="E21" s="118"/>
      <c r="F21" s="119">
        <v>0</v>
      </c>
      <c r="G21" s="120"/>
      <c r="H21" s="120"/>
      <c r="I21" s="121"/>
      <c r="J21" s="119">
        <v>0</v>
      </c>
      <c r="K21" s="120"/>
      <c r="L21" s="120"/>
      <c r="M21" s="121"/>
      <c r="N21" s="119">
        <v>0</v>
      </c>
      <c r="O21" s="120"/>
      <c r="P21" s="121"/>
      <c r="Q21" s="116"/>
      <c r="R21" s="83"/>
      <c r="S21" s="36"/>
      <c r="T21" s="122">
        <f>IF(D12="","",VLOOKUP(D15,$C$31:$O$55,9,0))</f>
        <v>3000000</v>
      </c>
      <c r="U21" s="123"/>
      <c r="V21" s="123"/>
      <c r="W21" s="123"/>
      <c r="X21" s="124"/>
      <c r="Y21" s="6"/>
      <c r="Z21" s="6"/>
      <c r="AA21" s="122">
        <f>IF(OR(T21="",T7=""),"",VLOOKUP((D15+T7),$E$31:$P$55,12,0))</f>
      </c>
      <c r="AB21" s="123"/>
      <c r="AC21" s="123"/>
      <c r="AD21" s="123"/>
      <c r="AE21" s="124"/>
      <c r="AF21" s="83"/>
      <c r="AG21" s="54"/>
      <c r="AJ21" s="5"/>
      <c r="AL21" s="5"/>
      <c r="AM21" s="5"/>
      <c r="AN21" s="5"/>
      <c r="AO21" s="5"/>
      <c r="AP21" s="5"/>
      <c r="AQ21" s="20"/>
      <c r="AR21" s="20">
        <f t="shared" si="1"/>
        <v>22</v>
      </c>
      <c r="AS21" s="20"/>
      <c r="AT21" s="20"/>
      <c r="AU21" s="29"/>
      <c r="AV21" s="5">
        <f t="shared" si="2"/>
        <v>36</v>
      </c>
      <c r="AW21" s="5">
        <f t="shared" si="0"/>
        <v>17</v>
      </c>
    </row>
    <row r="22" ht="22.5" customHeight="1" spans="3:238" x14ac:dyDescent="0.25">
      <c r="C22" s="117" t="s">
        <v>39</v>
      </c>
      <c r="D22" s="118"/>
      <c r="E22" s="118"/>
      <c r="F22" s="119">
        <v>0</v>
      </c>
      <c r="G22" s="120"/>
      <c r="H22" s="120"/>
      <c r="I22" s="121"/>
      <c r="J22" s="119">
        <v>0</v>
      </c>
      <c r="K22" s="120"/>
      <c r="L22" s="120"/>
      <c r="M22" s="121"/>
      <c r="N22" s="119">
        <v>1</v>
      </c>
      <c r="O22" s="120"/>
      <c r="P22" s="121"/>
      <c r="Q22" s="116"/>
      <c r="R22" s="64"/>
      <c r="S22" s="71"/>
      <c r="T22" s="82" t="s">
        <v>40</v>
      </c>
      <c r="U22" s="82"/>
      <c r="V22" s="82"/>
      <c r="W22" s="82"/>
      <c r="X22" s="82"/>
      <c r="Y22" s="83"/>
      <c r="Z22" s="83"/>
      <c r="AA22" s="90" t="str">
        <f>CONCATENATE("Saldo proyectado a edad"," ",D15+T7)</f>
        <v>Saldo proyectado a edad 54</v>
      </c>
      <c r="AB22" s="90"/>
      <c r="AC22" s="90"/>
      <c r="AD22" s="90"/>
      <c r="AE22" s="90"/>
      <c r="AF22" s="64"/>
      <c r="AG22" s="85"/>
      <c r="AJ22" s="5">
        <f>+U41</f>
        <v>0</v>
      </c>
      <c r="AK22" s="5">
        <f>+T7+D15</f>
        <v>54</v>
      </c>
      <c r="AL22" s="5"/>
      <c r="AM22" s="5"/>
      <c r="AN22" s="5"/>
      <c r="AO22" s="5"/>
      <c r="AP22" s="5"/>
      <c r="AQ22" s="20"/>
      <c r="AR22" s="20">
        <f t="shared" si="1"/>
        <v>23</v>
      </c>
      <c r="AS22" s="107"/>
      <c r="AT22" s="107"/>
      <c r="AU22" s="108"/>
      <c r="AV22" s="5">
        <f t="shared" si="2"/>
        <v>37</v>
      </c>
      <c r="AW22" s="5">
        <f t="shared" si="0"/>
        <v>18</v>
      </c>
      <c r="AX22" s="93"/>
      <c r="AY22" s="93"/>
      <c r="AZ22" s="93"/>
      <c r="BA22" s="93"/>
      <c r="BB22" s="93"/>
      <c r="BC22" s="93"/>
      <c r="BD22" s="93"/>
      <c r="BE22" s="93"/>
      <c r="BF22" s="93"/>
      <c r="BG22" s="93"/>
      <c r="BH22" s="93"/>
      <c r="BI22" s="93"/>
      <c r="BJ22" s="93"/>
      <c r="BK22" s="93"/>
      <c r="BL22" s="93"/>
      <c r="BM22" s="93"/>
      <c r="BN22" s="93"/>
      <c r="BO22" s="93"/>
      <c r="BP22" s="93"/>
      <c r="BQ22" s="109"/>
      <c r="BR22" s="109"/>
      <c r="BS22" s="109"/>
      <c r="BT22" s="109"/>
      <c r="BU22" s="109"/>
      <c r="BV22" s="109"/>
      <c r="BW22" s="109"/>
      <c r="BX22" s="109"/>
      <c r="BY22" s="109"/>
      <c r="BZ22" s="109"/>
      <c r="CA22" s="109"/>
      <c r="CB22" s="109"/>
      <c r="CC22" s="109"/>
      <c r="CD22" s="109"/>
      <c r="CE22" s="109"/>
      <c r="CF22" s="109"/>
      <c r="CG22" s="109"/>
      <c r="CH22" s="109"/>
      <c r="CI22" s="109"/>
      <c r="CJ22" s="109"/>
      <c r="CK22" s="109"/>
      <c r="CL22" s="109"/>
      <c r="CM22" s="109"/>
      <c r="CN22" s="109"/>
      <c r="CO22" s="109"/>
      <c r="CP22" s="109"/>
      <c r="CQ22" s="109"/>
      <c r="CR22" s="109"/>
      <c r="CS22" s="109"/>
      <c r="CT22" s="109"/>
      <c r="CU22" s="109"/>
      <c r="CV22" s="109"/>
      <c r="CW22" s="109"/>
      <c r="CX22" s="109"/>
      <c r="CY22" s="109"/>
      <c r="CZ22" s="109"/>
      <c r="DA22" s="109"/>
      <c r="DB22" s="109"/>
      <c r="DC22" s="109"/>
      <c r="DD22" s="109"/>
      <c r="DE22" s="109"/>
      <c r="DF22" s="109"/>
      <c r="DG22" s="109"/>
      <c r="DH22" s="109"/>
      <c r="DI22" s="109"/>
      <c r="DJ22" s="109"/>
      <c r="DK22" s="109"/>
      <c r="DL22" s="109"/>
      <c r="DM22" s="109"/>
      <c r="DN22" s="109"/>
      <c r="DO22" s="109"/>
      <c r="DP22" s="109"/>
      <c r="DQ22" s="109"/>
      <c r="DR22" s="109"/>
      <c r="DS22" s="109"/>
      <c r="DT22" s="109"/>
      <c r="DU22" s="109"/>
      <c r="DV22" s="109"/>
      <c r="DW22" s="109"/>
      <c r="DX22" s="109"/>
      <c r="DY22" s="109"/>
      <c r="DZ22" s="109"/>
      <c r="EA22" s="109"/>
      <c r="EB22" s="109"/>
      <c r="EC22" s="109"/>
      <c r="ED22" s="109"/>
      <c r="EE22" s="109"/>
      <c r="EF22" s="109"/>
      <c r="EG22" s="109"/>
      <c r="EH22" s="109"/>
      <c r="EI22" s="109"/>
      <c r="EJ22" s="109"/>
      <c r="EK22" s="109"/>
      <c r="EL22" s="109"/>
      <c r="EM22" s="109"/>
      <c r="EN22" s="109"/>
      <c r="EO22" s="109"/>
      <c r="EP22" s="109"/>
      <c r="EQ22" s="109"/>
      <c r="ER22" s="109"/>
      <c r="ES22" s="109"/>
      <c r="ET22" s="109"/>
      <c r="EU22" s="109"/>
      <c r="EV22" s="109"/>
      <c r="EW22" s="109"/>
      <c r="EX22" s="109"/>
      <c r="EY22" s="109"/>
      <c r="EZ22" s="109"/>
      <c r="FA22" s="109"/>
      <c r="FB22" s="109"/>
      <c r="FC22" s="109"/>
      <c r="FD22" s="109"/>
      <c r="FE22" s="109"/>
      <c r="FF22" s="109"/>
      <c r="FG22" s="109"/>
      <c r="FH22" s="109"/>
      <c r="FI22" s="109"/>
      <c r="FJ22" s="109"/>
      <c r="FK22" s="109"/>
      <c r="FL22" s="109"/>
      <c r="FM22" s="109"/>
      <c r="FN22" s="109"/>
      <c r="FO22" s="109"/>
      <c r="FP22" s="109"/>
      <c r="FQ22" s="109"/>
      <c r="FR22" s="109"/>
      <c r="FS22" s="109"/>
      <c r="FT22" s="109"/>
      <c r="FU22" s="109"/>
      <c r="FV22" s="109"/>
      <c r="FW22" s="109"/>
      <c r="FX22" s="109"/>
      <c r="FY22" s="109"/>
      <c r="FZ22" s="109"/>
      <c r="GA22" s="109"/>
      <c r="GB22" s="109"/>
      <c r="GC22" s="109"/>
      <c r="GD22" s="109"/>
      <c r="GE22" s="109"/>
      <c r="GF22" s="109"/>
      <c r="GG22" s="109"/>
      <c r="GH22" s="109"/>
      <c r="GI22" s="109"/>
      <c r="GJ22" s="109"/>
      <c r="GK22" s="109"/>
      <c r="GL22" s="109"/>
      <c r="GM22" s="109"/>
      <c r="GN22" s="109"/>
      <c r="GO22" s="109"/>
      <c r="GP22" s="109"/>
      <c r="GQ22" s="109"/>
      <c r="GR22" s="109"/>
      <c r="GS22" s="109"/>
      <c r="GT22" s="109"/>
      <c r="GU22" s="109"/>
      <c r="GV22" s="109"/>
      <c r="GW22" s="109"/>
      <c r="GX22" s="109"/>
      <c r="GY22" s="109"/>
      <c r="GZ22" s="109"/>
      <c r="HA22" s="109"/>
      <c r="HB22" s="109"/>
      <c r="HC22" s="109"/>
      <c r="HD22" s="109"/>
      <c r="HE22" s="109"/>
      <c r="HF22" s="109"/>
      <c r="HG22" s="109"/>
      <c r="HH22" s="109"/>
      <c r="HI22" s="109"/>
      <c r="HJ22" s="109"/>
      <c r="HK22" s="109"/>
      <c r="HL22" s="109"/>
      <c r="HM22" s="109"/>
      <c r="HN22" s="109"/>
      <c r="HO22" s="109"/>
      <c r="HP22" s="109"/>
      <c r="HQ22" s="109"/>
      <c r="HR22" s="109"/>
      <c r="HS22" s="109"/>
      <c r="HT22" s="109"/>
      <c r="HU22" s="109"/>
      <c r="HV22" s="109"/>
      <c r="HW22" s="109"/>
      <c r="HX22" s="109"/>
      <c r="HY22" s="110"/>
      <c r="HZ22" s="110"/>
      <c r="IA22" s="110"/>
      <c r="IB22" s="110"/>
      <c r="IC22" s="110"/>
      <c r="ID22" s="110"/>
    </row>
    <row r="23" ht="20.25" customHeight="1" spans="3:48" x14ac:dyDescent="0.25">
      <c r="C23" s="117" t="s">
        <v>41</v>
      </c>
      <c r="D23" s="118"/>
      <c r="E23" s="118"/>
      <c r="F23" s="119">
        <v>0</v>
      </c>
      <c r="G23" s="120"/>
      <c r="H23" s="120"/>
      <c r="I23" s="121"/>
      <c r="J23" s="119">
        <v>0</v>
      </c>
      <c r="K23" s="120"/>
      <c r="L23" s="120"/>
      <c r="M23" s="121"/>
      <c r="N23" s="119">
        <v>0</v>
      </c>
      <c r="O23" s="120"/>
      <c r="P23" s="121"/>
      <c r="Q23" s="116"/>
      <c r="R23" s="6"/>
      <c r="S23" s="71"/>
      <c r="T23" s="1"/>
      <c r="U23" s="1"/>
      <c r="V23" s="1"/>
      <c r="W23" s="1"/>
      <c r="X23" s="1"/>
      <c r="Y23" s="1"/>
      <c r="Z23" s="1"/>
      <c r="AA23" s="1"/>
      <c r="AB23" s="1"/>
      <c r="AC23" s="1"/>
      <c r="AD23" s="1"/>
      <c r="AE23" s="1"/>
      <c r="AF23" s="6"/>
      <c r="AG23" s="75"/>
      <c r="AJ23" s="5"/>
      <c r="AK23" s="125" t="s">
        <v>42</v>
      </c>
      <c r="AL23" s="5"/>
      <c r="AM23" s="5"/>
      <c r="AN23" s="5"/>
      <c r="AO23" s="5"/>
      <c r="AP23" s="5"/>
      <c r="AQ23" s="20"/>
      <c r="AR23" s="20">
        <f t="shared" si="1"/>
        <v>24</v>
      </c>
      <c r="AS23" s="20"/>
      <c r="AT23" s="20"/>
      <c r="AU23" s="29"/>
      <c r="AV23" s="5">
        <f t="shared" si="2"/>
        <v>38</v>
      </c>
    </row>
    <row r="24" ht="20.25" customHeight="1" spans="3:48" x14ac:dyDescent="0.25">
      <c r="C24" s="36"/>
      <c r="D24" s="113"/>
      <c r="E24" s="113"/>
      <c r="F24" s="113"/>
      <c r="G24" s="113"/>
      <c r="H24" s="113"/>
      <c r="I24" s="105"/>
      <c r="J24" s="105"/>
      <c r="K24" s="105"/>
      <c r="L24" s="83"/>
      <c r="M24" s="105"/>
      <c r="N24" s="106"/>
      <c r="O24" s="106"/>
      <c r="P24" s="106"/>
      <c r="Q24" s="116"/>
      <c r="R24" s="6"/>
      <c r="S24" s="71"/>
      <c r="T24" s="126">
        <f>IF(D12="","",Bono!T26)</f>
        <v>1</v>
      </c>
      <c r="U24" s="127"/>
      <c r="V24" s="127"/>
      <c r="W24" s="127"/>
      <c r="X24" s="128"/>
      <c r="Y24" s="6"/>
      <c r="Z24" s="6"/>
      <c r="AA24" s="122">
        <f>IF(T24="","",Bono!T23*Bono!T26)</f>
        <v>120000</v>
      </c>
      <c r="AB24" s="123"/>
      <c r="AC24" s="123"/>
      <c r="AD24" s="123"/>
      <c r="AE24" s="124"/>
      <c r="AF24" s="6"/>
      <c r="AG24" s="75"/>
      <c r="AJ24" s="5"/>
      <c r="AK24" s="5" t="s">
        <v>9</v>
      </c>
      <c r="AL24" s="5">
        <v>12</v>
      </c>
      <c r="AM24" s="5">
        <v>1000</v>
      </c>
      <c r="AN24" s="5" t="s">
        <v>43</v>
      </c>
      <c r="AO24" s="5"/>
      <c r="AP24" s="5"/>
      <c r="AQ24" s="20"/>
      <c r="AR24" s="20">
        <f t="shared" si="1"/>
        <v>25</v>
      </c>
      <c r="AS24" s="20"/>
      <c r="AT24" s="20"/>
      <c r="AU24" s="29"/>
      <c r="AV24" s="5">
        <f t="shared" si="2"/>
        <v>39</v>
      </c>
    </row>
    <row r="25" ht="20.25" customHeight="1" spans="3:48" x14ac:dyDescent="0.25">
      <c r="C25" s="129" t="s">
        <v>44</v>
      </c>
      <c r="D25" s="114"/>
      <c r="E25" s="114"/>
      <c r="F25" s="119">
        <v>0</v>
      </c>
      <c r="G25" s="120"/>
      <c r="H25" s="120"/>
      <c r="I25" s="121"/>
      <c r="J25" s="82" t="s">
        <v>45</v>
      </c>
      <c r="K25" s="82"/>
      <c r="L25" s="82"/>
      <c r="M25" s="82"/>
      <c r="N25" s="130">
        <v>0</v>
      </c>
      <c r="O25" s="131"/>
      <c r="P25" s="132"/>
      <c r="Q25" s="116"/>
      <c r="R25" s="83"/>
      <c r="S25" s="36"/>
      <c r="T25" s="82" t="s">
        <v>46</v>
      </c>
      <c r="U25" s="82"/>
      <c r="V25" s="82"/>
      <c r="W25" s="82"/>
      <c r="X25" s="82"/>
      <c r="Y25" s="83"/>
      <c r="Z25" s="1"/>
      <c r="AA25" s="82" t="s">
        <v>47</v>
      </c>
      <c r="AB25" s="82"/>
      <c r="AC25" s="82"/>
      <c r="AD25" s="82"/>
      <c r="AE25" s="82"/>
      <c r="AF25" s="83"/>
      <c r="AG25" s="54"/>
      <c r="AJ25" s="5"/>
      <c r="AK25" s="4" t="s">
        <v>14</v>
      </c>
      <c r="AL25" s="5">
        <v>4</v>
      </c>
      <c r="AM25" s="5">
        <v>3000</v>
      </c>
      <c r="AN25" s="5" t="s">
        <v>48</v>
      </c>
      <c r="AO25" s="5"/>
      <c r="AP25" s="5"/>
      <c r="AQ25" s="20"/>
      <c r="AR25" s="20"/>
      <c r="AS25" s="20"/>
      <c r="AT25" s="20"/>
      <c r="AU25" s="29"/>
      <c r="AV25" s="5">
        <f t="shared" si="2"/>
        <v>40</v>
      </c>
    </row>
    <row r="26" ht="20.25" customHeight="1" spans="3:48" x14ac:dyDescent="0.25">
      <c r="C26" s="133" t="s">
        <v>49</v>
      </c>
      <c r="D26" s="115"/>
      <c r="E26" s="115"/>
      <c r="F26" s="119">
        <v>0</v>
      </c>
      <c r="G26" s="120"/>
      <c r="H26" s="120"/>
      <c r="I26" s="121"/>
      <c r="J26" s="82" t="s">
        <v>50</v>
      </c>
      <c r="K26" s="134"/>
      <c r="L26" s="134"/>
      <c r="M26" s="134"/>
      <c r="N26" s="119">
        <v>0</v>
      </c>
      <c r="O26" s="120"/>
      <c r="P26" s="121"/>
      <c r="Q26" s="116"/>
      <c r="R26" s="96"/>
      <c r="S26" s="36"/>
      <c r="T26" s="1"/>
      <c r="U26" s="1"/>
      <c r="V26" s="1"/>
      <c r="W26" s="1"/>
      <c r="X26" s="1"/>
      <c r="Y26" s="1"/>
      <c r="Z26" s="1"/>
      <c r="AA26" s="1"/>
      <c r="AB26" s="1"/>
      <c r="AC26" s="1"/>
      <c r="AD26" s="1"/>
      <c r="AE26" s="1"/>
      <c r="AF26" s="83"/>
      <c r="AG26" s="54"/>
      <c r="AJ26" s="5"/>
      <c r="AK26" s="5" t="s">
        <v>18</v>
      </c>
      <c r="AL26" s="5">
        <v>2</v>
      </c>
      <c r="AM26" s="5">
        <v>6000</v>
      </c>
      <c r="AN26" s="20" t="s">
        <v>51</v>
      </c>
      <c r="AO26" s="5"/>
      <c r="AP26" s="5"/>
      <c r="AQ26" s="20"/>
      <c r="AS26" s="20"/>
      <c r="AT26" s="20"/>
      <c r="AU26" s="29"/>
      <c r="AV26" s="5">
        <f t="shared" si="2"/>
        <v>41</v>
      </c>
    </row>
    <row r="27" ht="20.25" customHeight="1" spans="3:48" x14ac:dyDescent="0.25">
      <c r="C27" s="133" t="s">
        <v>52</v>
      </c>
      <c r="D27" s="115"/>
      <c r="E27" s="115"/>
      <c r="F27" s="119">
        <v>0</v>
      </c>
      <c r="G27" s="120"/>
      <c r="H27" s="120"/>
      <c r="I27" s="121"/>
      <c r="J27" s="115" t="s">
        <v>53</v>
      </c>
      <c r="K27" s="115"/>
      <c r="L27" s="115"/>
      <c r="M27" s="115"/>
      <c r="N27" s="135">
        <v>0</v>
      </c>
      <c r="O27" s="136"/>
      <c r="P27" s="137"/>
      <c r="Q27" s="116"/>
      <c r="R27" s="105"/>
      <c r="S27" s="138"/>
      <c r="T27" s="1"/>
      <c r="U27" s="1"/>
      <c r="V27" s="1"/>
      <c r="W27" s="1"/>
      <c r="X27" s="1"/>
      <c r="Y27" s="1"/>
      <c r="Z27" s="1"/>
      <c r="AA27" s="1"/>
      <c r="AB27" s="1"/>
      <c r="AC27" s="1"/>
      <c r="AD27" s="1"/>
      <c r="AE27" s="1"/>
      <c r="AF27" s="39"/>
      <c r="AG27" s="139"/>
      <c r="AJ27" s="5"/>
      <c r="AK27" s="5" t="s">
        <v>21</v>
      </c>
      <c r="AL27" s="5">
        <v>1</v>
      </c>
      <c r="AM27" s="5">
        <v>12000</v>
      </c>
      <c r="AN27" s="5" t="s">
        <v>54</v>
      </c>
      <c r="AO27" s="5"/>
      <c r="AP27" s="5"/>
      <c r="AQ27" s="20"/>
      <c r="AR27" s="20"/>
      <c r="AS27" s="20"/>
      <c r="AT27" s="20"/>
      <c r="AU27" s="29"/>
      <c r="AV27" s="5">
        <f t="shared" si="2"/>
        <v>42</v>
      </c>
    </row>
    <row r="28" ht="16.5" customHeight="1" spans="3:48" x14ac:dyDescent="0.25">
      <c r="C28" s="140"/>
      <c r="D28" s="141">
        <f>IF(SUM(F21+J21+N21+N22+J22+F22+F23+J23+N23+F25+F26+F27+N25+N26+N27)=100%,"","La suma de los porcentajes debe de ser igual a 100%")</f>
      </c>
      <c r="E28" s="141"/>
      <c r="F28" s="141"/>
      <c r="G28" s="141"/>
      <c r="H28" s="141"/>
      <c r="I28" s="141"/>
      <c r="J28" s="141"/>
      <c r="K28" s="141"/>
      <c r="L28" s="141"/>
      <c r="M28" s="141"/>
      <c r="N28" s="141"/>
      <c r="O28" s="141"/>
      <c r="P28" s="141"/>
      <c r="Q28" s="142"/>
      <c r="R28" s="105"/>
      <c r="S28" s="143"/>
      <c r="T28" s="144"/>
      <c r="U28" s="144"/>
      <c r="V28" s="144"/>
      <c r="W28" s="144"/>
      <c r="X28" s="144"/>
      <c r="Y28" s="144"/>
      <c r="Z28" s="144"/>
      <c r="AA28" s="144"/>
      <c r="AB28" s="144"/>
      <c r="AC28" s="144"/>
      <c r="AD28" s="144"/>
      <c r="AE28" s="144"/>
      <c r="AF28" s="145"/>
      <c r="AG28" s="146"/>
      <c r="AJ28" s="5"/>
      <c r="AK28" s="5"/>
      <c r="AL28" s="5"/>
      <c r="AM28" s="5"/>
      <c r="AN28" s="5"/>
      <c r="AO28" s="5"/>
      <c r="AP28" s="5"/>
      <c r="AQ28" s="20"/>
      <c r="AR28" s="20"/>
      <c r="AS28" s="20"/>
      <c r="AT28" s="20"/>
      <c r="AU28" s="29"/>
      <c r="AV28" s="5">
        <f t="shared" si="2"/>
        <v>43</v>
      </c>
    </row>
    <row r="29" ht="7.5" customHeight="1" spans="3:238" x14ac:dyDescent="0.25">
      <c r="C29" s="1"/>
      <c r="D29" s="147"/>
      <c r="E29" s="147"/>
      <c r="F29" s="147"/>
      <c r="G29" s="147"/>
      <c r="H29" s="147"/>
      <c r="I29" s="147"/>
      <c r="J29" s="147"/>
      <c r="K29" s="147"/>
      <c r="L29" s="147"/>
      <c r="M29" s="147"/>
      <c r="N29" s="147"/>
      <c r="O29" s="147"/>
      <c r="P29" s="147"/>
      <c r="Q29" s="147"/>
      <c r="R29" s="147"/>
      <c r="S29" s="147"/>
      <c r="T29" s="147"/>
      <c r="U29" s="147"/>
      <c r="V29" s="147"/>
      <c r="W29" s="147"/>
      <c r="X29" s="147"/>
      <c r="Y29" s="147"/>
      <c r="Z29" s="147"/>
      <c r="AA29" s="147"/>
      <c r="AB29" s="147"/>
      <c r="AC29" s="147"/>
      <c r="AD29" s="147"/>
      <c r="AE29" s="147"/>
      <c r="AF29" s="147"/>
      <c r="AG29" s="147"/>
      <c r="AJ29" s="5"/>
      <c r="AK29" s="5"/>
      <c r="AL29" s="5"/>
      <c r="AM29" s="5">
        <f>VLOOKUP(K12,AK24:AN27,3,0)</f>
        <v>1000</v>
      </c>
      <c r="AN29" s="5" t="str">
        <f>VLOOKUP(K12,AK24:AN27,4,0)</f>
        <v>mensuales</v>
      </c>
      <c r="AO29" s="5"/>
      <c r="AP29" s="5"/>
      <c r="AQ29" s="20"/>
      <c r="AR29" s="20"/>
      <c r="AS29" s="107"/>
      <c r="AT29" s="107"/>
      <c r="AU29" s="108"/>
      <c r="AV29" s="5">
        <f t="shared" si="2"/>
        <v>44</v>
      </c>
      <c r="AX29" s="93"/>
      <c r="AY29" s="93"/>
      <c r="AZ29" s="93"/>
      <c r="BA29" s="93"/>
      <c r="BB29" s="93"/>
      <c r="BC29" s="93"/>
      <c r="BD29" s="93"/>
      <c r="BE29" s="93"/>
      <c r="BF29" s="93"/>
      <c r="BG29" s="93"/>
      <c r="BH29" s="93"/>
      <c r="BI29" s="93"/>
      <c r="BJ29" s="93"/>
      <c r="BK29" s="93"/>
      <c r="BL29" s="93"/>
      <c r="BM29" s="93"/>
      <c r="BN29" s="93"/>
      <c r="BO29" s="93"/>
      <c r="BP29" s="93"/>
      <c r="BQ29" s="109"/>
      <c r="BR29" s="109"/>
      <c r="BS29" s="109"/>
      <c r="BT29" s="109"/>
      <c r="BU29" s="109"/>
      <c r="BV29" s="109"/>
      <c r="BW29" s="109"/>
      <c r="BX29" s="109"/>
      <c r="BY29" s="109"/>
      <c r="BZ29" s="109"/>
      <c r="CA29" s="109"/>
      <c r="CB29" s="109"/>
      <c r="CC29" s="109"/>
      <c r="CD29" s="109"/>
      <c r="CE29" s="109"/>
      <c r="CF29" s="109"/>
      <c r="CG29" s="109"/>
      <c r="CH29" s="109"/>
      <c r="CI29" s="109"/>
      <c r="CJ29" s="109"/>
      <c r="CK29" s="109"/>
      <c r="CL29" s="109"/>
      <c r="CM29" s="109"/>
      <c r="CN29" s="109"/>
      <c r="CO29" s="109"/>
      <c r="CP29" s="109"/>
      <c r="CQ29" s="109"/>
      <c r="CR29" s="109"/>
      <c r="CS29" s="109"/>
      <c r="CT29" s="109"/>
      <c r="CU29" s="109"/>
      <c r="CV29" s="109"/>
      <c r="CW29" s="109"/>
      <c r="CX29" s="109"/>
      <c r="CY29" s="109"/>
      <c r="CZ29" s="109"/>
      <c r="DA29" s="109"/>
      <c r="DB29" s="109"/>
      <c r="DC29" s="109"/>
      <c r="DD29" s="109"/>
      <c r="DE29" s="109"/>
      <c r="DF29" s="109"/>
      <c r="DG29" s="109"/>
      <c r="DH29" s="109"/>
      <c r="DI29" s="109"/>
      <c r="DJ29" s="109"/>
      <c r="DK29" s="109"/>
      <c r="DL29" s="109"/>
      <c r="DM29" s="109"/>
      <c r="DN29" s="109"/>
      <c r="DO29" s="109"/>
      <c r="DP29" s="109"/>
      <c r="DQ29" s="109"/>
      <c r="DR29" s="109"/>
      <c r="DS29" s="109"/>
      <c r="DT29" s="109"/>
      <c r="DU29" s="109"/>
      <c r="DV29" s="109"/>
      <c r="DW29" s="109"/>
      <c r="DX29" s="109"/>
      <c r="DY29" s="109"/>
      <c r="DZ29" s="109"/>
      <c r="EA29" s="109"/>
      <c r="EB29" s="109"/>
      <c r="EC29" s="109"/>
      <c r="ED29" s="109"/>
      <c r="EE29" s="109"/>
      <c r="EF29" s="109"/>
      <c r="EG29" s="109"/>
      <c r="EH29" s="109"/>
      <c r="EI29" s="109"/>
      <c r="EJ29" s="109"/>
      <c r="EK29" s="109"/>
      <c r="EL29" s="109"/>
      <c r="EM29" s="109"/>
      <c r="EN29" s="109"/>
      <c r="EO29" s="109"/>
      <c r="EP29" s="109"/>
      <c r="EQ29" s="109"/>
      <c r="ER29" s="109"/>
      <c r="ES29" s="109"/>
      <c r="ET29" s="109"/>
      <c r="EU29" s="109"/>
      <c r="EV29" s="109"/>
      <c r="EW29" s="109"/>
      <c r="EX29" s="109"/>
      <c r="EY29" s="109"/>
      <c r="EZ29" s="109"/>
      <c r="FA29" s="109"/>
      <c r="FB29" s="109"/>
      <c r="FC29" s="109"/>
      <c r="FD29" s="109"/>
      <c r="FE29" s="109"/>
      <c r="FF29" s="109"/>
      <c r="FG29" s="109"/>
      <c r="FH29" s="109"/>
      <c r="FI29" s="109"/>
      <c r="FJ29" s="109"/>
      <c r="FK29" s="109"/>
      <c r="FL29" s="109"/>
      <c r="FM29" s="109"/>
      <c r="FN29" s="109"/>
      <c r="FO29" s="109"/>
      <c r="FP29" s="109"/>
      <c r="FQ29" s="109"/>
      <c r="FR29" s="109"/>
      <c r="FS29" s="109"/>
      <c r="FT29" s="109"/>
      <c r="FU29" s="109"/>
      <c r="FV29" s="109"/>
      <c r="FW29" s="109"/>
      <c r="FX29" s="109"/>
      <c r="FY29" s="109"/>
      <c r="FZ29" s="109"/>
      <c r="GA29" s="109"/>
      <c r="GB29" s="109"/>
      <c r="GC29" s="109"/>
      <c r="GD29" s="109"/>
      <c r="GE29" s="109"/>
      <c r="GF29" s="109"/>
      <c r="GG29" s="109"/>
      <c r="GH29" s="109"/>
      <c r="GI29" s="109"/>
      <c r="GJ29" s="109"/>
      <c r="GK29" s="109"/>
      <c r="GL29" s="109"/>
      <c r="GM29" s="109"/>
      <c r="GN29" s="109"/>
      <c r="GO29" s="109"/>
      <c r="GP29" s="109"/>
      <c r="GQ29" s="109"/>
      <c r="GR29" s="109"/>
      <c r="GS29" s="109"/>
      <c r="GT29" s="109"/>
      <c r="GU29" s="109"/>
      <c r="GV29" s="109"/>
      <c r="GW29" s="109"/>
      <c r="GX29" s="109"/>
      <c r="GY29" s="109"/>
      <c r="GZ29" s="109"/>
      <c r="HA29" s="109"/>
      <c r="HB29" s="109"/>
      <c r="HC29" s="109"/>
      <c r="HD29" s="109"/>
      <c r="HE29" s="109"/>
      <c r="HF29" s="109"/>
      <c r="HG29" s="109"/>
      <c r="HH29" s="109"/>
      <c r="HI29" s="109"/>
      <c r="HJ29" s="109"/>
      <c r="HK29" s="109"/>
      <c r="HL29" s="109"/>
      <c r="HM29" s="109"/>
      <c r="HN29" s="109"/>
      <c r="HO29" s="109"/>
      <c r="HP29" s="109"/>
      <c r="HQ29" s="109"/>
      <c r="HR29" s="109"/>
      <c r="HS29" s="109"/>
      <c r="HT29" s="109"/>
      <c r="HU29" s="109"/>
      <c r="HV29" s="109"/>
      <c r="HW29" s="109"/>
      <c r="HX29" s="109"/>
      <c r="HY29" s="110"/>
      <c r="HZ29" s="110"/>
      <c r="IA29" s="110"/>
      <c r="IB29" s="110"/>
      <c r="IC29" s="110"/>
      <c r="ID29" s="110"/>
    </row>
    <row r="30" ht="70.5" customHeight="1" spans="1:232" s="148" customFormat="1" x14ac:dyDescent="0.25">
      <c r="A30" s="149"/>
      <c r="B30" s="150"/>
      <c r="C30" s="151" t="s">
        <v>55</v>
      </c>
      <c r="D30" s="152"/>
      <c r="E30" s="152" t="s">
        <v>23</v>
      </c>
      <c r="F30" s="152"/>
      <c r="G30" s="153" t="s">
        <v>56</v>
      </c>
      <c r="H30" s="153"/>
      <c r="I30" s="153"/>
      <c r="J30" s="153"/>
      <c r="K30" s="154" t="s">
        <v>57</v>
      </c>
      <c r="L30" s="154"/>
      <c r="M30" s="154"/>
      <c r="N30" s="154"/>
      <c r="O30" s="155"/>
      <c r="P30" s="151" t="s">
        <v>58</v>
      </c>
      <c r="Q30" s="152"/>
      <c r="R30" s="152"/>
      <c r="S30" s="152"/>
      <c r="T30" s="154" t="s">
        <v>59</v>
      </c>
      <c r="U30" s="154"/>
      <c r="V30" s="154"/>
      <c r="W30" s="154"/>
      <c r="X30" s="156" t="s">
        <v>60</v>
      </c>
      <c r="Y30" s="156"/>
      <c r="Z30" s="156"/>
      <c r="AA30" s="156"/>
      <c r="AB30" s="156"/>
      <c r="AC30" s="157">
        <f>IF(AK12="","",IF(AK12=$AK$48,"",Resumen!AC8))</f>
      </c>
      <c r="AD30" s="157"/>
      <c r="AE30" s="157"/>
      <c r="AF30" s="157"/>
      <c r="AG30" s="158"/>
      <c r="AH30" s="149"/>
      <c r="AI30" s="102"/>
      <c r="AJ30" s="20"/>
      <c r="AK30" s="159" t="s">
        <v>61</v>
      </c>
      <c r="AL30" s="20"/>
      <c r="AM30" s="20"/>
      <c r="AN30" s="20"/>
      <c r="AO30" s="20"/>
      <c r="AP30" s="20"/>
      <c r="AQ30" s="20"/>
      <c r="AR30" s="20"/>
      <c r="AS30" s="20"/>
      <c r="AT30" s="20"/>
      <c r="AU30" s="29"/>
      <c r="AV30" s="5">
        <f t="shared" si="2"/>
        <v>45</v>
      </c>
      <c r="AW30" s="20"/>
      <c r="AX30" s="20"/>
      <c r="AY30" s="20"/>
      <c r="AZ30" s="20"/>
      <c r="BA30" s="20"/>
      <c r="BB30" s="20"/>
      <c r="BC30" s="20"/>
      <c r="BD30" s="20"/>
      <c r="BE30" s="20"/>
      <c r="BF30" s="20"/>
      <c r="BG30" s="20"/>
      <c r="BH30" s="20"/>
      <c r="BI30" s="20"/>
      <c r="BJ30" s="20"/>
      <c r="BK30" s="20"/>
      <c r="BL30" s="20"/>
      <c r="BM30" s="20"/>
      <c r="BN30" s="20"/>
      <c r="BO30" s="20"/>
      <c r="BP30" s="20"/>
      <c r="BQ30" s="160"/>
      <c r="BR30" s="160"/>
      <c r="BS30" s="160"/>
      <c r="BT30" s="160"/>
      <c r="BU30" s="160"/>
      <c r="BV30" s="160"/>
      <c r="BW30" s="160"/>
      <c r="BX30" s="160"/>
      <c r="BY30" s="160"/>
      <c r="BZ30" s="160"/>
      <c r="CA30" s="160"/>
      <c r="CB30" s="160"/>
      <c r="CC30" s="160"/>
      <c r="CD30" s="160"/>
      <c r="CE30" s="160"/>
      <c r="CF30" s="160"/>
      <c r="CG30" s="160"/>
      <c r="CH30" s="160"/>
      <c r="CI30" s="160"/>
      <c r="CJ30" s="160"/>
      <c r="CK30" s="160"/>
      <c r="CL30" s="160"/>
      <c r="CM30" s="160"/>
      <c r="CN30" s="160"/>
      <c r="CO30" s="160"/>
      <c r="CP30" s="160"/>
      <c r="CQ30" s="160"/>
      <c r="CR30" s="160"/>
      <c r="CS30" s="160"/>
      <c r="CT30" s="160"/>
      <c r="CU30" s="160"/>
      <c r="CV30" s="160"/>
      <c r="CW30" s="160"/>
      <c r="CX30" s="160"/>
      <c r="CY30" s="160"/>
      <c r="CZ30" s="160"/>
      <c r="DA30" s="160"/>
      <c r="DB30" s="160"/>
      <c r="DC30" s="160"/>
      <c r="DD30" s="160"/>
      <c r="DE30" s="160"/>
      <c r="DF30" s="160"/>
      <c r="DG30" s="160"/>
      <c r="DH30" s="160"/>
      <c r="DI30" s="160"/>
      <c r="DJ30" s="160"/>
      <c r="DK30" s="160"/>
      <c r="DL30" s="160"/>
      <c r="DM30" s="160"/>
      <c r="DN30" s="160"/>
      <c r="DO30" s="160"/>
      <c r="DP30" s="160"/>
      <c r="DQ30" s="160"/>
      <c r="DR30" s="160"/>
      <c r="DS30" s="160"/>
      <c r="DT30" s="160"/>
      <c r="DU30" s="160"/>
      <c r="DV30" s="160"/>
      <c r="DW30" s="160"/>
      <c r="DX30" s="160"/>
      <c r="DY30" s="160"/>
      <c r="DZ30" s="160"/>
      <c r="EA30" s="160"/>
      <c r="EB30" s="160"/>
      <c r="EC30" s="160"/>
      <c r="ED30" s="160"/>
      <c r="EE30" s="160"/>
      <c r="EF30" s="160"/>
      <c r="EG30" s="160"/>
      <c r="EH30" s="160"/>
      <c r="EI30" s="160"/>
      <c r="EJ30" s="160"/>
      <c r="EK30" s="160"/>
      <c r="EL30" s="160"/>
      <c r="EM30" s="160"/>
      <c r="EN30" s="160"/>
      <c r="EO30" s="160"/>
      <c r="EP30" s="160"/>
      <c r="EQ30" s="160"/>
      <c r="ER30" s="160"/>
      <c r="ES30" s="160"/>
      <c r="ET30" s="160"/>
      <c r="EU30" s="160"/>
      <c r="EV30" s="160"/>
      <c r="EW30" s="160"/>
      <c r="EX30" s="160"/>
      <c r="EY30" s="160"/>
      <c r="EZ30" s="160"/>
      <c r="FA30" s="160"/>
      <c r="FB30" s="160"/>
      <c r="FC30" s="160"/>
      <c r="FD30" s="160"/>
      <c r="FE30" s="160"/>
      <c r="FF30" s="160"/>
      <c r="FG30" s="160"/>
      <c r="FH30" s="160"/>
      <c r="FI30" s="160"/>
      <c r="FJ30" s="160"/>
      <c r="FK30" s="160"/>
      <c r="FL30" s="160"/>
      <c r="FM30" s="160"/>
      <c r="FN30" s="160"/>
      <c r="FO30" s="160"/>
      <c r="FP30" s="160"/>
      <c r="FQ30" s="160"/>
      <c r="FR30" s="160"/>
      <c r="FS30" s="160"/>
      <c r="FT30" s="160"/>
      <c r="FU30" s="160"/>
      <c r="FV30" s="160"/>
      <c r="FW30" s="160"/>
      <c r="FX30" s="160"/>
      <c r="FY30" s="160"/>
      <c r="FZ30" s="160"/>
      <c r="GA30" s="160"/>
      <c r="GB30" s="160"/>
      <c r="GC30" s="160"/>
      <c r="GD30" s="160"/>
      <c r="GE30" s="160"/>
      <c r="GF30" s="160"/>
      <c r="GG30" s="160"/>
      <c r="GH30" s="160"/>
      <c r="GI30" s="160"/>
      <c r="GJ30" s="160"/>
      <c r="GK30" s="160"/>
      <c r="GL30" s="160"/>
      <c r="GM30" s="160"/>
      <c r="GN30" s="160"/>
      <c r="GO30" s="160"/>
      <c r="GP30" s="160"/>
      <c r="GQ30" s="160"/>
      <c r="GR30" s="160"/>
      <c r="GS30" s="160"/>
      <c r="GT30" s="160"/>
      <c r="GU30" s="160"/>
      <c r="GV30" s="160"/>
      <c r="GW30" s="160"/>
      <c r="GX30" s="160"/>
      <c r="GY30" s="160"/>
      <c r="GZ30" s="160"/>
      <c r="HA30" s="160"/>
      <c r="HB30" s="160"/>
      <c r="HC30" s="160"/>
      <c r="HD30" s="160"/>
      <c r="HE30" s="160"/>
      <c r="HF30" s="160"/>
      <c r="HG30" s="160"/>
      <c r="HH30" s="160"/>
      <c r="HI30" s="160"/>
      <c r="HJ30" s="160"/>
      <c r="HK30" s="160"/>
      <c r="HL30" s="160"/>
      <c r="HM30" s="160"/>
      <c r="HN30" s="160"/>
      <c r="HO30" s="160"/>
      <c r="HP30" s="160"/>
      <c r="HQ30" s="160"/>
      <c r="HR30" s="160"/>
      <c r="HS30" s="160"/>
      <c r="HT30" s="160"/>
      <c r="HU30" s="160"/>
      <c r="HV30" s="160"/>
      <c r="HW30" s="160"/>
      <c r="HX30" s="160"/>
    </row>
    <row r="31" ht="16.5" customHeight="1" spans="3:238" x14ac:dyDescent="0.25">
      <c r="C31" s="161">
        <v>1</v>
      </c>
      <c r="D31" s="162"/>
      <c r="E31" s="162">
        <f>IF(T7=" "," ",T7+1)</f>
        <v>30</v>
      </c>
      <c r="F31" s="162"/>
      <c r="G31" s="162">
        <f>IF($K$12="","",VLOOKUP(C31,'No Deducible 93'!$AG$25:$AH$49,2,0))</f>
        <v>120000</v>
      </c>
      <c r="H31" s="162"/>
      <c r="I31" s="162"/>
      <c r="J31" s="162"/>
      <c r="K31" s="162">
        <f>IF(G31="","",G31)</f>
        <v>120000</v>
      </c>
      <c r="L31" s="162"/>
      <c r="M31" s="162"/>
      <c r="N31" s="162"/>
      <c r="O31" s="163"/>
      <c r="P31" s="164">
        <f>IF(G31="","",VLOOKUP(C31*12,Resumen!$C$5:$F$408,VLOOKUP('OptiMaxx plus'!$AK$12,'OptiMaxx plus'!$AK$46:$AL$48,2,0)+1,0))</f>
        <v>244359.08365423908</v>
      </c>
      <c r="Q31" s="165"/>
      <c r="R31" s="165"/>
      <c r="S31" s="165"/>
      <c r="T31" s="165">
        <f>IF(K31="","",IF(C31=$D$15,P31,VLOOKUP(C31*12,Resumen!$H$5:$K$408,$AN$46+1,0)))</f>
        <v>0</v>
      </c>
      <c r="U31" s="165"/>
      <c r="V31" s="165"/>
      <c r="W31" s="165"/>
      <c r="X31" s="165">
        <f>IF(P31="","",VLOOKUP(C31,Resumen!$M$5:$R$29,'OptiMaxx plus'!$AN$46+2,0))</f>
        <v>0</v>
      </c>
      <c r="Y31" s="165"/>
      <c r="Z31" s="165"/>
      <c r="AA31" s="165"/>
      <c r="AB31" s="166"/>
      <c r="AC31" s="167">
        <f>IF(C31="","",IF(AC30="","",VLOOKUP(C31,Resumen!$T$5:$AB$29,9,0)))</f>
      </c>
      <c r="AD31" s="167"/>
      <c r="AE31" s="167"/>
      <c r="AF31" s="167"/>
      <c r="AG31" s="168"/>
      <c r="AJ31" s="93"/>
      <c r="AK31" s="5" t="s">
        <v>9</v>
      </c>
      <c r="AL31" s="5">
        <v>12</v>
      </c>
      <c r="AM31" s="5">
        <v>7500</v>
      </c>
      <c r="AN31" s="5" t="s">
        <v>43</v>
      </c>
      <c r="AO31" s="93"/>
      <c r="AP31" s="93"/>
      <c r="AQ31" s="107"/>
      <c r="AR31" s="107"/>
      <c r="AS31" s="107"/>
      <c r="AT31" s="107"/>
      <c r="AU31" s="108"/>
      <c r="AV31" s="5">
        <f t="shared" si="2"/>
        <v>46</v>
      </c>
      <c r="AW31" s="93"/>
      <c r="AX31" s="93"/>
      <c r="AY31" s="93"/>
      <c r="AZ31" s="93"/>
      <c r="BA31" s="93"/>
      <c r="BB31" s="93"/>
      <c r="BC31" s="93"/>
      <c r="BD31" s="93"/>
      <c r="BE31" s="93"/>
      <c r="BF31" s="93"/>
      <c r="BG31" s="93"/>
      <c r="BH31" s="93"/>
      <c r="BI31" s="93"/>
      <c r="BJ31" s="93"/>
      <c r="BK31" s="93"/>
      <c r="BL31" s="93"/>
      <c r="BM31" s="93"/>
      <c r="BN31" s="93"/>
      <c r="BO31" s="93"/>
      <c r="BP31" s="93"/>
      <c r="BQ31" s="109"/>
      <c r="BR31" s="109"/>
      <c r="BS31" s="109"/>
      <c r="BT31" s="109"/>
      <c r="BU31" s="109"/>
      <c r="BV31" s="109"/>
      <c r="BW31" s="109"/>
      <c r="BX31" s="109"/>
      <c r="BY31" s="109"/>
      <c r="BZ31" s="109"/>
      <c r="CA31" s="109"/>
      <c r="CB31" s="109"/>
      <c r="CC31" s="109"/>
      <c r="CD31" s="109"/>
      <c r="CE31" s="109"/>
      <c r="CF31" s="109"/>
      <c r="CG31" s="109"/>
      <c r="CH31" s="109"/>
      <c r="CI31" s="109"/>
      <c r="CJ31" s="109"/>
      <c r="CK31" s="109"/>
      <c r="CL31" s="109"/>
      <c r="CM31" s="109"/>
      <c r="CN31" s="109"/>
      <c r="CO31" s="109"/>
      <c r="CP31" s="109"/>
      <c r="CQ31" s="109"/>
      <c r="CR31" s="109"/>
      <c r="CS31" s="109"/>
      <c r="CT31" s="109"/>
      <c r="CU31" s="109"/>
      <c r="CV31" s="109"/>
      <c r="CW31" s="109"/>
      <c r="CX31" s="109"/>
      <c r="CY31" s="109"/>
      <c r="CZ31" s="109"/>
      <c r="DA31" s="109"/>
      <c r="DB31" s="109"/>
      <c r="DC31" s="109"/>
      <c r="DD31" s="109"/>
      <c r="DE31" s="109"/>
      <c r="DF31" s="109"/>
      <c r="DG31" s="109"/>
      <c r="DH31" s="109"/>
      <c r="DI31" s="109"/>
      <c r="DJ31" s="109"/>
      <c r="DK31" s="109"/>
      <c r="DL31" s="109"/>
      <c r="DM31" s="109"/>
      <c r="DN31" s="109"/>
      <c r="DO31" s="109"/>
      <c r="DP31" s="109"/>
      <c r="DQ31" s="109"/>
      <c r="DR31" s="109"/>
      <c r="DS31" s="109"/>
      <c r="DT31" s="109"/>
      <c r="DU31" s="109"/>
      <c r="DV31" s="109"/>
      <c r="DW31" s="109"/>
      <c r="DX31" s="109"/>
      <c r="DY31" s="109"/>
      <c r="DZ31" s="109"/>
      <c r="EA31" s="109"/>
      <c r="EB31" s="109"/>
      <c r="EC31" s="109"/>
      <c r="ED31" s="109"/>
      <c r="EE31" s="109"/>
      <c r="EF31" s="109"/>
      <c r="EG31" s="109"/>
      <c r="EH31" s="109"/>
      <c r="EI31" s="109"/>
      <c r="EJ31" s="109"/>
      <c r="EK31" s="109"/>
      <c r="EL31" s="109"/>
      <c r="EM31" s="109"/>
      <c r="EN31" s="109"/>
      <c r="EO31" s="109"/>
      <c r="EP31" s="109"/>
      <c r="EQ31" s="109"/>
      <c r="ER31" s="109"/>
      <c r="ES31" s="109"/>
      <c r="ET31" s="109"/>
      <c r="EU31" s="109"/>
      <c r="EV31" s="109"/>
      <c r="EW31" s="109"/>
      <c r="EX31" s="109"/>
      <c r="EY31" s="109"/>
      <c r="EZ31" s="109"/>
      <c r="FA31" s="109"/>
      <c r="FB31" s="109"/>
      <c r="FC31" s="109"/>
      <c r="FD31" s="109"/>
      <c r="FE31" s="109"/>
      <c r="FF31" s="109"/>
      <c r="FG31" s="109"/>
      <c r="FH31" s="109"/>
      <c r="FI31" s="109"/>
      <c r="FJ31" s="109"/>
      <c r="FK31" s="109"/>
      <c r="FL31" s="109"/>
      <c r="FM31" s="109"/>
      <c r="FN31" s="109"/>
      <c r="FO31" s="109"/>
      <c r="FP31" s="109"/>
      <c r="FQ31" s="109"/>
      <c r="FR31" s="109"/>
      <c r="FS31" s="109"/>
      <c r="FT31" s="109"/>
      <c r="FU31" s="109"/>
      <c r="FV31" s="109"/>
      <c r="FW31" s="109"/>
      <c r="FX31" s="109"/>
      <c r="FY31" s="109"/>
      <c r="FZ31" s="109"/>
      <c r="GA31" s="109"/>
      <c r="GB31" s="109"/>
      <c r="GC31" s="109"/>
      <c r="GD31" s="109"/>
      <c r="GE31" s="109"/>
      <c r="GF31" s="109"/>
      <c r="GG31" s="109"/>
      <c r="GH31" s="109"/>
      <c r="GI31" s="109"/>
      <c r="GJ31" s="109"/>
      <c r="GK31" s="109"/>
      <c r="GL31" s="109"/>
      <c r="GM31" s="109"/>
      <c r="GN31" s="109"/>
      <c r="GO31" s="109"/>
      <c r="GP31" s="109"/>
      <c r="GQ31" s="109"/>
      <c r="GR31" s="109"/>
      <c r="GS31" s="109"/>
      <c r="GT31" s="109"/>
      <c r="GU31" s="109"/>
      <c r="GV31" s="109"/>
      <c r="GW31" s="109"/>
      <c r="GX31" s="109"/>
      <c r="GY31" s="109"/>
      <c r="GZ31" s="109"/>
      <c r="HA31" s="109"/>
      <c r="HB31" s="109"/>
      <c r="HC31" s="109"/>
      <c r="HD31" s="109"/>
      <c r="HE31" s="109"/>
      <c r="HF31" s="109"/>
      <c r="HG31" s="109"/>
      <c r="HH31" s="109"/>
      <c r="HI31" s="109"/>
      <c r="HJ31" s="109"/>
      <c r="HK31" s="109"/>
      <c r="HL31" s="109"/>
      <c r="HM31" s="109"/>
      <c r="HN31" s="109"/>
      <c r="HO31" s="109"/>
      <c r="HP31" s="109"/>
      <c r="HQ31" s="109"/>
      <c r="HR31" s="109"/>
      <c r="HS31" s="109"/>
      <c r="HT31" s="109"/>
      <c r="HU31" s="109"/>
      <c r="HV31" s="109"/>
      <c r="HW31" s="109"/>
      <c r="HX31" s="109"/>
      <c r="HY31" s="110"/>
      <c r="HZ31" s="110"/>
      <c r="IA31" s="110"/>
      <c r="IB31" s="110"/>
      <c r="IC31" s="110"/>
      <c r="ID31" s="110"/>
    </row>
    <row r="32" ht="16.5" customHeight="1" spans="3:238" x14ac:dyDescent="0.25">
      <c r="C32" s="169">
        <f>IF(C31="","",IF((C31+1)=($D$15+1),"",(C31+1)))</f>
        <v>2</v>
      </c>
      <c r="D32" s="170"/>
      <c r="E32" s="171">
        <f>+IF(C32="","",E31+1)</f>
        <v>31</v>
      </c>
      <c r="F32" s="170"/>
      <c r="G32" s="171">
        <f>IF(E32="","",VLOOKUP(C32,'No Deducible 93'!$AG$25:$AH$49,2,0))</f>
        <v>120000</v>
      </c>
      <c r="H32" s="172"/>
      <c r="I32" s="172"/>
      <c r="J32" s="170"/>
      <c r="K32" s="171">
        <f>IF(G32="","",+G32+K31)</f>
        <v>240000</v>
      </c>
      <c r="L32" s="172"/>
      <c r="M32" s="172"/>
      <c r="N32" s="172"/>
      <c r="O32" s="172"/>
      <c r="P32" s="173">
        <f>IF(G32="","",VLOOKUP(C32*12,Resumen!$C$5:$F$408,VLOOKUP('OptiMaxx plus'!$AK$12,'OptiMaxx plus'!$AK$46:$AL$48,2,0)+1,0))</f>
        <v>378078.12494931207</v>
      </c>
      <c r="Q32" s="174"/>
      <c r="R32" s="174"/>
      <c r="S32" s="174"/>
      <c r="T32" s="174">
        <f>IF(K32="","",IF(C32=$D$15,P32,VLOOKUP(C32*12,Resumen!$H$5:$K$408,$AN$46+1,0)))</f>
        <v>60996.15221112068</v>
      </c>
      <c r="U32" s="174"/>
      <c r="V32" s="174"/>
      <c r="W32" s="174"/>
      <c r="X32" s="174">
        <f>IF(P32="","",VLOOKUP(C32,Resumen!$M$5:$R$29,'OptiMaxx plus'!$AN$46+3,0))</f>
        <v>60684.490742511196</v>
      </c>
      <c r="Y32" s="174"/>
      <c r="Z32" s="174"/>
      <c r="AA32" s="174"/>
      <c r="AB32" s="175"/>
      <c r="AC32" s="172">
        <f>IF(C32="","",IF(AC31="","",VLOOKUP(C32,Resumen!$T$5:$AB$29,9,0)))</f>
      </c>
      <c r="AD32" s="172"/>
      <c r="AE32" s="172"/>
      <c r="AF32" s="172"/>
      <c r="AG32" s="176"/>
      <c r="AJ32" s="5"/>
      <c r="AK32" s="4" t="s">
        <v>14</v>
      </c>
      <c r="AL32" s="5">
        <v>4</v>
      </c>
      <c r="AM32" s="5">
        <v>22500</v>
      </c>
      <c r="AN32" s="5" t="s">
        <v>48</v>
      </c>
      <c r="AO32" s="5"/>
      <c r="AP32" s="5" t="s">
        <v>62</v>
      </c>
      <c r="AQ32" s="20" t="s">
        <v>63</v>
      </c>
      <c r="AR32" s="20"/>
      <c r="AS32" s="20"/>
      <c r="AT32" s="20"/>
      <c r="AU32" s="29"/>
      <c r="AV32" s="5">
        <f t="shared" si="2"/>
        <v>47</v>
      </c>
      <c r="AW32" s="5"/>
      <c r="AX32" s="5"/>
      <c r="AY32" s="5"/>
      <c r="AZ32" s="5"/>
      <c r="BA32" s="5"/>
      <c r="BB32" s="5"/>
      <c r="BC32" s="5"/>
      <c r="BD32" s="5"/>
      <c r="BE32" s="5"/>
      <c r="BF32" s="5"/>
      <c r="BG32" s="5"/>
      <c r="BH32" s="5"/>
      <c r="BI32" s="5"/>
      <c r="BJ32" s="5"/>
      <c r="BK32" s="5"/>
      <c r="BL32" s="5"/>
      <c r="BM32" s="5"/>
      <c r="BN32" s="5"/>
      <c r="BO32" s="5"/>
      <c r="BP32" s="5"/>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6"/>
      <c r="HZ32" s="6"/>
      <c r="IA32" s="6"/>
      <c r="IB32" s="6"/>
      <c r="IC32" s="6"/>
      <c r="ID32" s="6"/>
    </row>
    <row r="33" ht="16.5" customHeight="1" spans="3:48" x14ac:dyDescent="0.25">
      <c r="C33" s="169">
        <f t="shared" ref="C33:C55" si="3">IF(C32="","",IF((C32+1)=($D$15+1),"",(C32+1)))</f>
        <v>3</v>
      </c>
      <c r="D33" s="170"/>
      <c r="E33" s="171">
        <f t="shared" ref="E33:E54" si="4">+IF(C33="","",E32+1)</f>
        <v>32</v>
      </c>
      <c r="F33" s="170"/>
      <c r="G33" s="171">
        <f>IF(E33="","",VLOOKUP(C33,'No Deducible 93'!$AG$25:$AH$49,2,0))</f>
        <v>120000</v>
      </c>
      <c r="H33" s="172"/>
      <c r="I33" s="172"/>
      <c r="J33" s="170"/>
      <c r="K33" s="171">
        <f t="shared" ref="K33:K55" si="5">IF(G33="","",+G33+K32)</f>
        <v>360000</v>
      </c>
      <c r="L33" s="172"/>
      <c r="M33" s="172"/>
      <c r="N33" s="172"/>
      <c r="O33" s="172"/>
      <c r="P33" s="173">
        <f>IF(G33="","",VLOOKUP(C33*12,Resumen!$C$5:$F$408,VLOOKUP('OptiMaxx plus'!$AK$12,'OptiMaxx plus'!$AK$46:$AL$48,2,0)+1,0))</f>
        <v>522015.8651490789</v>
      </c>
      <c r="Q33" s="174"/>
      <c r="R33" s="174"/>
      <c r="S33" s="174"/>
      <c r="T33" s="174">
        <f>IF(K33="","",IF(C33=$D$15,P33,VLOOKUP(C33*12,Resumen!$H$5:$K$408,$AN$46+1,0)))</f>
        <v>190842.07582332552</v>
      </c>
      <c r="U33" s="174"/>
      <c r="V33" s="174"/>
      <c r="W33" s="174"/>
      <c r="X33" s="174">
        <f>IF(P33="","",VLOOKUP(C33,Resumen!$M$5:$R$29,'OptiMaxx plus'!$AN$46+3,0))</f>
        <v>189311.02369792984</v>
      </c>
      <c r="Y33" s="174"/>
      <c r="Z33" s="174"/>
      <c r="AA33" s="174"/>
      <c r="AB33" s="175"/>
      <c r="AC33" s="172">
        <f>IF(C33="","",IF(AC32="","",VLOOKUP(C33,Resumen!$T$5:$AB$29,9,0)))</f>
      </c>
      <c r="AD33" s="172"/>
      <c r="AE33" s="172"/>
      <c r="AF33" s="172"/>
      <c r="AG33" s="176"/>
      <c r="AJ33" s="5"/>
      <c r="AK33" s="5" t="s">
        <v>18</v>
      </c>
      <c r="AL33" s="5">
        <v>2</v>
      </c>
      <c r="AM33" s="5">
        <v>45000</v>
      </c>
      <c r="AN33" s="20" t="s">
        <v>51</v>
      </c>
      <c r="AO33" s="5"/>
      <c r="AP33" s="5" t="s">
        <v>10</v>
      </c>
      <c r="AQ33" s="20">
        <v>2</v>
      </c>
      <c r="AR33" s="20"/>
      <c r="AS33" s="20"/>
      <c r="AT33" s="20"/>
      <c r="AU33" s="29"/>
      <c r="AV33" s="5">
        <f t="shared" si="2"/>
        <v>48</v>
      </c>
    </row>
    <row r="34" ht="16.5" customHeight="1" spans="3:48" x14ac:dyDescent="0.25">
      <c r="C34" s="169">
        <f t="shared" si="3"/>
        <v>4</v>
      </c>
      <c r="D34" s="170"/>
      <c r="E34" s="171">
        <f t="shared" si="4"/>
        <v>33</v>
      </c>
      <c r="F34" s="170"/>
      <c r="G34" s="171">
        <f>IF(E34="","",VLOOKUP(C34,'No Deducible 93'!$AG$25:$AH$49,2,0))</f>
        <v>120000</v>
      </c>
      <c r="H34" s="172"/>
      <c r="I34" s="172"/>
      <c r="J34" s="170"/>
      <c r="K34" s="171">
        <f t="shared" si="5"/>
        <v>480000</v>
      </c>
      <c r="L34" s="172"/>
      <c r="M34" s="172"/>
      <c r="N34" s="172"/>
      <c r="O34" s="172"/>
      <c r="P34" s="173">
        <f>IF(G34="","",VLOOKUP(C34*12,Resumen!$C$5:$F$408,VLOOKUP('OptiMaxx plus'!$AK$12,'OptiMaxx plus'!$AK$46:$AL$48,2,0)+1,0))</f>
        <v>677825.752501232</v>
      </c>
      <c r="Q34" s="174"/>
      <c r="R34" s="174"/>
      <c r="S34" s="174"/>
      <c r="T34" s="174">
        <f>IF(K34="","",IF(C34=$D$15,P34,VLOOKUP(C34*12,Resumen!$H$5:$K$408,$AN$46+1,0)))</f>
        <v>331926.9089901394</v>
      </c>
      <c r="U34" s="174"/>
      <c r="V34" s="174"/>
      <c r="W34" s="174"/>
      <c r="X34" s="174">
        <f>IF(P34="","",VLOOKUP(C34,Resumen!$M$5:$R$29,'OptiMaxx plus'!$AN$46+3,0))</f>
        <v>328075.95633509697</v>
      </c>
      <c r="Y34" s="174"/>
      <c r="Z34" s="174"/>
      <c r="AA34" s="174"/>
      <c r="AB34" s="175"/>
      <c r="AC34" s="172">
        <f>IF(C34="","",IF(AC33="","",VLOOKUP(C34,Resumen!$T$5:$AB$29,9,0)))</f>
      </c>
      <c r="AD34" s="172"/>
      <c r="AE34" s="172"/>
      <c r="AF34" s="172"/>
      <c r="AG34" s="176"/>
      <c r="AJ34" s="5"/>
      <c r="AK34" s="5" t="s">
        <v>21</v>
      </c>
      <c r="AL34" s="5">
        <v>1</v>
      </c>
      <c r="AM34" s="5">
        <v>90000</v>
      </c>
      <c r="AN34" s="5" t="s">
        <v>54</v>
      </c>
      <c r="AO34" s="5"/>
      <c r="AP34" s="5" t="s">
        <v>15</v>
      </c>
      <c r="AQ34" s="20">
        <v>3</v>
      </c>
      <c r="AR34" s="20"/>
      <c r="AS34" s="20"/>
      <c r="AT34" s="20"/>
      <c r="AU34" s="29"/>
      <c r="AV34" s="5">
        <f t="shared" si="2"/>
        <v>49</v>
      </c>
    </row>
    <row r="35" ht="16.5" customHeight="1" spans="3:48" x14ac:dyDescent="0.25">
      <c r="C35" s="169">
        <f t="shared" si="3"/>
        <v>5</v>
      </c>
      <c r="D35" s="170"/>
      <c r="E35" s="171">
        <f t="shared" si="4"/>
        <v>34</v>
      </c>
      <c r="F35" s="170"/>
      <c r="G35" s="171">
        <f>IF(E35="","",VLOOKUP(C35,'No Deducible 93'!$AG$25:$AH$49,2,0))</f>
        <v>120000</v>
      </c>
      <c r="H35" s="172"/>
      <c r="I35" s="172"/>
      <c r="J35" s="170"/>
      <c r="K35" s="171">
        <f t="shared" si="5"/>
        <v>600000</v>
      </c>
      <c r="L35" s="172"/>
      <c r="M35" s="172"/>
      <c r="N35" s="172"/>
      <c r="O35" s="172"/>
      <c r="P35" s="173">
        <f>IF(G35="","",VLOOKUP(C35*12,Resumen!$C$5:$F$408,VLOOKUP('OptiMaxx plus'!$AK$12,'OptiMaxx plus'!$AK$46:$AL$48,2,0)+1,0))</f>
        <v>846511.2414561374</v>
      </c>
      <c r="Q35" s="174"/>
      <c r="R35" s="174"/>
      <c r="S35" s="174"/>
      <c r="T35" s="174">
        <f>IF(K35="","",IF(C35=$D$15,P35,VLOOKUP(C35*12,Resumen!$H$5:$K$408,$AN$46+1,0)))</f>
        <v>485225.35780895554</v>
      </c>
      <c r="U35" s="174"/>
      <c r="V35" s="174"/>
      <c r="W35" s="174"/>
      <c r="X35" s="174">
        <f>IF(P35="","",VLOOKUP(C35,Resumen!$M$5:$R$29,'OptiMaxx plus'!$AN$46+3,0))</f>
        <v>477732.06997749023</v>
      </c>
      <c r="Y35" s="174"/>
      <c r="Z35" s="174"/>
      <c r="AA35" s="174"/>
      <c r="AB35" s="175"/>
      <c r="AC35" s="172">
        <f>IF(C35="","",IF(AC34="","",VLOOKUP(C35,Resumen!$T$5:$AB$29,9,0)))</f>
      </c>
      <c r="AD35" s="172"/>
      <c r="AE35" s="172"/>
      <c r="AF35" s="172"/>
      <c r="AG35" s="176"/>
      <c r="AJ35" s="5"/>
      <c r="AK35" s="5"/>
      <c r="AL35" s="5"/>
      <c r="AM35" s="5"/>
      <c r="AN35" s="5"/>
      <c r="AO35" s="5"/>
      <c r="AP35" s="5"/>
      <c r="AQ35" s="20">
        <v>4</v>
      </c>
      <c r="AR35" s="20"/>
      <c r="AS35" s="20"/>
      <c r="AT35" s="20"/>
      <c r="AU35" s="29"/>
      <c r="AV35" s="5">
        <f t="shared" si="2"/>
        <v>50</v>
      </c>
    </row>
    <row r="36" ht="16.5" customHeight="1" spans="3:48" x14ac:dyDescent="0.25">
      <c r="C36" s="169">
        <f t="shared" si="3"/>
        <v>6</v>
      </c>
      <c r="D36" s="170"/>
      <c r="E36" s="171">
        <f t="shared" si="4"/>
        <v>35</v>
      </c>
      <c r="F36" s="170"/>
      <c r="G36" s="171">
        <f>IF(E36="","",VLOOKUP(C36,'No Deducible 93'!$AG$25:$AH$49,2,0))</f>
        <v>120000</v>
      </c>
      <c r="H36" s="172"/>
      <c r="I36" s="172"/>
      <c r="J36" s="170"/>
      <c r="K36" s="171">
        <f t="shared" si="5"/>
        <v>720000</v>
      </c>
      <c r="L36" s="172"/>
      <c r="M36" s="172"/>
      <c r="N36" s="172"/>
      <c r="O36" s="172"/>
      <c r="P36" s="173">
        <f>IF(G36="","",VLOOKUP(C36*12,Resumen!$C$5:$F$408,VLOOKUP('OptiMaxx plus'!$AK$12,'OptiMaxx plus'!$AK$46:$AL$48,2,0)+1,0))</f>
        <v>1029161.7130232818</v>
      </c>
      <c r="Q36" s="174"/>
      <c r="R36" s="174"/>
      <c r="S36" s="174"/>
      <c r="T36" s="174">
        <f>IF(K36="","",IF(C36=$D$15,P36,VLOOKUP(C36*12,Resumen!$H$5:$K$408,$AN$46+1,0)))</f>
        <v>651796.7376154108</v>
      </c>
      <c r="U36" s="174"/>
      <c r="V36" s="174"/>
      <c r="W36" s="174"/>
      <c r="X36" s="174">
        <f>IF(P36="","",VLOOKUP(C36,Resumen!$M$5:$R$29,'OptiMaxx plus'!$AN$46+3,0))</f>
        <v>639147.3365244576</v>
      </c>
      <c r="Y36" s="174"/>
      <c r="Z36" s="174"/>
      <c r="AA36" s="174"/>
      <c r="AB36" s="175"/>
      <c r="AC36" s="172">
        <f>IF(C36="","",IF(AC35="","",VLOOKUP(C36,Resumen!$T$5:$AB$29,9,0)))</f>
      </c>
      <c r="AD36" s="172"/>
      <c r="AE36" s="172"/>
      <c r="AF36" s="172"/>
      <c r="AG36" s="176"/>
      <c r="AJ36" s="5"/>
      <c r="AL36" s="5"/>
      <c r="AM36" s="5">
        <f>VLOOKUP(K12,AK31:AN34,3,FALSE)</f>
        <v>7500</v>
      </c>
      <c r="AN36" s="5" t="str">
        <f>VLOOKUP(K12,AK31:AN34,4,FALSE)</f>
        <v>mensuales</v>
      </c>
      <c r="AO36" s="5"/>
      <c r="AP36" s="5"/>
      <c r="AQ36" s="20">
        <v>5</v>
      </c>
      <c r="AR36" s="20"/>
      <c r="AS36" s="20"/>
      <c r="AT36" s="20"/>
      <c r="AU36" s="29"/>
      <c r="AV36" s="5">
        <f t="shared" si="2"/>
        <v>51</v>
      </c>
    </row>
    <row r="37" ht="16.5" customHeight="1" spans="3:238" x14ac:dyDescent="0.25">
      <c r="C37" s="169">
        <f t="shared" si="3"/>
        <v>7</v>
      </c>
      <c r="D37" s="170"/>
      <c r="E37" s="171">
        <f t="shared" si="4"/>
        <v>36</v>
      </c>
      <c r="F37" s="170"/>
      <c r="G37" s="171">
        <f>IF(E37="","",VLOOKUP(C37,'No Deducible 93'!$AG$25:$AH$49,2,0))</f>
        <v>120000</v>
      </c>
      <c r="H37" s="172"/>
      <c r="I37" s="172"/>
      <c r="J37" s="170"/>
      <c r="K37" s="171">
        <f t="shared" si="5"/>
        <v>840000</v>
      </c>
      <c r="L37" s="172"/>
      <c r="M37" s="172"/>
      <c r="N37" s="172"/>
      <c r="O37" s="172"/>
      <c r="P37" s="173">
        <f>IF(G37="","",VLOOKUP(C37*12,Resumen!$C$5:$F$408,VLOOKUP('OptiMaxx plus'!$AK$12,'OptiMaxx plus'!$AK$46:$AL$48,2,0)+1,0))</f>
        <v>1226959.8832080734</v>
      </c>
      <c r="Q37" s="174"/>
      <c r="R37" s="174"/>
      <c r="S37" s="174"/>
      <c r="T37" s="174">
        <f>IF(K37="","",IF(C37=$D$15,P37,VLOOKUP(C37*12,Resumen!$H$5:$K$408,$AN$46+1,0)))</f>
        <v>832792.320556296</v>
      </c>
      <c r="U37" s="174"/>
      <c r="V37" s="174"/>
      <c r="W37" s="174"/>
      <c r="X37" s="174">
        <f>IF(P37="","",VLOOKUP(C37,Resumen!$M$5:$R$29,'OptiMaxx plus'!$AN$46+3,0))</f>
        <v>813278.3130079629</v>
      </c>
      <c r="Y37" s="174"/>
      <c r="Z37" s="174"/>
      <c r="AA37" s="174"/>
      <c r="AB37" s="175"/>
      <c r="AC37" s="172">
        <f>IF(C37="","",IF(AC36="","",VLOOKUP(C37,Resumen!$T$5:$AB$29,9,0)))</f>
      </c>
      <c r="AD37" s="172"/>
      <c r="AE37" s="172"/>
      <c r="AF37" s="172"/>
      <c r="AG37" s="176"/>
      <c r="AJ37" s="93"/>
      <c r="AL37" s="93"/>
      <c r="AM37" s="109"/>
      <c r="AN37" s="93"/>
      <c r="AO37" s="93"/>
      <c r="AP37" s="93"/>
      <c r="AQ37" s="20">
        <v>6</v>
      </c>
      <c r="AR37" s="107"/>
      <c r="AS37" s="107"/>
      <c r="AT37" s="107"/>
      <c r="AU37" s="108"/>
      <c r="AV37" s="5">
        <f t="shared" si="2"/>
        <v>52</v>
      </c>
      <c r="AW37" s="93"/>
      <c r="AX37" s="177"/>
      <c r="AY37" s="93"/>
      <c r="AZ37" s="93"/>
      <c r="BA37" s="93"/>
      <c r="BB37" s="93"/>
      <c r="BC37" s="93"/>
      <c r="BD37" s="93"/>
      <c r="BE37" s="93"/>
      <c r="BF37" s="93"/>
      <c r="BG37" s="93"/>
      <c r="BH37" s="93"/>
      <c r="BI37" s="93"/>
      <c r="BJ37" s="93"/>
      <c r="BK37" s="93"/>
      <c r="BL37" s="93"/>
      <c r="BM37" s="93"/>
      <c r="BN37" s="93"/>
      <c r="BO37" s="93"/>
      <c r="BP37" s="93"/>
      <c r="BQ37" s="109"/>
      <c r="BR37" s="109"/>
      <c r="BS37" s="109"/>
      <c r="BT37" s="109"/>
      <c r="BU37" s="109"/>
      <c r="BV37" s="109"/>
      <c r="BW37" s="109"/>
      <c r="BX37" s="109"/>
      <c r="BY37" s="109"/>
      <c r="BZ37" s="109"/>
      <c r="CA37" s="109"/>
      <c r="CB37" s="109"/>
      <c r="CC37" s="109"/>
      <c r="CD37" s="109"/>
      <c r="CE37" s="109"/>
      <c r="CF37" s="109"/>
      <c r="CG37" s="109"/>
      <c r="CH37" s="109"/>
      <c r="CI37" s="109"/>
      <c r="CJ37" s="109"/>
      <c r="CK37" s="109"/>
      <c r="CL37" s="109"/>
      <c r="CM37" s="109"/>
      <c r="CN37" s="109"/>
      <c r="CO37" s="109"/>
      <c r="CP37" s="109"/>
      <c r="CQ37" s="109"/>
      <c r="CR37" s="109"/>
      <c r="CS37" s="109"/>
      <c r="CT37" s="109"/>
      <c r="CU37" s="109"/>
      <c r="CV37" s="109"/>
      <c r="CW37" s="109"/>
      <c r="CX37" s="109"/>
      <c r="CY37" s="109"/>
      <c r="CZ37" s="109"/>
      <c r="DA37" s="109"/>
      <c r="DB37" s="109"/>
      <c r="DC37" s="109"/>
      <c r="DD37" s="109"/>
      <c r="DE37" s="109"/>
      <c r="DF37" s="109"/>
      <c r="DG37" s="109"/>
      <c r="DH37" s="109"/>
      <c r="DI37" s="109"/>
      <c r="DJ37" s="109"/>
      <c r="DK37" s="109"/>
      <c r="DL37" s="109"/>
      <c r="DM37" s="109"/>
      <c r="DN37" s="109"/>
      <c r="DO37" s="109"/>
      <c r="DP37" s="109"/>
      <c r="DQ37" s="109"/>
      <c r="DR37" s="109"/>
      <c r="DS37" s="109"/>
      <c r="DT37" s="109"/>
      <c r="DU37" s="109"/>
      <c r="DV37" s="109"/>
      <c r="DW37" s="109"/>
      <c r="DX37" s="109"/>
      <c r="DY37" s="109"/>
      <c r="DZ37" s="109"/>
      <c r="EA37" s="109"/>
      <c r="EB37" s="109"/>
      <c r="EC37" s="109"/>
      <c r="ED37" s="109"/>
      <c r="EE37" s="109"/>
      <c r="EF37" s="109"/>
      <c r="EG37" s="109"/>
      <c r="EH37" s="109"/>
      <c r="EI37" s="109"/>
      <c r="EJ37" s="109"/>
      <c r="EK37" s="109"/>
      <c r="EL37" s="109"/>
      <c r="EM37" s="109"/>
      <c r="EN37" s="109"/>
      <c r="EO37" s="109"/>
      <c r="EP37" s="109"/>
      <c r="EQ37" s="109"/>
      <c r="ER37" s="109"/>
      <c r="ES37" s="109"/>
      <c r="ET37" s="109"/>
      <c r="EU37" s="109"/>
      <c r="EV37" s="109"/>
      <c r="EW37" s="109"/>
      <c r="EX37" s="109"/>
      <c r="EY37" s="109"/>
      <c r="EZ37" s="109"/>
      <c r="FA37" s="109"/>
      <c r="FB37" s="109"/>
      <c r="FC37" s="109"/>
      <c r="FD37" s="109"/>
      <c r="FE37" s="109"/>
      <c r="FF37" s="109"/>
      <c r="FG37" s="109"/>
      <c r="FH37" s="109"/>
      <c r="FI37" s="109"/>
      <c r="FJ37" s="109"/>
      <c r="FK37" s="109"/>
      <c r="FL37" s="109"/>
      <c r="FM37" s="109"/>
      <c r="FN37" s="109"/>
      <c r="FO37" s="109"/>
      <c r="FP37" s="109"/>
      <c r="FQ37" s="109"/>
      <c r="FR37" s="109"/>
      <c r="FS37" s="109"/>
      <c r="FT37" s="109"/>
      <c r="FU37" s="109"/>
      <c r="FV37" s="109"/>
      <c r="FW37" s="109"/>
      <c r="FX37" s="109"/>
      <c r="FY37" s="109"/>
      <c r="FZ37" s="109"/>
      <c r="GA37" s="109"/>
      <c r="GB37" s="109"/>
      <c r="GC37" s="109"/>
      <c r="GD37" s="109"/>
      <c r="GE37" s="109"/>
      <c r="GF37" s="109"/>
      <c r="GG37" s="109"/>
      <c r="GH37" s="109"/>
      <c r="GI37" s="109"/>
      <c r="GJ37" s="109"/>
      <c r="GK37" s="109"/>
      <c r="GL37" s="109"/>
      <c r="GM37" s="109"/>
      <c r="GN37" s="109"/>
      <c r="GO37" s="109"/>
      <c r="GP37" s="109"/>
      <c r="GQ37" s="109"/>
      <c r="GR37" s="109"/>
      <c r="GS37" s="109"/>
      <c r="GT37" s="109"/>
      <c r="GU37" s="109"/>
      <c r="GV37" s="109"/>
      <c r="GW37" s="109"/>
      <c r="GX37" s="109"/>
      <c r="GY37" s="109"/>
      <c r="GZ37" s="109"/>
      <c r="HA37" s="109"/>
      <c r="HB37" s="109"/>
      <c r="HC37" s="109"/>
      <c r="HD37" s="109"/>
      <c r="HE37" s="109"/>
      <c r="HF37" s="109"/>
      <c r="HG37" s="109"/>
      <c r="HH37" s="109"/>
      <c r="HI37" s="109"/>
      <c r="HJ37" s="109"/>
      <c r="HK37" s="109"/>
      <c r="HL37" s="109"/>
      <c r="HM37" s="109"/>
      <c r="HN37" s="109"/>
      <c r="HO37" s="109"/>
      <c r="HP37" s="109"/>
      <c r="HQ37" s="109"/>
      <c r="HR37" s="109"/>
      <c r="HS37" s="109"/>
      <c r="HT37" s="109"/>
      <c r="HU37" s="109"/>
      <c r="HV37" s="109"/>
      <c r="HW37" s="109"/>
      <c r="HX37" s="109"/>
      <c r="HY37" s="110"/>
      <c r="HZ37" s="110"/>
      <c r="IA37" s="110"/>
      <c r="IB37" s="110"/>
      <c r="IC37" s="110"/>
      <c r="ID37" s="110"/>
    </row>
    <row r="38" ht="16.5" customHeight="1" spans="3:48" x14ac:dyDescent="0.25">
      <c r="C38" s="169">
        <f t="shared" si="3"/>
        <v>8</v>
      </c>
      <c r="D38" s="170"/>
      <c r="E38" s="171">
        <f t="shared" si="4"/>
        <v>37</v>
      </c>
      <c r="F38" s="170"/>
      <c r="G38" s="171">
        <f>IF(E38="","",VLOOKUP(C38,'No Deducible 93'!$AG$25:$AH$49,2,0))</f>
        <v>120000</v>
      </c>
      <c r="H38" s="172"/>
      <c r="I38" s="172"/>
      <c r="J38" s="170"/>
      <c r="K38" s="171">
        <f t="shared" si="5"/>
        <v>960000</v>
      </c>
      <c r="L38" s="172"/>
      <c r="M38" s="172"/>
      <c r="N38" s="172"/>
      <c r="O38" s="172"/>
      <c r="P38" s="173">
        <f>IF(G38="","",VLOOKUP(C38*12,Resumen!$C$5:$F$408,VLOOKUP('OptiMaxx plus'!$AK$12,'OptiMaxx plus'!$AK$46:$AL$48,2,0)+1,0))</f>
        <v>1441189.852476884</v>
      </c>
      <c r="Q38" s="174"/>
      <c r="R38" s="174"/>
      <c r="S38" s="174"/>
      <c r="T38" s="174">
        <f>IF(K38="","",IF(C38=$D$15,P38,VLOOKUP(C38*12,Resumen!$H$5:$K$408,$AN$46+1,0)))</f>
        <v>1029463.3213582018</v>
      </c>
      <c r="U38" s="174"/>
      <c r="V38" s="174"/>
      <c r="W38" s="174"/>
      <c r="X38" s="174">
        <f>IF(P38="","",VLOOKUP(C38,Resumen!$M$5:$R$29,'OptiMaxx plus'!$AN$46+3,0))</f>
        <v>1001168.3365632633</v>
      </c>
      <c r="Y38" s="174"/>
      <c r="Z38" s="174"/>
      <c r="AA38" s="174"/>
      <c r="AB38" s="175"/>
      <c r="AC38" s="172">
        <f>IF(C38="","",IF(AC37="","",VLOOKUP(C38,Resumen!$T$5:$AB$29,9,0)))</f>
      </c>
      <c r="AD38" s="172"/>
      <c r="AE38" s="172"/>
      <c r="AF38" s="172"/>
      <c r="AG38" s="176"/>
      <c r="AJ38" s="5"/>
      <c r="AL38" s="5"/>
      <c r="AM38" s="5"/>
      <c r="AN38" s="5"/>
      <c r="AO38" s="5"/>
      <c r="AP38" s="5"/>
      <c r="AQ38" s="20">
        <v>7</v>
      </c>
      <c r="AR38" s="20"/>
      <c r="AS38" s="20"/>
      <c r="AT38" s="20"/>
      <c r="AU38" s="29"/>
      <c r="AV38" s="5">
        <f t="shared" si="2"/>
        <v>53</v>
      </c>
    </row>
    <row r="39" ht="16.5" customHeight="1" spans="3:48" x14ac:dyDescent="0.25">
      <c r="C39" s="169">
        <f t="shared" si="3"/>
        <v>9</v>
      </c>
      <c r="D39" s="170"/>
      <c r="E39" s="171">
        <f t="shared" si="4"/>
        <v>38</v>
      </c>
      <c r="F39" s="170"/>
      <c r="G39" s="171">
        <f>IF(E39="","",VLOOKUP(C39,'No Deducible 93'!$AG$25:$AH$49,2,0))</f>
        <v>120000</v>
      </c>
      <c r="H39" s="172"/>
      <c r="I39" s="172"/>
      <c r="J39" s="170"/>
      <c r="K39" s="171">
        <f t="shared" si="5"/>
        <v>1080000</v>
      </c>
      <c r="L39" s="172"/>
      <c r="M39" s="172"/>
      <c r="N39" s="172"/>
      <c r="O39" s="172"/>
      <c r="P39" s="173">
        <f>IF(G39="","",VLOOKUP(C39*12,Resumen!$C$5:$F$408,VLOOKUP('OptiMaxx plus'!$AK$12,'OptiMaxx plus'!$AK$46:$AL$48,2,0)+1,0))</f>
        <v>1673245.851820349</v>
      </c>
      <c r="Q39" s="174"/>
      <c r="R39" s="174"/>
      <c r="S39" s="174"/>
      <c r="T39" s="174">
        <f>IF(K39="","",IF(C39=$D$15,P39,VLOOKUP(C39*12,Resumen!$H$5:$K$408,$AN$46+1,0)))</f>
        <v>1243169.576729271</v>
      </c>
      <c r="U39" s="174"/>
      <c r="V39" s="174"/>
      <c r="W39" s="174"/>
      <c r="X39" s="174">
        <f>IF(P39="","",VLOOKUP(C39,Resumen!$M$5:$R$29,'OptiMaxx plus'!$AN$46+3,0))</f>
        <v>1203951.759150113</v>
      </c>
      <c r="Y39" s="174"/>
      <c r="Z39" s="174"/>
      <c r="AA39" s="174"/>
      <c r="AB39" s="175"/>
      <c r="AC39" s="172">
        <f>IF(C39="","",IF(AC38="","",VLOOKUP(C39,Resumen!$T$5:$AB$29,9,0)))</f>
      </c>
      <c r="AD39" s="172"/>
      <c r="AE39" s="172"/>
      <c r="AF39" s="172"/>
      <c r="AG39" s="176"/>
      <c r="AJ39" s="5"/>
      <c r="AL39" s="5"/>
      <c r="AM39" s="5"/>
      <c r="AN39" s="5"/>
      <c r="AO39" s="5"/>
      <c r="AP39" s="5"/>
      <c r="AQ39" s="20">
        <v>8</v>
      </c>
      <c r="AR39" s="20"/>
      <c r="AS39" s="20"/>
      <c r="AT39" s="20"/>
      <c r="AU39" s="29"/>
      <c r="AV39" s="5">
        <f t="shared" si="2"/>
        <v>54</v>
      </c>
    </row>
    <row r="40" ht="16.5" customHeight="1" spans="3:49" x14ac:dyDescent="0.25">
      <c r="C40" s="169">
        <f t="shared" si="3"/>
        <v>10</v>
      </c>
      <c r="D40" s="170"/>
      <c r="E40" s="171">
        <f t="shared" si="4"/>
        <v>39</v>
      </c>
      <c r="F40" s="170"/>
      <c r="G40" s="171">
        <f>IF(E40="","",VLOOKUP(C40,'No Deducible 93'!$AG$25:$AH$49,2,0))</f>
        <v>120000</v>
      </c>
      <c r="H40" s="172"/>
      <c r="I40" s="172"/>
      <c r="J40" s="170"/>
      <c r="K40" s="171">
        <f t="shared" si="5"/>
        <v>1200000</v>
      </c>
      <c r="L40" s="172"/>
      <c r="M40" s="172"/>
      <c r="N40" s="172"/>
      <c r="O40" s="172"/>
      <c r="P40" s="173">
        <f>IF(G40="","",VLOOKUP(C40*12,Resumen!$C$5:$F$408,VLOOKUP('OptiMaxx plus'!$AK$12,'OptiMaxx plus'!$AK$46:$AL$48,2,0)+1,0))</f>
        <v>1924641.7458069704</v>
      </c>
      <c r="Q40" s="174"/>
      <c r="R40" s="174"/>
      <c r="S40" s="174"/>
      <c r="T40" s="174">
        <f>IF(K40="","",IF(C40=$D$15,P40,VLOOKUP(C40*12,Resumen!$H$5:$K$408,$AN$46+1,0)))</f>
        <v>1475388.9786472104</v>
      </c>
      <c r="U40" s="174"/>
      <c r="V40" s="174"/>
      <c r="W40" s="174"/>
      <c r="X40" s="174">
        <f>IF(P40="","",VLOOKUP(C40,Resumen!$M$5:$R$29,'OptiMaxx plus'!$AN$46+3,0))</f>
        <v>1422860.4484239125</v>
      </c>
      <c r="Y40" s="174"/>
      <c r="Z40" s="174"/>
      <c r="AA40" s="174"/>
      <c r="AB40" s="175"/>
      <c r="AC40" s="172">
        <f>IF(C40="","",IF(AC39="","",VLOOKUP(C40,Resumen!$T$5:$AB$29,9,0)))</f>
      </c>
      <c r="AD40" s="172"/>
      <c r="AE40" s="172"/>
      <c r="AF40" s="172"/>
      <c r="AG40" s="176"/>
      <c r="AJ40" s="5"/>
      <c r="AL40" s="5"/>
      <c r="AM40" s="5"/>
      <c r="AN40" s="5"/>
      <c r="AO40" s="5"/>
      <c r="AP40" s="5"/>
      <c r="AQ40" s="20">
        <v>9</v>
      </c>
      <c r="AR40" s="20">
        <f>1+AR16</f>
        <v>18</v>
      </c>
      <c r="AS40" s="20"/>
      <c r="AT40" s="20"/>
      <c r="AU40" s="29">
        <f>+AU17+1%</f>
        <v>0.32</v>
      </c>
      <c r="AV40" s="5">
        <f t="shared" si="2"/>
        <v>55</v>
      </c>
      <c r="AW40" s="5">
        <v>7</v>
      </c>
    </row>
    <row r="41" ht="16.5" customHeight="1" spans="3:48" x14ac:dyDescent="0.25">
      <c r="C41" s="169">
        <f t="shared" si="3"/>
        <v>11</v>
      </c>
      <c r="D41" s="170"/>
      <c r="E41" s="171">
        <f t="shared" si="4"/>
        <v>40</v>
      </c>
      <c r="F41" s="170"/>
      <c r="G41" s="171">
        <f>IF(E41="","",VLOOKUP(C41,'No Deducible 93'!$AG$25:$AH$49,2,0))</f>
        <v>120000</v>
      </c>
      <c r="H41" s="172"/>
      <c r="I41" s="172"/>
      <c r="J41" s="170"/>
      <c r="K41" s="171">
        <f t="shared" si="5"/>
        <v>1320000</v>
      </c>
      <c r="L41" s="172"/>
      <c r="M41" s="172"/>
      <c r="N41" s="172"/>
      <c r="O41" s="172"/>
      <c r="P41" s="173">
        <f>IF(G41="","",VLOOKUP(C41*12,Resumen!$C$5:$F$408,VLOOKUP('OptiMaxx plus'!$AK$12,'OptiMaxx plus'!$AK$46:$AL$48,2,0)+1,0))</f>
        <v>2197021.358259795</v>
      </c>
      <c r="Q41" s="174"/>
      <c r="R41" s="174"/>
      <c r="S41" s="174"/>
      <c r="T41" s="174">
        <f>IF(K41="","",IF(C41=$D$15,P41,VLOOKUP(C41*12,Resumen!$H$5:$K$408,$AN$46+1,0)))</f>
        <v>1727727.7270209037</v>
      </c>
      <c r="U41" s="174"/>
      <c r="V41" s="174"/>
      <c r="W41" s="174"/>
      <c r="X41" s="174">
        <f>IF(P41="","",VLOOKUP(C41,Resumen!$M$5:$R$29,'OptiMaxx plus'!$AN$46+3,0))</f>
        <v>1659231.5547009208</v>
      </c>
      <c r="Y41" s="174"/>
      <c r="Z41" s="174"/>
      <c r="AA41" s="174"/>
      <c r="AB41" s="175"/>
      <c r="AC41" s="172">
        <f>IF(C41="","",IF(AC40="","",VLOOKUP(C41,Resumen!$T$5:$AB$29,9,0)))</f>
      </c>
      <c r="AD41" s="172"/>
      <c r="AE41" s="172"/>
      <c r="AF41" s="172"/>
      <c r="AG41" s="176"/>
      <c r="AJ41" s="5"/>
      <c r="AK41" s="5">
        <v>750000</v>
      </c>
      <c r="AL41" s="5"/>
      <c r="AM41" s="5"/>
      <c r="AN41" s="5"/>
      <c r="AO41" s="5"/>
      <c r="AP41" s="5"/>
      <c r="AQ41" s="20">
        <v>10</v>
      </c>
      <c r="AR41" s="20"/>
      <c r="AS41" s="20"/>
      <c r="AT41" s="20"/>
      <c r="AU41" s="29"/>
      <c r="AV41" s="5">
        <f t="shared" si="2"/>
        <v>56</v>
      </c>
    </row>
    <row r="42" ht="16.5" customHeight="1" spans="3:50" x14ac:dyDescent="0.25">
      <c r="C42" s="169">
        <f t="shared" si="3"/>
        <v>12</v>
      </c>
      <c r="D42" s="170"/>
      <c r="E42" s="171">
        <f t="shared" si="4"/>
        <v>41</v>
      </c>
      <c r="F42" s="170"/>
      <c r="G42" s="171">
        <f>IF(E42="","",VLOOKUP(C42,'No Deducible 93'!$AG$25:$AH$49,2,0))</f>
        <v>120000</v>
      </c>
      <c r="H42" s="172"/>
      <c r="I42" s="172"/>
      <c r="J42" s="170"/>
      <c r="K42" s="171">
        <f t="shared" si="5"/>
        <v>1440000</v>
      </c>
      <c r="L42" s="172"/>
      <c r="M42" s="172"/>
      <c r="N42" s="172"/>
      <c r="O42" s="172"/>
      <c r="P42" s="173">
        <f>IF(G42="","",VLOOKUP(C42*12,Resumen!$C$5:$F$408,VLOOKUP('OptiMaxx plus'!$AK$12,'OptiMaxx plus'!$AK$46:$AL$48,2,0)+1,0))</f>
        <v>2492169.6918846024</v>
      </c>
      <c r="Q42" s="174"/>
      <c r="R42" s="174"/>
      <c r="S42" s="174"/>
      <c r="T42" s="174">
        <f>IF(K42="","",IF(C42=$D$15,P42,VLOOKUP(C42*12,Resumen!$H$5:$K$408,$AN$46+1,0)))</f>
        <v>2001931.4729017809</v>
      </c>
      <c r="U42" s="174"/>
      <c r="V42" s="174"/>
      <c r="W42" s="174"/>
      <c r="X42" s="174">
        <f>IF(P42="","",VLOOKUP(C42,Resumen!$M$5:$R$29,'OptiMaxx plus'!$AN$46+3,0))</f>
        <v>1914516.2478669914</v>
      </c>
      <c r="Y42" s="174"/>
      <c r="Z42" s="174"/>
      <c r="AA42" s="174"/>
      <c r="AB42" s="175"/>
      <c r="AC42" s="172">
        <f>IF(C42="","",IF(AC41="","",VLOOKUP(C42,Resumen!$T$5:$AB$29,9,0)))</f>
      </c>
      <c r="AD42" s="172"/>
      <c r="AE42" s="172"/>
      <c r="AF42" s="172"/>
      <c r="AG42" s="176"/>
      <c r="AJ42" s="5"/>
      <c r="AL42" s="5"/>
      <c r="AN42" s="5"/>
      <c r="AO42" s="5"/>
      <c r="AP42" s="5"/>
      <c r="AQ42" s="20">
        <v>11</v>
      </c>
      <c r="AR42" s="20">
        <f>1+AR40</f>
        <v>19</v>
      </c>
      <c r="AS42" s="20"/>
      <c r="AT42" s="20"/>
      <c r="AU42" s="29">
        <f>+AU40+1%</f>
        <v>0.33</v>
      </c>
      <c r="AV42" s="5">
        <f t="shared" si="2"/>
        <v>57</v>
      </c>
      <c r="AW42" s="5">
        <v>8</v>
      </c>
      <c r="AX42" s="40" t="s">
        <v>64</v>
      </c>
    </row>
    <row r="43" ht="16.5" customHeight="1" spans="3:238" x14ac:dyDescent="0.25">
      <c r="C43" s="169">
        <f t="shared" si="3"/>
        <v>13</v>
      </c>
      <c r="D43" s="170"/>
      <c r="E43" s="171">
        <f t="shared" si="4"/>
        <v>42</v>
      </c>
      <c r="F43" s="170"/>
      <c r="G43" s="171">
        <f>IF(E43="","",VLOOKUP(C43,'No Deducible 93'!$AG$25:$AH$49,2,0))</f>
        <v>120000</v>
      </c>
      <c r="H43" s="172"/>
      <c r="I43" s="172"/>
      <c r="J43" s="170"/>
      <c r="K43" s="171">
        <f t="shared" si="5"/>
        <v>1560000</v>
      </c>
      <c r="L43" s="172"/>
      <c r="M43" s="172"/>
      <c r="N43" s="172"/>
      <c r="O43" s="172"/>
      <c r="P43" s="173">
        <f>IF(G43="","",VLOOKUP(C43*12,Resumen!$C$5:$F$408,VLOOKUP('OptiMaxx plus'!$AK$12,'OptiMaxx plus'!$AK$46:$AL$48,2,0)+1,0))</f>
        <v>2812025.1193683213</v>
      </c>
      <c r="Q43" s="174"/>
      <c r="R43" s="174"/>
      <c r="S43" s="174"/>
      <c r="T43" s="174">
        <f>IF(K43="","",IF(C43=$D$15,P43,VLOOKUP(C43*12,Resumen!$H$5:$K$408,$AN$46+1,0)))</f>
        <v>2299897.429604201</v>
      </c>
      <c r="U43" s="174"/>
      <c r="V43" s="174"/>
      <c r="W43" s="174"/>
      <c r="X43" s="174">
        <f>IF(P43="","",VLOOKUP(C43,Resumen!$M$5:$R$29,'OptiMaxx plus'!$AN$46+3,0))</f>
        <v>2190289.3497237735</v>
      </c>
      <c r="Y43" s="174"/>
      <c r="Z43" s="174"/>
      <c r="AA43" s="174"/>
      <c r="AB43" s="175"/>
      <c r="AC43" s="172">
        <f>IF(C43="","",IF(AC42="","",VLOOKUP(C43,Resumen!$T$5:$AB$29,9,0)))</f>
      </c>
      <c r="AD43" s="172"/>
      <c r="AE43" s="172"/>
      <c r="AF43" s="172"/>
      <c r="AG43" s="176"/>
      <c r="AJ43" s="93"/>
      <c r="AK43" s="93"/>
      <c r="AL43" s="93"/>
      <c r="AM43" s="109"/>
      <c r="AN43" s="93"/>
      <c r="AO43" s="93"/>
      <c r="AP43" s="93"/>
      <c r="AQ43" s="20">
        <v>12</v>
      </c>
      <c r="AR43" s="107"/>
      <c r="AS43" s="107"/>
      <c r="AT43" s="107"/>
      <c r="AU43" s="108"/>
      <c r="AV43" s="5">
        <f t="shared" si="2"/>
        <v>58</v>
      </c>
      <c r="AW43" s="93"/>
      <c r="AX43" s="177"/>
      <c r="AY43" s="93"/>
      <c r="AZ43" s="93"/>
      <c r="BA43" s="93"/>
      <c r="BB43" s="93"/>
      <c r="BC43" s="93"/>
      <c r="BD43" s="93"/>
      <c r="BE43" s="93"/>
      <c r="BF43" s="93"/>
      <c r="BG43" s="93"/>
      <c r="BH43" s="93"/>
      <c r="BI43" s="93"/>
      <c r="BJ43" s="93"/>
      <c r="BK43" s="93"/>
      <c r="BL43" s="93"/>
      <c r="BM43" s="93"/>
      <c r="BN43" s="93"/>
      <c r="BO43" s="93"/>
      <c r="BP43" s="93"/>
      <c r="BQ43" s="109"/>
      <c r="BR43" s="109"/>
      <c r="BS43" s="109"/>
      <c r="BT43" s="109"/>
      <c r="BU43" s="109"/>
      <c r="BV43" s="109"/>
      <c r="BW43" s="109"/>
      <c r="BX43" s="109"/>
      <c r="BY43" s="109"/>
      <c r="BZ43" s="109"/>
      <c r="CA43" s="109"/>
      <c r="CB43" s="109"/>
      <c r="CC43" s="109"/>
      <c r="CD43" s="109"/>
      <c r="CE43" s="109"/>
      <c r="CF43" s="109"/>
      <c r="CG43" s="109"/>
      <c r="CH43" s="109"/>
      <c r="CI43" s="109"/>
      <c r="CJ43" s="109"/>
      <c r="CK43" s="109"/>
      <c r="CL43" s="109"/>
      <c r="CM43" s="109"/>
      <c r="CN43" s="109"/>
      <c r="CO43" s="109"/>
      <c r="CP43" s="109"/>
      <c r="CQ43" s="109"/>
      <c r="CR43" s="109"/>
      <c r="CS43" s="109"/>
      <c r="CT43" s="109"/>
      <c r="CU43" s="109"/>
      <c r="CV43" s="109"/>
      <c r="CW43" s="109"/>
      <c r="CX43" s="109"/>
      <c r="CY43" s="109"/>
      <c r="CZ43" s="109"/>
      <c r="DA43" s="109"/>
      <c r="DB43" s="109"/>
      <c r="DC43" s="109"/>
      <c r="DD43" s="109"/>
      <c r="DE43" s="109"/>
      <c r="DF43" s="109"/>
      <c r="DG43" s="109"/>
      <c r="DH43" s="109"/>
      <c r="DI43" s="109"/>
      <c r="DJ43" s="109"/>
      <c r="DK43" s="109"/>
      <c r="DL43" s="109"/>
      <c r="DM43" s="109"/>
      <c r="DN43" s="109"/>
      <c r="DO43" s="109"/>
      <c r="DP43" s="109"/>
      <c r="DQ43" s="109"/>
      <c r="DR43" s="109"/>
      <c r="DS43" s="109"/>
      <c r="DT43" s="109"/>
      <c r="DU43" s="109"/>
      <c r="DV43" s="109"/>
      <c r="DW43" s="109"/>
      <c r="DX43" s="109"/>
      <c r="DY43" s="109"/>
      <c r="DZ43" s="109"/>
      <c r="EA43" s="109"/>
      <c r="EB43" s="109"/>
      <c r="EC43" s="109"/>
      <c r="ED43" s="109"/>
      <c r="EE43" s="109"/>
      <c r="EF43" s="109"/>
      <c r="EG43" s="109"/>
      <c r="EH43" s="109"/>
      <c r="EI43" s="109"/>
      <c r="EJ43" s="109"/>
      <c r="EK43" s="109"/>
      <c r="EL43" s="109"/>
      <c r="EM43" s="109"/>
      <c r="EN43" s="109"/>
      <c r="EO43" s="109"/>
      <c r="EP43" s="109"/>
      <c r="EQ43" s="109"/>
      <c r="ER43" s="109"/>
      <c r="ES43" s="109"/>
      <c r="ET43" s="109"/>
      <c r="EU43" s="109"/>
      <c r="EV43" s="109"/>
      <c r="EW43" s="109"/>
      <c r="EX43" s="109"/>
      <c r="EY43" s="109"/>
      <c r="EZ43" s="109"/>
      <c r="FA43" s="109"/>
      <c r="FB43" s="109"/>
      <c r="FC43" s="109"/>
      <c r="FD43" s="109"/>
      <c r="FE43" s="109"/>
      <c r="FF43" s="109"/>
      <c r="FG43" s="109"/>
      <c r="FH43" s="109"/>
      <c r="FI43" s="109"/>
      <c r="FJ43" s="109"/>
      <c r="FK43" s="109"/>
      <c r="FL43" s="109"/>
      <c r="FM43" s="109"/>
      <c r="FN43" s="109"/>
      <c r="FO43" s="109"/>
      <c r="FP43" s="109"/>
      <c r="FQ43" s="109"/>
      <c r="FR43" s="109"/>
      <c r="FS43" s="109"/>
      <c r="FT43" s="109"/>
      <c r="FU43" s="109"/>
      <c r="FV43" s="109"/>
      <c r="FW43" s="109"/>
      <c r="FX43" s="109"/>
      <c r="FY43" s="109"/>
      <c r="FZ43" s="109"/>
      <c r="GA43" s="109"/>
      <c r="GB43" s="109"/>
      <c r="GC43" s="109"/>
      <c r="GD43" s="109"/>
      <c r="GE43" s="109"/>
      <c r="GF43" s="109"/>
      <c r="GG43" s="109"/>
      <c r="GH43" s="109"/>
      <c r="GI43" s="109"/>
      <c r="GJ43" s="109"/>
      <c r="GK43" s="109"/>
      <c r="GL43" s="109"/>
      <c r="GM43" s="109"/>
      <c r="GN43" s="109"/>
      <c r="GO43" s="109"/>
      <c r="GP43" s="109"/>
      <c r="GQ43" s="109"/>
      <c r="GR43" s="109"/>
      <c r="GS43" s="109"/>
      <c r="GT43" s="109"/>
      <c r="GU43" s="109"/>
      <c r="GV43" s="109"/>
      <c r="GW43" s="109"/>
      <c r="GX43" s="109"/>
      <c r="GY43" s="109"/>
      <c r="GZ43" s="109"/>
      <c r="HA43" s="109"/>
      <c r="HB43" s="109"/>
      <c r="HC43" s="109"/>
      <c r="HD43" s="109"/>
      <c r="HE43" s="109"/>
      <c r="HF43" s="109"/>
      <c r="HG43" s="109"/>
      <c r="HH43" s="109"/>
      <c r="HI43" s="109"/>
      <c r="HJ43" s="109"/>
      <c r="HK43" s="109"/>
      <c r="HL43" s="109"/>
      <c r="HM43" s="109"/>
      <c r="HN43" s="109"/>
      <c r="HO43" s="109"/>
      <c r="HP43" s="109"/>
      <c r="HQ43" s="109"/>
      <c r="HR43" s="109"/>
      <c r="HS43" s="109"/>
      <c r="HT43" s="109"/>
      <c r="HU43" s="109"/>
      <c r="HV43" s="109"/>
      <c r="HW43" s="109"/>
      <c r="HX43" s="109"/>
      <c r="HY43" s="110"/>
      <c r="HZ43" s="110"/>
      <c r="IA43" s="110"/>
      <c r="IB43" s="110"/>
      <c r="IC43" s="110"/>
      <c r="ID43" s="110"/>
    </row>
    <row r="44" ht="16.5" customHeight="1" spans="3:50" x14ac:dyDescent="0.25">
      <c r="C44" s="169">
        <f t="shared" si="3"/>
        <v>14</v>
      </c>
      <c r="D44" s="170"/>
      <c r="E44" s="171">
        <f t="shared" si="4"/>
        <v>43</v>
      </c>
      <c r="F44" s="170"/>
      <c r="G44" s="171">
        <f>IF(E44="","",VLOOKUP(C44,'No Deducible 93'!$AG$25:$AH$49,2,0))</f>
        <v>120000</v>
      </c>
      <c r="H44" s="172"/>
      <c r="I44" s="172"/>
      <c r="J44" s="170"/>
      <c r="K44" s="171">
        <f t="shared" si="5"/>
        <v>1680000</v>
      </c>
      <c r="L44" s="172"/>
      <c r="M44" s="172"/>
      <c r="N44" s="172"/>
      <c r="O44" s="172"/>
      <c r="P44" s="173">
        <f>IF(G44="","",VLOOKUP(C44*12,Resumen!$C$5:$F$408,VLOOKUP('OptiMaxx plus'!$AK$12,'OptiMaxx plus'!$AK$46:$AL$48,2,0)+1,0))</f>
        <v>3158692.6301940354</v>
      </c>
      <c r="Q44" s="174"/>
      <c r="R44" s="174"/>
      <c r="S44" s="174"/>
      <c r="T44" s="174">
        <f>IF(K44="","",IF(C44=$D$15,P44,VLOOKUP(C44*12,Resumen!$H$5:$K$408,$AN$46+1,0)))</f>
        <v>2623687.535814255</v>
      </c>
      <c r="U44" s="174"/>
      <c r="V44" s="174"/>
      <c r="W44" s="174"/>
      <c r="X44" s="174">
        <f>IF(P44="","",VLOOKUP(C44,Resumen!$M$5:$R$29,'OptiMaxx plus'!$AN$46+3,0))</f>
        <v>2488259.870440524</v>
      </c>
      <c r="Y44" s="174"/>
      <c r="Z44" s="174"/>
      <c r="AA44" s="174"/>
      <c r="AB44" s="175"/>
      <c r="AC44" s="172">
        <f>IF(C44="","",IF(AC43="","",VLOOKUP(C44,Resumen!$T$5:$AB$29,9,0)))</f>
      </c>
      <c r="AD44" s="172"/>
      <c r="AE44" s="172"/>
      <c r="AF44" s="172"/>
      <c r="AG44" s="176"/>
      <c r="AJ44" s="5"/>
      <c r="AK44" s="5"/>
      <c r="AL44" s="5"/>
      <c r="AN44" s="5"/>
      <c r="AO44" s="5"/>
      <c r="AP44" s="5"/>
      <c r="AQ44" s="20">
        <v>13</v>
      </c>
      <c r="AR44" s="20"/>
      <c r="AS44" s="20"/>
      <c r="AT44" s="20"/>
      <c r="AU44" s="29"/>
      <c r="AV44" s="5">
        <f t="shared" si="2"/>
        <v>59</v>
      </c>
      <c r="AX44" s="40"/>
    </row>
    <row r="45" ht="16.5" customHeight="1" spans="3:245" x14ac:dyDescent="0.25">
      <c r="C45" s="169">
        <f t="shared" si="3"/>
        <v>15</v>
      </c>
      <c r="D45" s="170"/>
      <c r="E45" s="171">
        <f t="shared" si="4"/>
        <v>44</v>
      </c>
      <c r="F45" s="170"/>
      <c r="G45" s="171">
        <f>IF(E45="","",VLOOKUP(C45,'No Deducible 93'!$AG$25:$AH$49,2,0))</f>
        <v>120000</v>
      </c>
      <c r="H45" s="172"/>
      <c r="I45" s="172"/>
      <c r="J45" s="170"/>
      <c r="K45" s="171">
        <f t="shared" si="5"/>
        <v>1800000</v>
      </c>
      <c r="L45" s="172"/>
      <c r="M45" s="172"/>
      <c r="N45" s="172"/>
      <c r="O45" s="172"/>
      <c r="P45" s="173">
        <f>IF(G45="","",VLOOKUP(C45*12,Resumen!$C$5:$F$408,VLOOKUP('OptiMaxx plus'!$AK$12,'OptiMaxx plus'!$AK$46:$AL$48,2,0)+1,0))</f>
        <v>3534458.224730827</v>
      </c>
      <c r="Q45" s="174"/>
      <c r="R45" s="174"/>
      <c r="S45" s="174"/>
      <c r="T45" s="174">
        <f>IF(K45="","",IF(C45=$D$15,P45,VLOOKUP(C45*12,Resumen!$H$5:$K$408,$AN$46+1,0)))</f>
        <v>2975542.762070385</v>
      </c>
      <c r="U45" s="174"/>
      <c r="V45" s="174"/>
      <c r="W45" s="174"/>
      <c r="X45" s="174">
        <f>IF(P45="","",VLOOKUP(C45,Resumen!$M$5:$R$29,'OptiMaxx plus'!$AN$46+3,0))</f>
        <v>2810282.4948707875</v>
      </c>
      <c r="Y45" s="174"/>
      <c r="Z45" s="174"/>
      <c r="AA45" s="174"/>
      <c r="AB45" s="175"/>
      <c r="AC45" s="172">
        <f>IF(C45="","",IF(AC44="","",VLOOKUP(C45,Resumen!$T$5:$AB$29,9,0)))</f>
      </c>
      <c r="AD45" s="172"/>
      <c r="AE45" s="172"/>
      <c r="AF45" s="172"/>
      <c r="AG45" s="176"/>
      <c r="AJ45" s="5"/>
      <c r="AK45" s="5"/>
      <c r="AL45" s="5"/>
      <c r="AN45" s="5"/>
      <c r="AO45" s="5"/>
      <c r="AP45" s="5"/>
      <c r="AQ45" s="20">
        <v>14</v>
      </c>
      <c r="AR45" s="20"/>
      <c r="AS45" s="20"/>
      <c r="AT45" s="20"/>
      <c r="AU45" s="29"/>
      <c r="AV45" s="5">
        <f t="shared" si="2"/>
        <v>60</v>
      </c>
      <c r="AX45" s="40"/>
      <c r="IE45" s="110"/>
      <c r="IF45" s="110"/>
      <c r="IG45" s="110"/>
      <c r="IH45" s="110"/>
      <c r="II45" s="110"/>
      <c r="IJ45" s="110"/>
      <c r="IK45" s="110"/>
    </row>
    <row r="46" ht="16.5" customHeight="1" spans="3:245" x14ac:dyDescent="0.25">
      <c r="C46" s="169">
        <f t="shared" si="3"/>
        <v>16</v>
      </c>
      <c r="D46" s="170"/>
      <c r="E46" s="171">
        <f t="shared" si="4"/>
        <v>45</v>
      </c>
      <c r="F46" s="170"/>
      <c r="G46" s="171">
        <f>IF(E46="","",VLOOKUP(C46,'No Deducible 93'!$AG$25:$AH$49,2,0))</f>
        <v>120000</v>
      </c>
      <c r="H46" s="172"/>
      <c r="I46" s="172"/>
      <c r="J46" s="170"/>
      <c r="K46" s="171">
        <f t="shared" si="5"/>
        <v>1920000</v>
      </c>
      <c r="L46" s="172"/>
      <c r="M46" s="172"/>
      <c r="N46" s="172"/>
      <c r="O46" s="172"/>
      <c r="P46" s="173">
        <f>IF(G46="","",VLOOKUP(C46*12,Resumen!$C$5:$F$408,VLOOKUP('OptiMaxx plus'!$AK$12,'OptiMaxx plus'!$AK$46:$AL$48,2,0)+1,0))</f>
        <v>3941804.5551033723</v>
      </c>
      <c r="Q46" s="174"/>
      <c r="R46" s="174"/>
      <c r="S46" s="174"/>
      <c r="T46" s="174">
        <f>IF(K46="","",IF(C46=$D$15,P46,VLOOKUP(C46*12,Resumen!$H$5:$K$408,$AN$46+1,0)))</f>
        <v>3357898.6599376677</v>
      </c>
      <c r="U46" s="174"/>
      <c r="V46" s="174"/>
      <c r="W46" s="174"/>
      <c r="X46" s="174">
        <f>IF(P46="","",VLOOKUP(C46,Resumen!$M$5:$R$29,'OptiMaxx plus'!$AN$46+3,0))</f>
        <v>3158370.084561844</v>
      </c>
      <c r="Y46" s="174"/>
      <c r="Z46" s="174"/>
      <c r="AA46" s="174"/>
      <c r="AB46" s="175"/>
      <c r="AC46" s="172">
        <f>IF(C46="","",IF(AC45="","",VLOOKUP(C46,Resumen!$T$5:$AB$29,9,0)))</f>
      </c>
      <c r="AD46" s="172"/>
      <c r="AE46" s="172"/>
      <c r="AF46" s="172"/>
      <c r="AG46" s="176"/>
      <c r="AJ46" s="5"/>
      <c r="AK46" s="20">
        <v>151</v>
      </c>
      <c r="AL46" s="5">
        <v>2</v>
      </c>
      <c r="AN46" s="5">
        <f>VLOOKUP(AK12,$AK$46:$AL$48,2,0)</f>
        <v>1</v>
      </c>
      <c r="AO46" s="5"/>
      <c r="AP46" s="5"/>
      <c r="AQ46" s="20">
        <v>15</v>
      </c>
      <c r="AR46" s="20"/>
      <c r="AS46" s="20"/>
      <c r="AT46" s="20"/>
      <c r="AU46" s="29"/>
      <c r="AV46" s="5">
        <f t="shared" si="2"/>
        <v>61</v>
      </c>
      <c r="AX46" s="40"/>
      <c r="IE46" s="6"/>
      <c r="IF46" s="6"/>
      <c r="IG46" s="6"/>
      <c r="IH46" s="6"/>
      <c r="II46" s="6"/>
      <c r="IJ46" s="6"/>
      <c r="IK46" s="6"/>
    </row>
    <row r="47" ht="16.5" customHeight="1" spans="3:50" x14ac:dyDescent="0.25">
      <c r="C47" s="169">
        <f t="shared" si="3"/>
        <v>17</v>
      </c>
      <c r="D47" s="170"/>
      <c r="E47" s="171">
        <f t="shared" si="4"/>
        <v>46</v>
      </c>
      <c r="F47" s="170"/>
      <c r="G47" s="171">
        <f>IF(E47="","",VLOOKUP(C47,'No Deducible 93'!$AG$25:$AH$49,2,0))</f>
        <v>120000</v>
      </c>
      <c r="H47" s="172"/>
      <c r="I47" s="172"/>
      <c r="J47" s="170"/>
      <c r="K47" s="171">
        <f t="shared" si="5"/>
        <v>2040000</v>
      </c>
      <c r="L47" s="172"/>
      <c r="M47" s="172"/>
      <c r="N47" s="172"/>
      <c r="O47" s="172"/>
      <c r="P47" s="173">
        <f>IF(G47="","",VLOOKUP(C47*12,Resumen!$C$5:$F$408,VLOOKUP('OptiMaxx plus'!$AK$12,'OptiMaxx plus'!$AK$46:$AL$48,2,0)+1,0))</f>
        <v>4383427.9209829755</v>
      </c>
      <c r="Q47" s="174"/>
      <c r="R47" s="174"/>
      <c r="S47" s="174"/>
      <c r="T47" s="174">
        <f>IF(K47="","",IF(C47=$D$15,P47,VLOOKUP(C47*12,Resumen!$H$5:$K$408,$AN$46+1,0)))</f>
        <v>3773402.2618257343</v>
      </c>
      <c r="U47" s="174"/>
      <c r="V47" s="174"/>
      <c r="W47" s="174"/>
      <c r="X47" s="174">
        <f>IF(P47="","",VLOOKUP(C47,Resumen!$M$5:$R$29,'OptiMaxx plus'!$AN$46+3,0))</f>
        <v>3534707.274662452</v>
      </c>
      <c r="Y47" s="174"/>
      <c r="Z47" s="174"/>
      <c r="AA47" s="174"/>
      <c r="AB47" s="175"/>
      <c r="AC47" s="172">
        <f>IF(C47="","",IF(AC46="","",VLOOKUP(C47,Resumen!$T$5:$AB$29,9,0)))</f>
      </c>
      <c r="AD47" s="172"/>
      <c r="AE47" s="172"/>
      <c r="AF47" s="172"/>
      <c r="AG47" s="176"/>
      <c r="AJ47" s="5"/>
      <c r="AK47" s="20">
        <v>185</v>
      </c>
      <c r="AL47" s="5">
        <v>3</v>
      </c>
      <c r="AN47" s="5"/>
      <c r="AO47" s="5"/>
      <c r="AP47" s="5"/>
      <c r="AQ47" s="20">
        <v>16</v>
      </c>
      <c r="AR47" s="20"/>
      <c r="AS47" s="20"/>
      <c r="AT47" s="20"/>
      <c r="AU47" s="29"/>
      <c r="AV47" s="5">
        <f t="shared" si="2"/>
        <v>62</v>
      </c>
      <c r="AX47" s="40"/>
    </row>
    <row r="48" ht="16.5" customHeight="1" spans="3:50" x14ac:dyDescent="0.25">
      <c r="C48" s="169">
        <f t="shared" si="3"/>
        <v>18</v>
      </c>
      <c r="D48" s="170"/>
      <c r="E48" s="171">
        <f t="shared" si="4"/>
        <v>47</v>
      </c>
      <c r="F48" s="170"/>
      <c r="G48" s="171">
        <f>IF(E48="","",VLOOKUP(C48,'No Deducible 93'!$AG$25:$AH$49,2,0))</f>
        <v>120000</v>
      </c>
      <c r="H48" s="172"/>
      <c r="I48" s="172"/>
      <c r="J48" s="170"/>
      <c r="K48" s="171">
        <f t="shared" si="5"/>
        <v>2160000</v>
      </c>
      <c r="L48" s="172"/>
      <c r="M48" s="172"/>
      <c r="N48" s="172"/>
      <c r="O48" s="172"/>
      <c r="P48" s="173">
        <f>IF(G48="","",VLOOKUP(C48*12,Resumen!$C$5:$F$408,VLOOKUP('OptiMaxx plus'!$AK$12,'OptiMaxx plus'!$AK$46:$AL$48,2,0)+1,0))</f>
        <v>4862256.737828441</v>
      </c>
      <c r="Q48" s="174"/>
      <c r="R48" s="174"/>
      <c r="S48" s="174"/>
      <c r="T48" s="174">
        <f>IF(K48="","",IF(C48=$D$15,P48,VLOOKUP(C48*12,Resumen!$H$5:$K$408,$AN$46+1,0)))</f>
        <v>4224930.448777985</v>
      </c>
      <c r="U48" s="174"/>
      <c r="V48" s="174"/>
      <c r="W48" s="174"/>
      <c r="X48" s="174">
        <f>IF(P48="","",VLOOKUP(C48,Resumen!$M$5:$R$29,'OptiMaxx plus'!$AN$46+3,0))</f>
        <v>3941665.255683691</v>
      </c>
      <c r="Y48" s="174"/>
      <c r="Z48" s="174"/>
      <c r="AA48" s="174"/>
      <c r="AB48" s="175"/>
      <c r="AC48" s="172">
        <f>IF(C48="","",IF(AC47="","",VLOOKUP(C48,Resumen!$T$5:$AB$29,9,0)))</f>
      </c>
      <c r="AD48" s="172"/>
      <c r="AE48" s="172"/>
      <c r="AF48" s="172"/>
      <c r="AG48" s="176"/>
      <c r="AJ48" s="5"/>
      <c r="AK48" s="20">
        <v>93</v>
      </c>
      <c r="AL48" s="5">
        <v>1</v>
      </c>
      <c r="AN48" s="5"/>
      <c r="AO48" s="5"/>
      <c r="AP48" s="5"/>
      <c r="AQ48" s="20">
        <v>17</v>
      </c>
      <c r="AR48" s="20"/>
      <c r="AS48" s="20"/>
      <c r="AT48" s="20"/>
      <c r="AU48" s="29"/>
      <c r="AV48" s="5">
        <f t="shared" si="2"/>
        <v>63</v>
      </c>
      <c r="AX48" s="40"/>
    </row>
    <row r="49" ht="16.5" customHeight="1" spans="3:50" x14ac:dyDescent="0.25">
      <c r="C49" s="169">
        <f t="shared" si="3"/>
        <v>19</v>
      </c>
      <c r="D49" s="170"/>
      <c r="E49" s="171">
        <f t="shared" si="4"/>
        <v>48</v>
      </c>
      <c r="F49" s="170"/>
      <c r="G49" s="171">
        <f>IF(E49="","",VLOOKUP(C49,'No Deducible 93'!$AG$25:$AH$49,2,0))</f>
        <v>120000</v>
      </c>
      <c r="H49" s="172"/>
      <c r="I49" s="172"/>
      <c r="J49" s="170"/>
      <c r="K49" s="171">
        <f t="shared" si="5"/>
        <v>2280000</v>
      </c>
      <c r="L49" s="172"/>
      <c r="M49" s="172"/>
      <c r="N49" s="172"/>
      <c r="O49" s="172"/>
      <c r="P49" s="173">
        <f>IF(G49="","",VLOOKUP(C49*12,Resumen!$C$5:$F$408,VLOOKUP('OptiMaxx plus'!$AK$12,'OptiMaxx plus'!$AK$46:$AL$48,2,0)+1,0))</f>
        <v>5381471.6053067995</v>
      </c>
      <c r="Q49" s="174"/>
      <c r="R49" s="174"/>
      <c r="S49" s="174"/>
      <c r="T49" s="174">
        <f>IF(K49="","",IF(C49=$D$15,P49,VLOOKUP(C49*12,Resumen!$H$5:$K$408,$AN$46+1,0)))</f>
        <v>4715609.913751885</v>
      </c>
      <c r="U49" s="174"/>
      <c r="V49" s="174"/>
      <c r="W49" s="174"/>
      <c r="X49" s="174">
        <f>IF(P49="","",VLOOKUP(C49,Resumen!$M$5:$R$29,'OptiMaxx plus'!$AN$46+3,0))</f>
        <v>4381817.839935919</v>
      </c>
      <c r="Y49" s="174"/>
      <c r="Z49" s="174"/>
      <c r="AA49" s="174"/>
      <c r="AB49" s="175"/>
      <c r="AC49" s="172">
        <f>IF(C49="","",IF(AC48="","",VLOOKUP(C49,Resumen!$T$5:$AB$29,9,0)))</f>
      </c>
      <c r="AD49" s="172"/>
      <c r="AE49" s="172"/>
      <c r="AF49" s="172"/>
      <c r="AG49" s="176"/>
      <c r="AJ49" s="5"/>
      <c r="AK49" s="5"/>
      <c r="AL49" s="5"/>
      <c r="AN49" s="5"/>
      <c r="AO49" s="5"/>
      <c r="AP49" s="5"/>
      <c r="AQ49" s="20">
        <v>18</v>
      </c>
      <c r="AR49" s="20"/>
      <c r="AS49" s="20"/>
      <c r="AT49" s="20"/>
      <c r="AU49" s="29"/>
      <c r="AV49" s="5">
        <f t="shared" si="2"/>
        <v>64</v>
      </c>
      <c r="AX49" s="40"/>
    </row>
    <row r="50" ht="16.5" customHeight="1" spans="1:245" s="110" customFormat="1" x14ac:dyDescent="0.25">
      <c r="A50" s="178"/>
      <c r="B50" s="2"/>
      <c r="C50" s="169">
        <f t="shared" si="3"/>
        <v>20</v>
      </c>
      <c r="D50" s="170"/>
      <c r="E50" s="171">
        <f t="shared" si="4"/>
        <v>49</v>
      </c>
      <c r="F50" s="170"/>
      <c r="G50" s="171">
        <f>IF(E50="","",VLOOKUP(C50,'No Deducible 93'!$AG$25:$AH$49,2,0))</f>
        <v>120000</v>
      </c>
      <c r="H50" s="172"/>
      <c r="I50" s="172"/>
      <c r="J50" s="170"/>
      <c r="K50" s="171">
        <f t="shared" si="5"/>
        <v>2400000</v>
      </c>
      <c r="L50" s="172"/>
      <c r="M50" s="172"/>
      <c r="N50" s="172"/>
      <c r="O50" s="172"/>
      <c r="P50" s="173">
        <f>IF(G50="","",VLOOKUP(C50*12,Resumen!$C$5:$F$408,VLOOKUP('OptiMaxx plus'!$AK$12,'OptiMaxx plus'!$AK$46:$AL$48,2,0)+1,0))</f>
        <v>5944527.114711734</v>
      </c>
      <c r="Q50" s="174"/>
      <c r="R50" s="174"/>
      <c r="S50" s="174"/>
      <c r="T50" s="174">
        <f>IF(K50="","",IF(C50=$D$15,P50,VLOOKUP(C50*12,Resumen!$H$5:$K$408,$AN$46+1,0)))</f>
        <v>5248838.858988065</v>
      </c>
      <c r="U50" s="174"/>
      <c r="V50" s="174"/>
      <c r="W50" s="174"/>
      <c r="X50" s="174">
        <f>IF(P50="","",VLOOKUP(C50,Resumen!$M$5:$R$29,'OptiMaxx plus'!$AN$46+3,0))</f>
        <v>4857958.922274027</v>
      </c>
      <c r="Y50" s="174"/>
      <c r="Z50" s="174"/>
      <c r="AA50" s="174"/>
      <c r="AB50" s="175"/>
      <c r="AC50" s="172">
        <f>IF(C50="","",IF(AC49="","",VLOOKUP(C50,Resumen!$T$5:$AB$29,9,0)))</f>
      </c>
      <c r="AD50" s="172"/>
      <c r="AE50" s="172"/>
      <c r="AF50" s="172"/>
      <c r="AG50" s="176"/>
      <c r="AH50" s="1"/>
      <c r="AI50" s="3"/>
      <c r="AJ50" s="5"/>
      <c r="AK50" s="5"/>
      <c r="AL50" s="5"/>
      <c r="AM50" s="4"/>
      <c r="AN50" s="5"/>
      <c r="AO50" s="5"/>
      <c r="AP50" s="5"/>
      <c r="AQ50" s="20">
        <v>19</v>
      </c>
      <c r="AR50" s="20"/>
      <c r="AS50" s="20"/>
      <c r="AT50" s="20"/>
      <c r="AU50" s="29"/>
      <c r="AV50" s="5">
        <f t="shared" si="2"/>
        <v>65</v>
      </c>
      <c r="AW50" s="5"/>
      <c r="AX50" s="40"/>
      <c r="AY50" s="5"/>
      <c r="AZ50" s="5"/>
      <c r="BA50" s="5"/>
      <c r="BB50" s="5"/>
      <c r="BC50" s="5"/>
      <c r="BD50" s="5"/>
      <c r="BE50" s="5"/>
      <c r="BF50" s="5"/>
      <c r="BG50" s="5"/>
      <c r="BH50" s="5"/>
      <c r="BI50" s="5"/>
      <c r="BJ50" s="5"/>
      <c r="BK50" s="5"/>
      <c r="BL50" s="5"/>
      <c r="BM50" s="5"/>
      <c r="BN50" s="5"/>
      <c r="BO50" s="5"/>
      <c r="BP50" s="5"/>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6"/>
      <c r="HZ50" s="6"/>
      <c r="IA50" s="6"/>
      <c r="IB50" s="6"/>
      <c r="IC50" s="6"/>
      <c r="ID50" s="6"/>
      <c r="IE50" s="6"/>
      <c r="IF50" s="6"/>
      <c r="IG50" s="6"/>
      <c r="IH50" s="6"/>
      <c r="II50" s="6"/>
      <c r="IJ50" s="6"/>
      <c r="IK50" s="6"/>
    </row>
    <row r="51" ht="16.5" customHeight="1" spans="1:245" s="6" customFormat="1" x14ac:dyDescent="0.25">
      <c r="A51" s="1"/>
      <c r="B51" s="2"/>
      <c r="C51" s="169">
        <f t="shared" si="3"/>
        <v>21</v>
      </c>
      <c r="D51" s="170"/>
      <c r="E51" s="171">
        <f t="shared" si="4"/>
        <v>50</v>
      </c>
      <c r="F51" s="170"/>
      <c r="G51" s="171">
        <f>IF(E51="","",VLOOKUP(C51,'No Deducible 93'!$AG$25:$AH$49,2,0))</f>
        <v>120000</v>
      </c>
      <c r="H51" s="172"/>
      <c r="I51" s="172"/>
      <c r="J51" s="170"/>
      <c r="K51" s="171">
        <f t="shared" si="5"/>
        <v>2520000</v>
      </c>
      <c r="L51" s="172"/>
      <c r="M51" s="172"/>
      <c r="N51" s="172"/>
      <c r="O51" s="172"/>
      <c r="P51" s="173">
        <f>IF(G51="","",VLOOKUP(C51*12,Resumen!$C$5:$F$408,VLOOKUP('OptiMaxx plus'!$AK$12,'OptiMaxx plus'!$AK$46:$AL$48,2,0)+1,0))</f>
        <v>6555175.546247751</v>
      </c>
      <c r="Q51" s="174"/>
      <c r="R51" s="174"/>
      <c r="S51" s="174"/>
      <c r="T51" s="174">
        <f>IF(K51="","",IF(C51=$D$15,P51,VLOOKUP(C51*12,Resumen!$H$5:$K$408,$AN$46+1,0)))</f>
        <v>5828310.578105759</v>
      </c>
      <c r="U51" s="174"/>
      <c r="V51" s="174"/>
      <c r="W51" s="174"/>
      <c r="X51" s="174">
        <f>IF(P51="","",VLOOKUP(C51,Resumen!$M$5:$R$29,'OptiMaxx plus'!$AN$46+3,0))</f>
        <v>5373121.45495905</v>
      </c>
      <c r="Y51" s="174"/>
      <c r="Z51" s="174"/>
      <c r="AA51" s="174"/>
      <c r="AB51" s="175"/>
      <c r="AC51" s="172">
        <f>IF(C51="","",IF(AC50="","",VLOOKUP(C51,Resumen!$T$5:$AB$29,9,0)))</f>
      </c>
      <c r="AD51" s="172"/>
      <c r="AE51" s="172"/>
      <c r="AF51" s="172"/>
      <c r="AG51" s="176"/>
      <c r="AH51" s="1"/>
      <c r="AI51" s="3"/>
      <c r="AJ51" s="5"/>
      <c r="AK51" s="5"/>
      <c r="AL51" s="5"/>
      <c r="AM51" s="4"/>
      <c r="AN51" s="5"/>
      <c r="AO51" s="5"/>
      <c r="AP51" s="5"/>
      <c r="AQ51" s="20">
        <v>20</v>
      </c>
      <c r="AR51" s="20"/>
      <c r="AS51" s="20"/>
      <c r="AT51" s="20"/>
      <c r="AU51" s="29"/>
      <c r="AV51" s="5">
        <f t="shared" si="2"/>
        <v>66</v>
      </c>
      <c r="AW51" s="5"/>
      <c r="AX51" s="40"/>
      <c r="AY51" s="5"/>
      <c r="AZ51" s="5"/>
      <c r="BA51" s="5"/>
      <c r="BB51" s="5"/>
      <c r="BC51" s="5"/>
      <c r="BD51" s="5"/>
      <c r="BE51" s="5"/>
      <c r="BF51" s="5"/>
      <c r="BG51" s="5"/>
      <c r="BH51" s="5"/>
      <c r="BI51" s="5"/>
      <c r="BJ51" s="5"/>
      <c r="BK51" s="5"/>
      <c r="BL51" s="5"/>
      <c r="BM51" s="5"/>
      <c r="BN51" s="5"/>
      <c r="BO51" s="5"/>
      <c r="BP51" s="5"/>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6"/>
      <c r="HZ51" s="6"/>
      <c r="IA51" s="6"/>
      <c r="IB51" s="6"/>
      <c r="IC51" s="6"/>
      <c r="ID51" s="6"/>
      <c r="IE51" s="110"/>
      <c r="IF51" s="110"/>
      <c r="IG51" s="110"/>
      <c r="IH51" s="110"/>
      <c r="II51" s="110"/>
      <c r="IJ51" s="110"/>
      <c r="IK51" s="110"/>
    </row>
    <row r="52" ht="16.5" customHeight="1" spans="3:50" x14ac:dyDescent="0.25">
      <c r="C52" s="169">
        <f t="shared" si="3"/>
        <v>22</v>
      </c>
      <c r="D52" s="170"/>
      <c r="E52" s="171">
        <f t="shared" si="4"/>
        <v>51</v>
      </c>
      <c r="F52" s="170"/>
      <c r="G52" s="171">
        <f>IF(E52="","",VLOOKUP(C52,'No Deducible 93'!$AG$25:$AH$49,2,0))</f>
        <v>120000</v>
      </c>
      <c r="H52" s="172"/>
      <c r="I52" s="172"/>
      <c r="J52" s="170"/>
      <c r="K52" s="171">
        <f t="shared" si="5"/>
        <v>2640000</v>
      </c>
      <c r="L52" s="172"/>
      <c r="M52" s="172"/>
      <c r="N52" s="172"/>
      <c r="O52" s="172"/>
      <c r="P52" s="173">
        <f>IF(G52="","",VLOOKUP(C52*12,Resumen!$C$5:$F$408,VLOOKUP('OptiMaxx plus'!$AK$12,'OptiMaxx plus'!$AK$46:$AL$48,2,0)+1,0))</f>
        <v>7217492.62014521</v>
      </c>
      <c r="Q52" s="174"/>
      <c r="R52" s="174"/>
      <c r="S52" s="174"/>
      <c r="T52" s="174">
        <f>IF(K52="","",IF(C52=$D$15,P52,VLOOKUP(C52*12,Resumen!$H$5:$K$408,$AN$46+1,0)))</f>
        <v>6458039.086648262</v>
      </c>
      <c r="U52" s="174"/>
      <c r="V52" s="174"/>
      <c r="W52" s="174"/>
      <c r="X52" s="174">
        <f>IF(P52="","",VLOOKUP(C52,Resumen!$M$5:$R$29,'OptiMaxx plus'!$AN$46+3,0))</f>
        <v>5930598.067237324</v>
      </c>
      <c r="Y52" s="174"/>
      <c r="Z52" s="174"/>
      <c r="AA52" s="174"/>
      <c r="AB52" s="175"/>
      <c r="AC52" s="172">
        <f>IF(C52="","",IF(AC51="","",VLOOKUP(C52,Resumen!$T$5:$AB$29,9,0)))</f>
      </c>
      <c r="AD52" s="172"/>
      <c r="AE52" s="172"/>
      <c r="AF52" s="172"/>
      <c r="AG52" s="176"/>
      <c r="AJ52" s="5"/>
      <c r="AK52" s="5"/>
      <c r="AL52" s="5"/>
      <c r="AN52" s="5"/>
      <c r="AO52" s="5"/>
      <c r="AP52" s="5"/>
      <c r="AQ52" s="20">
        <v>21</v>
      </c>
      <c r="AR52" s="20"/>
      <c r="AS52" s="20"/>
      <c r="AT52" s="20"/>
      <c r="AU52" s="29"/>
      <c r="AV52" s="5">
        <f t="shared" si="2"/>
        <v>67</v>
      </c>
      <c r="AX52" s="40"/>
    </row>
    <row r="53" ht="16.5" customHeight="1" spans="3:50" x14ac:dyDescent="0.25">
      <c r="C53" s="169">
        <f t="shared" si="3"/>
        <v>23</v>
      </c>
      <c r="D53" s="170"/>
      <c r="E53" s="171">
        <f t="shared" si="4"/>
        <v>52</v>
      </c>
      <c r="F53" s="170"/>
      <c r="G53" s="171">
        <f>IF(E53="","",VLOOKUP(C53,'No Deducible 93'!$AG$25:$AH$49,2,0))</f>
        <v>120000</v>
      </c>
      <c r="H53" s="172"/>
      <c r="I53" s="172"/>
      <c r="J53" s="170"/>
      <c r="K53" s="171">
        <f t="shared" si="5"/>
        <v>2760000</v>
      </c>
      <c r="L53" s="172"/>
      <c r="M53" s="172"/>
      <c r="N53" s="172"/>
      <c r="O53" s="172"/>
      <c r="P53" s="173">
        <f>IF(G53="","",VLOOKUP(C53*12,Resumen!$C$5:$F$408,VLOOKUP('OptiMaxx plus'!$AK$12,'OptiMaxx plus'!$AK$46:$AL$48,2,0)+1,0))</f>
        <v>7935905.479805294</v>
      </c>
      <c r="Q53" s="174"/>
      <c r="R53" s="174"/>
      <c r="S53" s="174"/>
      <c r="T53" s="174">
        <f>IF(K53="","",IF(C53=$D$15,P53,VLOOKUP(C53*12,Resumen!$H$5:$K$408,$AN$46+1,0)))</f>
        <v>7142386.979024759</v>
      </c>
      <c r="U53" s="174"/>
      <c r="V53" s="174"/>
      <c r="W53" s="174"/>
      <c r="X53" s="174">
        <f>IF(P53="","",VLOOKUP(C53,Resumen!$M$5:$R$29,'OptiMaxx plus'!$AN$46+3,0))</f>
        <v>6533963.471816339</v>
      </c>
      <c r="Y53" s="174"/>
      <c r="Z53" s="174"/>
      <c r="AA53" s="174"/>
      <c r="AB53" s="175"/>
      <c r="AC53" s="172">
        <f>IF(C53="","",IF(AC52="","",VLOOKUP(C53,Resumen!$T$5:$AB$29,9,0)))</f>
      </c>
      <c r="AD53" s="172"/>
      <c r="AE53" s="172"/>
      <c r="AF53" s="172"/>
      <c r="AG53" s="176"/>
      <c r="AJ53" s="5"/>
      <c r="AK53" s="5"/>
      <c r="AL53" s="5"/>
      <c r="AN53" s="5"/>
      <c r="AO53" s="5"/>
      <c r="AP53" s="5"/>
      <c r="AQ53" s="20">
        <v>22</v>
      </c>
      <c r="AR53" s="20"/>
      <c r="AS53" s="20"/>
      <c r="AT53" s="20"/>
      <c r="AU53" s="29"/>
      <c r="AV53" s="5">
        <f t="shared" si="2"/>
        <v>68</v>
      </c>
      <c r="AX53" s="40"/>
    </row>
    <row r="54" ht="16.5" customHeight="1" spans="3:50" x14ac:dyDescent="0.25">
      <c r="C54" s="169">
        <f t="shared" si="3"/>
        <v>24</v>
      </c>
      <c r="D54" s="170"/>
      <c r="E54" s="171">
        <f t="shared" si="4"/>
        <v>53</v>
      </c>
      <c r="F54" s="170"/>
      <c r="G54" s="171">
        <f>IF(E54="","",VLOOKUP(C54,'No Deducible 93'!$AG$25:$AH$49,2,0))</f>
        <v>120000</v>
      </c>
      <c r="H54" s="172"/>
      <c r="I54" s="172"/>
      <c r="J54" s="170"/>
      <c r="K54" s="171">
        <f t="shared" si="5"/>
        <v>2880000</v>
      </c>
      <c r="L54" s="172"/>
      <c r="M54" s="172"/>
      <c r="N54" s="172"/>
      <c r="O54" s="172"/>
      <c r="P54" s="173">
        <f>IF(G54="","",VLOOKUP(C54*12,Resumen!$C$5:$F$408,VLOOKUP('OptiMaxx plus'!$AK$12,'OptiMaxx plus'!$AK$46:$AL$48,2,0)+1,0))</f>
        <v>8715223.100644492</v>
      </c>
      <c r="Q54" s="174"/>
      <c r="R54" s="174"/>
      <c r="S54" s="174"/>
      <c r="T54" s="174">
        <f>IF(K54="","",IF(C54=$D$15,P54,VLOOKUP(C54*12,Resumen!$H$5:$K$408,$AN$46+1,0)))</f>
        <v>7886095.705253298</v>
      </c>
      <c r="U54" s="174"/>
      <c r="V54" s="174"/>
      <c r="W54" s="174"/>
      <c r="X54" s="174">
        <f>IF(P54="","",VLOOKUP(C54,Resumen!$M$5:$R$29,'OptiMaxx plus'!$AN$46+3,0))</f>
        <v>7187098.812910654</v>
      </c>
      <c r="Y54" s="174"/>
      <c r="Z54" s="174"/>
      <c r="AA54" s="174"/>
      <c r="AB54" s="175"/>
      <c r="AC54" s="172">
        <f>IF(C54="","",IF(AC53="","",VLOOKUP(C54,Resumen!$T$5:$AB$29,9,0)))</f>
      </c>
      <c r="AD54" s="172"/>
      <c r="AE54" s="172"/>
      <c r="AF54" s="172"/>
      <c r="AG54" s="176"/>
      <c r="AJ54" s="5"/>
      <c r="AK54" s="5"/>
      <c r="AL54" s="5"/>
      <c r="AM54" s="20" t="s">
        <v>34</v>
      </c>
      <c r="AN54" s="20" t="s">
        <v>35</v>
      </c>
      <c r="AO54" s="20" t="s">
        <v>36</v>
      </c>
      <c r="AP54" s="5"/>
      <c r="AQ54" s="20"/>
      <c r="AR54" s="179"/>
      <c r="AS54" s="180" t="s">
        <v>34</v>
      </c>
      <c r="AT54" s="179" t="s">
        <v>35</v>
      </c>
      <c r="AU54" s="181" t="s">
        <v>36</v>
      </c>
      <c r="AX54" s="40"/>
    </row>
    <row r="55" ht="19.5" customHeight="1" spans="3:50" x14ac:dyDescent="0.25">
      <c r="C55" s="182">
        <f t="shared" si="3"/>
        <v>25</v>
      </c>
      <c r="D55" s="183"/>
      <c r="E55" s="184">
        <f>+IF(C55="","",E54+1)</f>
        <v>54</v>
      </c>
      <c r="F55" s="183"/>
      <c r="G55" s="184">
        <f>IF(E55="","",VLOOKUP(C55,'No Deducible 93'!$AG$25:$AH$49,2,0))</f>
        <v>120000</v>
      </c>
      <c r="H55" s="185"/>
      <c r="I55" s="185"/>
      <c r="J55" s="183"/>
      <c r="K55" s="184">
        <f t="shared" si="5"/>
        <v>3000000</v>
      </c>
      <c r="L55" s="185"/>
      <c r="M55" s="185"/>
      <c r="N55" s="185"/>
      <c r="O55" s="185"/>
      <c r="P55" s="186">
        <f>IF(G55="","",VLOOKUP(C55*12,Resumen!$C$5:$F$408,VLOOKUP('OptiMaxx plus'!$AK$12,'OptiMaxx plus'!$AK$46:$AL$48,2,0)+1,0))</f>
        <v>9560669.335121633</v>
      </c>
      <c r="Q55" s="187"/>
      <c r="R55" s="187"/>
      <c r="S55" s="187"/>
      <c r="T55" s="187">
        <f>IF(K55="","",IF(C55=$D$15,P55,VLOOKUP(C55*12,Resumen!$H$5:$K$408,$AN$46+1,0)))</f>
        <v>9560669.335121633</v>
      </c>
      <c r="U55" s="187"/>
      <c r="V55" s="187"/>
      <c r="W55" s="187"/>
      <c r="X55" s="187">
        <f>IF(P55="","",VLOOKUP(C55,Resumen!$M$5:$R$29,'OptiMaxx plus'!$AN$46+3,0))</f>
        <v>8760568.981466994</v>
      </c>
      <c r="Y55" s="187"/>
      <c r="Z55" s="187"/>
      <c r="AA55" s="187"/>
      <c r="AB55" s="188"/>
      <c r="AC55" s="185">
        <f>IF(C55="","",IF(AC54="","",VLOOKUP(C55,Resumen!$T$5:$AB$29,9,0)))</f>
      </c>
      <c r="AD55" s="185"/>
      <c r="AE55" s="185"/>
      <c r="AF55" s="185"/>
      <c r="AG55" s="189"/>
      <c r="AJ55" s="5"/>
      <c r="AK55" s="5"/>
      <c r="AL55" s="5" t="s">
        <v>38</v>
      </c>
      <c r="AM55" s="190">
        <f>D12*VLOOKUP(K12,AK24:AL27,2,FALSE)*F21</f>
        <v>0</v>
      </c>
      <c r="AN55" s="190">
        <f>D12*VLOOKUP(K12,AK24:AL27,2,FALSE)*J21</f>
        <v>0</v>
      </c>
      <c r="AO55" s="190">
        <f>D12*VLOOKUP(K12,AK24:AL27,2,FALSE)*N21</f>
        <v>0</v>
      </c>
      <c r="AP55" s="5"/>
      <c r="AQ55" s="20"/>
      <c r="AR55" s="179" t="s">
        <v>38</v>
      </c>
      <c r="AS55" s="180">
        <f t="shared" ref="AS55:AU57" si="6">IF(OR(AM55=0,AM55&gt;=12000),"","El monto mínimo para cada fondo debe de ser de 12,000 pesos anuales")</f>
      </c>
      <c r="AT55" s="179">
        <f t="shared" si="6"/>
      </c>
      <c r="AU55" s="181">
        <f t="shared" si="6"/>
      </c>
      <c r="AX55" s="40"/>
    </row>
    <row r="56" ht="20.25" customHeight="1" spans="3:50" x14ac:dyDescent="0.25">
      <c r="C56" s="191" t="str">
        <f>CONCATENATE("Aportaciones Acumuladas a edad"," ",Resumen!AD25)</f>
        <v>Aportaciones Acumuladas a edad 65</v>
      </c>
      <c r="D56" s="192"/>
      <c r="E56" s="193"/>
      <c r="F56" s="193"/>
      <c r="G56" s="193"/>
      <c r="H56" s="193"/>
      <c r="I56" s="193"/>
      <c r="J56" s="193"/>
      <c r="K56" s="194">
        <f>IF(T7="","",VLOOKUP(Resumen!AD25,'Deducible 151'!$AF$25:$AI$104,4,0))</f>
        <v>4320000</v>
      </c>
      <c r="L56" s="194"/>
      <c r="M56" s="194"/>
      <c r="N56" s="194"/>
      <c r="O56" s="195"/>
      <c r="P56" s="196" t="s">
        <v>65</v>
      </c>
      <c r="Q56" s="197"/>
      <c r="R56" s="197"/>
      <c r="S56" s="197"/>
      <c r="T56" s="197"/>
      <c r="U56" s="197"/>
      <c r="V56" s="197"/>
      <c r="W56" s="197"/>
      <c r="X56" s="198">
        <f>+'Deducible 151'!L20</f>
        <v>0.1</v>
      </c>
      <c r="Y56" s="199"/>
      <c r="Z56" s="199"/>
      <c r="AA56" s="199"/>
      <c r="AB56" s="200"/>
      <c r="AC56" s="197"/>
      <c r="AD56" s="197"/>
      <c r="AE56" s="197"/>
      <c r="AF56" s="197"/>
      <c r="AG56" s="201"/>
      <c r="AJ56" s="5"/>
      <c r="AK56" s="5"/>
      <c r="AL56" s="5" t="s">
        <v>39</v>
      </c>
      <c r="AM56" s="190">
        <f>D12*VLOOKUP(K12,AK24:AL27,2,FALSE)*F22</f>
        <v>0</v>
      </c>
      <c r="AN56" s="190">
        <f>D12*VLOOKUP(K12,AK24:AL27,2,FALSE)*J22</f>
        <v>0</v>
      </c>
      <c r="AO56" s="190">
        <f>D12*VLOOKUP(K12,AK24:AL27,2,FALSE)*N22</f>
        <v>120000</v>
      </c>
      <c r="AP56" s="5"/>
      <c r="AQ56" s="20"/>
      <c r="AR56" s="179" t="s">
        <v>39</v>
      </c>
      <c r="AS56" s="180">
        <f t="shared" si="6"/>
      </c>
      <c r="AT56" s="179">
        <f t="shared" si="6"/>
      </c>
      <c r="AU56" s="181">
        <f t="shared" si="6"/>
      </c>
      <c r="AX56" s="40"/>
    </row>
    <row r="57" ht="20.25" customHeight="1" spans="3:50" x14ac:dyDescent="0.25">
      <c r="C57" s="202" t="str">
        <f>CONCATENATE("Saldo Proyectado a edad"," ",Resumen!AD25)</f>
        <v>Saldo Proyectado a edad 65</v>
      </c>
      <c r="D57" s="203"/>
      <c r="E57" s="204"/>
      <c r="F57" s="204"/>
      <c r="G57" s="204"/>
      <c r="H57" s="204"/>
      <c r="I57" s="204"/>
      <c r="J57" s="204"/>
      <c r="K57" s="205">
        <f>IFERROR(IF(E55=Resumen!AD25,'OptiMaxx plus'!P55,VLOOKUP('OptiMaxx plus'!AK12,Resumen!AD18:AE20,2,0)),"")</f>
        <v>25259701.59892304</v>
      </c>
      <c r="L57" s="205"/>
      <c r="M57" s="205"/>
      <c r="N57" s="205"/>
      <c r="O57" s="206"/>
      <c r="P57" s="207">
        <f>IF(AK12=AK48,"",CONCATENATE("Valor acumulado del beneficio fiscal a edad"," ",Resumen!AD23))</f>
      </c>
      <c r="Q57" s="208"/>
      <c r="R57" s="208"/>
      <c r="S57" s="208"/>
      <c r="T57" s="208"/>
      <c r="U57" s="208"/>
      <c r="V57" s="208"/>
      <c r="W57" s="208"/>
      <c r="X57" s="209">
        <f>VLOOKUP(T7+D15,$E$31:$AC$55,25,0)</f>
      </c>
      <c r="Y57" s="210"/>
      <c r="Z57" s="210"/>
      <c r="AA57" s="210"/>
      <c r="AB57" s="211"/>
      <c r="AC57" s="208"/>
      <c r="AD57" s="208"/>
      <c r="AE57" s="208"/>
      <c r="AF57" s="208"/>
      <c r="AG57" s="212"/>
      <c r="AJ57" s="5"/>
      <c r="AK57" s="5"/>
      <c r="AL57" s="5" t="s">
        <v>41</v>
      </c>
      <c r="AM57" s="190">
        <f>D12*VLOOKUP(K12,AK24:AL27,2,FALSE)*F23</f>
        <v>0</v>
      </c>
      <c r="AN57" s="190">
        <f>D12*VLOOKUP(K12,AK24:AL27,2,FALSE)*J23</f>
        <v>0</v>
      </c>
      <c r="AO57" s="190">
        <f>D12*VLOOKUP(K12,AK24:AL27,2,FALSE)*N23</f>
        <v>0</v>
      </c>
      <c r="AP57" s="5"/>
      <c r="AQ57" s="20"/>
      <c r="AR57" s="179" t="s">
        <v>41</v>
      </c>
      <c r="AS57" s="180">
        <f t="shared" si="6"/>
      </c>
      <c r="AT57" s="179">
        <f t="shared" si="6"/>
      </c>
      <c r="AU57" s="181">
        <f t="shared" si="6"/>
      </c>
      <c r="AX57" s="40"/>
    </row>
    <row r="58" ht="20.25" customHeight="1" spans="3:50" x14ac:dyDescent="0.25">
      <c r="C58" s="213">
        <f>IF(AK12="","",IF(AK12=151,Resumen!AT13,IF(AK12=185,Resumen!AT19,"")))</f>
      </c>
      <c r="D58" s="214"/>
      <c r="E58" s="214"/>
      <c r="F58" s="214"/>
      <c r="G58" s="214"/>
      <c r="H58" s="214"/>
      <c r="I58" s="214"/>
      <c r="J58" s="214"/>
      <c r="K58" s="214"/>
      <c r="L58" s="214"/>
      <c r="M58" s="214"/>
      <c r="N58" s="214"/>
      <c r="O58" s="214"/>
      <c r="P58" s="214"/>
      <c r="Q58" s="214"/>
      <c r="R58" s="214"/>
      <c r="S58" s="214"/>
      <c r="T58" s="214"/>
      <c r="U58" s="214"/>
      <c r="V58" s="214"/>
      <c r="W58" s="214"/>
      <c r="X58" s="214"/>
      <c r="Y58" s="214"/>
      <c r="Z58" s="214"/>
      <c r="AA58" s="214"/>
      <c r="AB58" s="214"/>
      <c r="AC58" s="214"/>
      <c r="AD58" s="214"/>
      <c r="AE58" s="214"/>
      <c r="AF58" s="214"/>
      <c r="AG58" s="215"/>
      <c r="AJ58" s="5"/>
      <c r="AK58" s="5"/>
      <c r="AL58" s="5"/>
      <c r="AM58" s="216"/>
      <c r="AN58" s="190"/>
      <c r="AO58" s="216"/>
      <c r="AP58" s="5"/>
      <c r="AQ58" s="20"/>
      <c r="AR58" s="217"/>
      <c r="AS58" s="109"/>
      <c r="AT58" s="107"/>
      <c r="AU58" s="218"/>
      <c r="AX58" s="40"/>
    </row>
    <row r="59" spans="3:50" x14ac:dyDescent="0.25">
      <c r="C59" s="219"/>
      <c r="D59" s="220"/>
      <c r="E59" s="220"/>
      <c r="F59" s="220"/>
      <c r="G59" s="220"/>
      <c r="H59" s="220"/>
      <c r="I59" s="220"/>
      <c r="J59" s="220"/>
      <c r="K59" s="220"/>
      <c r="L59" s="220"/>
      <c r="M59" s="220"/>
      <c r="N59" s="220"/>
      <c r="O59" s="220"/>
      <c r="P59" s="220"/>
      <c r="Q59" s="220"/>
      <c r="R59" s="220"/>
      <c r="S59" s="220"/>
      <c r="T59" s="220"/>
      <c r="U59" s="220"/>
      <c r="V59" s="220"/>
      <c r="W59" s="220"/>
      <c r="X59" s="220"/>
      <c r="Y59" s="220"/>
      <c r="Z59" s="220"/>
      <c r="AA59" s="220"/>
      <c r="AB59" s="220"/>
      <c r="AC59" s="220"/>
      <c r="AD59" s="220"/>
      <c r="AE59" s="220"/>
      <c r="AF59" s="220"/>
      <c r="AG59" s="221"/>
      <c r="AH59" s="3"/>
      <c r="AJ59" s="5"/>
      <c r="AK59" s="5"/>
      <c r="AL59" s="5" t="s">
        <v>44</v>
      </c>
      <c r="AM59" s="216">
        <f>D12*VLOOKUP(K12,AK24:AL27,2,FALSE)*F25</f>
        <v>0</v>
      </c>
      <c r="AN59" s="216" t="s">
        <v>45</v>
      </c>
      <c r="AO59" s="216">
        <f>D12*VLOOKUP(K12,AK24:AL27,2,FALSE)*N25</f>
        <v>0</v>
      </c>
      <c r="AP59" s="5"/>
      <c r="AQ59" s="20"/>
      <c r="AR59" s="179" t="s">
        <v>44</v>
      </c>
      <c r="AS59" s="180">
        <f>IF(OR(AM59=0,AM59&gt;=12000),"","El monto mínimo para cada fondo debe de ser de 12,000 pesos anuales")</f>
      </c>
      <c r="AT59" s="179" t="s">
        <v>45</v>
      </c>
      <c r="AU59" s="181">
        <f>IF(OR(AO59=0,AO59&gt;=12000),"","El monto mínimo para cada fondo debe de ser de 12,000 pesos anuales")</f>
      </c>
      <c r="AX59" s="40"/>
    </row>
    <row r="60" ht="23.25" customHeight="1" spans="3:50" x14ac:dyDescent="0.25">
      <c r="C60" s="222"/>
      <c r="D60" s="223"/>
      <c r="E60" s="223"/>
      <c r="F60" s="223"/>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c r="AD60" s="223"/>
      <c r="AE60" s="223"/>
      <c r="AF60" s="223"/>
      <c r="AG60" s="224"/>
      <c r="AH60" s="3"/>
      <c r="AJ60" s="5"/>
      <c r="AK60" s="225"/>
      <c r="AL60" s="5" t="s">
        <v>49</v>
      </c>
      <c r="AM60" s="216">
        <f>D12*VLOOKUP(K12,AK24:AL27,2,FALSE)*F26</f>
        <v>0</v>
      </c>
      <c r="AN60" s="216" t="s">
        <v>50</v>
      </c>
      <c r="AO60" s="216">
        <f>D12*VLOOKUP(K12,AK24:AL27,2,FALSE)*N26</f>
        <v>0</v>
      </c>
      <c r="AP60" s="5"/>
      <c r="AQ60" s="20"/>
      <c r="AR60" s="179" t="s">
        <v>49</v>
      </c>
      <c r="AS60" s="180">
        <f>IF(OR(AM60=0,AM60&gt;=12000),"","El monto mínimo para cada fondo debe de ser de 12,000 pesos anuales")</f>
      </c>
      <c r="AT60" s="179" t="s">
        <v>50</v>
      </c>
      <c r="AU60" s="181">
        <f>IF(OR(AO60=0,AO60&gt;=12000),"","El monto mínimo para cada fondo debe de ser de 12,000 pesos anuales")</f>
      </c>
      <c r="AX60" s="40"/>
    </row>
    <row r="61" ht="97.5" customHeight="1" spans="3:50" x14ac:dyDescent="0.25">
      <c r="C61" s="226"/>
      <c r="D61" s="227" t="str">
        <f>+IF(AK12="","",IF(AK12=151,Resumen!AI13,IF(AK12=185,Resumen!AI19,Resumen!AI25)))</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exento de impuestos.</v>
      </c>
      <c r="E61" s="228"/>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9"/>
      <c r="AG61" s="230"/>
      <c r="AH61" s="3"/>
      <c r="AJ61" s="5"/>
      <c r="AK61" s="5"/>
      <c r="AL61" s="231" t="s">
        <v>52</v>
      </c>
      <c r="AM61" s="216">
        <f>D12*VLOOKUP(K12,AK24:AL27,2,FALSE)*F27</f>
        <v>0</v>
      </c>
      <c r="AN61" s="216" t="s">
        <v>53</v>
      </c>
      <c r="AO61" s="216">
        <f>D12*VLOOKUP(K12,AK24:AL27,2,FALSE)*N27</f>
        <v>0</v>
      </c>
      <c r="AP61" s="5"/>
      <c r="AQ61" s="20"/>
      <c r="AR61" s="232" t="s">
        <v>52</v>
      </c>
      <c r="AS61" s="180">
        <f>IF(OR(AM61=0,AM61&gt;=12000),"","El monto mínimo para cada fondo debe de ser de 12,000 pesos anuales")</f>
      </c>
      <c r="AT61" s="179" t="s">
        <v>53</v>
      </c>
      <c r="AU61" s="181">
        <f>IF(OR(AO61=0,AO61&gt;=12000),"","El monto mínimo para cada fondo debe de ser de 12,000 pesos anuales")</f>
      </c>
      <c r="AX61" s="40"/>
    </row>
    <row r="62" ht="4.5" customHeight="1" spans="3:50" x14ac:dyDescent="0.25">
      <c r="C62" s="233"/>
      <c r="D62" s="234"/>
      <c r="E62" s="234"/>
      <c r="F62" s="234"/>
      <c r="G62" s="234"/>
      <c r="H62" s="234"/>
      <c r="I62" s="234"/>
      <c r="J62" s="234"/>
      <c r="K62" s="234"/>
      <c r="L62" s="234"/>
      <c r="M62" s="234"/>
      <c r="N62" s="234"/>
      <c r="O62" s="234"/>
      <c r="P62" s="234"/>
      <c r="Q62" s="234"/>
      <c r="R62" s="234"/>
      <c r="S62" s="234"/>
      <c r="T62" s="234"/>
      <c r="U62" s="234"/>
      <c r="V62" s="234"/>
      <c r="W62" s="234"/>
      <c r="X62" s="234"/>
      <c r="Y62" s="234"/>
      <c r="Z62" s="234"/>
      <c r="AA62" s="234"/>
      <c r="AB62" s="234"/>
      <c r="AC62" s="234"/>
      <c r="AD62" s="234"/>
      <c r="AE62" s="234"/>
      <c r="AF62" s="234"/>
      <c r="AG62" s="235"/>
      <c r="AH62" s="3"/>
      <c r="AJ62" s="5"/>
      <c r="AK62" s="5"/>
      <c r="AL62" s="5"/>
      <c r="AN62" s="5"/>
      <c r="AO62" s="5"/>
      <c r="AP62" s="5"/>
      <c r="AQ62" s="20"/>
      <c r="AR62" s="20"/>
      <c r="AS62" s="20"/>
      <c r="AT62" s="20"/>
      <c r="AU62" s="29"/>
      <c r="AV62" s="5">
        <f t="shared" si="2"/>
        <v>1</v>
      </c>
      <c r="AX62" s="40"/>
    </row>
    <row r="63" spans="3:50" x14ac:dyDescent="0.25">
      <c r="C63" s="236"/>
      <c r="D63" s="237" t="str">
        <f>+IF(AK12=" "," ",IF(AK12=151,Resumen!AO13,IF(AK12=185,Resumen!AO19,Resumen!AO25)))</f>
        <v>La presente ilustración se ofrece únicamente a modo de guía y no debe ser considerada como un contrato desde el punto de vista legal. Para mayores detalles vea el folleto del cliente y las Condiciones de la Póliza. La presente ilustración se ofrece únicamente a modo de guía y no debe ser considerada como un contrato desde el punto de vista legal. Para mayores detalles vea el folleto del cliente y las Condiciones de la Póliza.</v>
      </c>
      <c r="E63" s="237"/>
      <c r="F63" s="237"/>
      <c r="G63" s="237"/>
      <c r="H63" s="237"/>
      <c r="I63" s="237"/>
      <c r="J63" s="237"/>
      <c r="K63" s="237"/>
      <c r="L63" s="237"/>
      <c r="M63" s="237"/>
      <c r="N63" s="237"/>
      <c r="O63" s="237"/>
      <c r="P63" s="237"/>
      <c r="Q63" s="237"/>
      <c r="R63" s="237"/>
      <c r="S63" s="237"/>
      <c r="T63" s="237"/>
      <c r="U63" s="237"/>
      <c r="V63" s="237"/>
      <c r="W63" s="237"/>
      <c r="X63" s="237"/>
      <c r="Y63" s="237"/>
      <c r="Z63" s="237"/>
      <c r="AA63" s="237"/>
      <c r="AB63" s="237"/>
      <c r="AC63" s="237"/>
      <c r="AD63" s="237"/>
      <c r="AE63" s="237"/>
      <c r="AF63" s="237"/>
      <c r="AG63" s="238"/>
      <c r="AH63" s="3"/>
      <c r="AJ63" s="5"/>
      <c r="AK63" s="5"/>
      <c r="AL63" s="5"/>
      <c r="AN63" s="5"/>
      <c r="AO63" s="5"/>
      <c r="AP63" s="5" t="s">
        <v>66</v>
      </c>
      <c r="AQ63" s="20"/>
      <c r="AR63" s="20"/>
      <c r="AS63" s="20"/>
      <c r="AT63" s="20"/>
      <c r="AU63" s="29"/>
      <c r="AV63" s="5">
        <f t="shared" si="2"/>
        <v>2</v>
      </c>
      <c r="AX63" s="40"/>
    </row>
    <row r="64" ht="33.75" customHeight="1" spans="1:245" s="110" customFormat="1" x14ac:dyDescent="0.25">
      <c r="A64" s="178"/>
      <c r="B64" s="2"/>
      <c r="C64" s="236"/>
      <c r="D64" s="237"/>
      <c r="E64" s="237"/>
      <c r="F64" s="237"/>
      <c r="G64" s="237"/>
      <c r="H64" s="237"/>
      <c r="I64" s="237"/>
      <c r="J64" s="237"/>
      <c r="K64" s="237"/>
      <c r="L64" s="237"/>
      <c r="M64" s="237"/>
      <c r="N64" s="237"/>
      <c r="O64" s="237"/>
      <c r="P64" s="237"/>
      <c r="Q64" s="237"/>
      <c r="R64" s="237"/>
      <c r="S64" s="237"/>
      <c r="T64" s="237"/>
      <c r="U64" s="237"/>
      <c r="V64" s="237"/>
      <c r="W64" s="237"/>
      <c r="X64" s="237"/>
      <c r="Y64" s="237"/>
      <c r="Z64" s="237"/>
      <c r="AA64" s="237"/>
      <c r="AB64" s="237"/>
      <c r="AC64" s="237"/>
      <c r="AD64" s="237"/>
      <c r="AE64" s="237"/>
      <c r="AF64" s="237"/>
      <c r="AG64" s="238"/>
      <c r="AH64" s="3"/>
      <c r="AI64" s="3"/>
      <c r="AJ64" s="5"/>
      <c r="AK64" s="5"/>
      <c r="AL64" s="5"/>
      <c r="AM64" s="4"/>
      <c r="AN64" s="5"/>
      <c r="AO64" s="5"/>
      <c r="AP64" s="5">
        <f>IFERROR(VLOOKUP(AP63,AS55:AS61,1,FALSE),IFERROR(VLOOKUP(AP63,AT55:AT57,1,FALSE),IFERROR(VLOOKUP(AP63,AU55:AU57,1,FALSE),IFERROR(VLOOKUP(AP63,AU59:AU61,1,FALSE),0))))</f>
        <v>0</v>
      </c>
      <c r="AQ64" s="20">
        <f>IF(AP64=0,"","El monto mínimo para cada fondo debe de ser de 12,000 pesos anuales.")</f>
      </c>
      <c r="AR64" s="20"/>
      <c r="AS64" s="20"/>
      <c r="AT64" s="20"/>
      <c r="AU64" s="29"/>
      <c r="AV64" s="5">
        <f t="shared" si="2"/>
        <v>3</v>
      </c>
      <c r="AW64" s="5"/>
      <c r="AX64" s="40"/>
      <c r="AY64" s="5"/>
      <c r="AZ64" s="5"/>
      <c r="BA64" s="5"/>
      <c r="BB64" s="5"/>
      <c r="BC64" s="5"/>
      <c r="BD64" s="5"/>
      <c r="BE64" s="5"/>
      <c r="BF64" s="5"/>
      <c r="BG64" s="5"/>
      <c r="BH64" s="5"/>
      <c r="BI64" s="5"/>
      <c r="BJ64" s="5"/>
      <c r="BK64" s="5"/>
      <c r="BL64" s="5"/>
      <c r="BM64" s="5"/>
      <c r="BN64" s="5"/>
      <c r="BO64" s="5"/>
      <c r="BP64" s="5"/>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6"/>
      <c r="HZ64" s="6"/>
      <c r="IA64" s="6"/>
      <c r="IB64" s="6"/>
      <c r="IC64" s="6"/>
      <c r="ID64" s="6"/>
      <c r="IE64" s="6"/>
      <c r="IF64" s="6"/>
      <c r="IG64" s="6"/>
      <c r="IH64" s="6"/>
      <c r="II64" s="6"/>
      <c r="IJ64" s="6"/>
      <c r="IK64" s="6"/>
    </row>
    <row r="65" ht="6" customHeight="1" spans="3:245" x14ac:dyDescent="0.25">
      <c r="C65" s="239"/>
      <c r="D65" s="240"/>
      <c r="E65" s="240"/>
      <c r="F65" s="240"/>
      <c r="G65" s="240"/>
      <c r="H65" s="240"/>
      <c r="I65" s="240"/>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1"/>
      <c r="AH65" s="3"/>
      <c r="AJ65" s="93"/>
      <c r="AK65" s="93"/>
      <c r="AL65" s="93"/>
      <c r="AM65" s="109"/>
      <c r="AN65" s="93"/>
      <c r="AO65" s="93"/>
      <c r="AP65" s="93"/>
      <c r="AQ65" s="107"/>
      <c r="AR65" s="107"/>
      <c r="AS65" s="107"/>
      <c r="AT65" s="107"/>
      <c r="AU65" s="108"/>
      <c r="AV65" s="5">
        <f t="shared" si="2"/>
        <v>4</v>
      </c>
      <c r="AW65" s="93"/>
      <c r="AX65" s="177"/>
      <c r="AY65" s="93"/>
      <c r="AZ65" s="93"/>
      <c r="BA65" s="93"/>
      <c r="BB65" s="93"/>
      <c r="BC65" s="93"/>
      <c r="BD65" s="93"/>
      <c r="BE65" s="93"/>
      <c r="BF65" s="93"/>
      <c r="BG65" s="93"/>
      <c r="BH65" s="93"/>
      <c r="BI65" s="93"/>
      <c r="BJ65" s="93"/>
      <c r="BK65" s="93"/>
      <c r="BL65" s="93"/>
      <c r="BM65" s="93"/>
      <c r="BN65" s="93"/>
      <c r="BO65" s="93"/>
      <c r="BP65" s="93"/>
      <c r="BQ65" s="109"/>
      <c r="BR65" s="109"/>
      <c r="BS65" s="109"/>
      <c r="BT65" s="109"/>
      <c r="BU65" s="109"/>
      <c r="BV65" s="109"/>
      <c r="BW65" s="109"/>
      <c r="BX65" s="109"/>
      <c r="BY65" s="109"/>
      <c r="BZ65" s="109"/>
      <c r="CA65" s="109"/>
      <c r="CB65" s="109"/>
      <c r="CC65" s="109"/>
      <c r="CD65" s="109"/>
      <c r="CE65" s="109"/>
      <c r="CF65" s="109"/>
      <c r="CG65" s="109"/>
      <c r="CH65" s="109"/>
      <c r="CI65" s="109"/>
      <c r="CJ65" s="109"/>
      <c r="CK65" s="109"/>
      <c r="CL65" s="109"/>
      <c r="CM65" s="109"/>
      <c r="CN65" s="109"/>
      <c r="CO65" s="109"/>
      <c r="CP65" s="109"/>
      <c r="CQ65" s="109"/>
      <c r="CR65" s="109"/>
      <c r="CS65" s="109"/>
      <c r="CT65" s="109"/>
      <c r="CU65" s="109"/>
      <c r="CV65" s="109"/>
      <c r="CW65" s="109"/>
      <c r="CX65" s="109"/>
      <c r="CY65" s="109"/>
      <c r="CZ65" s="109"/>
      <c r="DA65" s="109"/>
      <c r="DB65" s="109"/>
      <c r="DC65" s="109"/>
      <c r="DD65" s="109"/>
      <c r="DE65" s="109"/>
      <c r="DF65" s="109"/>
      <c r="DG65" s="109"/>
      <c r="DH65" s="109"/>
      <c r="DI65" s="109"/>
      <c r="DJ65" s="109"/>
      <c r="DK65" s="109"/>
      <c r="DL65" s="109"/>
      <c r="DM65" s="109"/>
      <c r="DN65" s="109"/>
      <c r="DO65" s="109"/>
      <c r="DP65" s="109"/>
      <c r="DQ65" s="109"/>
      <c r="DR65" s="109"/>
      <c r="DS65" s="109"/>
      <c r="DT65" s="109"/>
      <c r="DU65" s="109"/>
      <c r="DV65" s="109"/>
      <c r="DW65" s="109"/>
      <c r="DX65" s="109"/>
      <c r="DY65" s="109"/>
      <c r="DZ65" s="109"/>
      <c r="EA65" s="109"/>
      <c r="EB65" s="109"/>
      <c r="EC65" s="109"/>
      <c r="ED65" s="109"/>
      <c r="EE65" s="109"/>
      <c r="EF65" s="109"/>
      <c r="EG65" s="109"/>
      <c r="EH65" s="109"/>
      <c r="EI65" s="109"/>
      <c r="EJ65" s="109"/>
      <c r="EK65" s="109"/>
      <c r="EL65" s="109"/>
      <c r="EM65" s="109"/>
      <c r="EN65" s="109"/>
      <c r="EO65" s="109"/>
      <c r="EP65" s="109"/>
      <c r="EQ65" s="109"/>
      <c r="ER65" s="109"/>
      <c r="ES65" s="109"/>
      <c r="ET65" s="109"/>
      <c r="EU65" s="109"/>
      <c r="EV65" s="109"/>
      <c r="EW65" s="109"/>
      <c r="EX65" s="109"/>
      <c r="EY65" s="109"/>
      <c r="EZ65" s="109"/>
      <c r="FA65" s="109"/>
      <c r="FB65" s="109"/>
      <c r="FC65" s="109"/>
      <c r="FD65" s="109"/>
      <c r="FE65" s="109"/>
      <c r="FF65" s="109"/>
      <c r="FG65" s="109"/>
      <c r="FH65" s="109"/>
      <c r="FI65" s="109"/>
      <c r="FJ65" s="109"/>
      <c r="FK65" s="109"/>
      <c r="FL65" s="109"/>
      <c r="FM65" s="109"/>
      <c r="FN65" s="109"/>
      <c r="FO65" s="109"/>
      <c r="FP65" s="109"/>
      <c r="FQ65" s="109"/>
      <c r="FR65" s="109"/>
      <c r="FS65" s="109"/>
      <c r="FT65" s="109"/>
      <c r="FU65" s="109"/>
      <c r="FV65" s="109"/>
      <c r="FW65" s="109"/>
      <c r="FX65" s="109"/>
      <c r="FY65" s="109"/>
      <c r="FZ65" s="109"/>
      <c r="GA65" s="109"/>
      <c r="GB65" s="109"/>
      <c r="GC65" s="109"/>
      <c r="GD65" s="109"/>
      <c r="GE65" s="109"/>
      <c r="GF65" s="109"/>
      <c r="GG65" s="109"/>
      <c r="GH65" s="109"/>
      <c r="GI65" s="109"/>
      <c r="GJ65" s="109"/>
      <c r="GK65" s="109"/>
      <c r="GL65" s="109"/>
      <c r="GM65" s="109"/>
      <c r="GN65" s="109"/>
      <c r="GO65" s="109"/>
      <c r="GP65" s="109"/>
      <c r="GQ65" s="109"/>
      <c r="GR65" s="109"/>
      <c r="GS65" s="109"/>
      <c r="GT65" s="109"/>
      <c r="GU65" s="109"/>
      <c r="GV65" s="109"/>
      <c r="GW65" s="109"/>
      <c r="GX65" s="109"/>
      <c r="GY65" s="109"/>
      <c r="GZ65" s="109"/>
      <c r="HA65" s="109"/>
      <c r="HB65" s="109"/>
      <c r="HC65" s="109"/>
      <c r="HD65" s="109"/>
      <c r="HE65" s="109"/>
      <c r="HF65" s="109"/>
      <c r="HG65" s="109"/>
      <c r="HH65" s="109"/>
      <c r="HI65" s="109"/>
      <c r="HJ65" s="109"/>
      <c r="HK65" s="109"/>
      <c r="HL65" s="109"/>
      <c r="HM65" s="109"/>
      <c r="HN65" s="109"/>
      <c r="HO65" s="109"/>
      <c r="HP65" s="109"/>
      <c r="HQ65" s="109"/>
      <c r="HR65" s="109"/>
      <c r="HS65" s="109"/>
      <c r="HT65" s="109"/>
      <c r="HU65" s="109"/>
      <c r="HV65" s="109"/>
      <c r="HW65" s="109"/>
      <c r="HX65" s="109"/>
      <c r="HY65" s="110"/>
      <c r="HZ65" s="110"/>
      <c r="IA65" s="110"/>
      <c r="IB65" s="110"/>
      <c r="IC65" s="110"/>
      <c r="ID65" s="110"/>
      <c r="IE65" s="110"/>
      <c r="IF65" s="110"/>
      <c r="IG65" s="110"/>
      <c r="IH65" s="110"/>
      <c r="II65" s="110"/>
      <c r="IJ65" s="110"/>
      <c r="IK65" s="110"/>
    </row>
    <row r="66" ht="16.5" customHeight="1" spans="1:245" s="110" customFormat="1" x14ac:dyDescent="0.25">
      <c r="A66" s="178"/>
      <c r="B66" s="2"/>
      <c r="C66" s="2"/>
      <c r="D66" s="2"/>
      <c r="E66" s="242"/>
      <c r="F66" s="243"/>
      <c r="G66" s="243"/>
      <c r="H66" s="243"/>
      <c r="I66" s="243"/>
      <c r="J66" s="244"/>
      <c r="K66" s="244"/>
      <c r="L66" s="244"/>
      <c r="M66" s="244"/>
      <c r="N66" s="244"/>
      <c r="O66" s="244"/>
      <c r="P66" s="244"/>
      <c r="Q66" s="244"/>
      <c r="R66" s="244"/>
      <c r="S66" s="244"/>
      <c r="T66" s="244"/>
      <c r="U66" s="244"/>
      <c r="V66" s="244"/>
      <c r="W66" s="244"/>
      <c r="X66" s="244"/>
      <c r="Y66" s="244"/>
      <c r="Z66" s="244"/>
      <c r="AA66" s="244"/>
      <c r="AB66" s="244"/>
      <c r="AC66" s="244"/>
      <c r="AD66" s="244"/>
      <c r="AE66" s="244"/>
      <c r="AF66" s="244"/>
      <c r="AG66" s="245"/>
      <c r="AH66" s="245"/>
      <c r="AI66" s="3"/>
      <c r="AJ66" s="5"/>
      <c r="AK66" s="5"/>
      <c r="AL66" s="5"/>
      <c r="AM66" s="4"/>
      <c r="AN66" s="5"/>
      <c r="AO66" s="5"/>
      <c r="AP66" s="5"/>
      <c r="AQ66" s="20"/>
      <c r="AR66" s="20"/>
      <c r="AS66" s="20"/>
      <c r="AT66" s="20"/>
      <c r="AU66" s="29"/>
      <c r="AV66" s="5">
        <f t="shared" si="2"/>
        <v>5</v>
      </c>
      <c r="AW66" s="5"/>
      <c r="AX66" s="40"/>
      <c r="AY66" s="5"/>
      <c r="AZ66" s="5"/>
      <c r="BA66" s="5"/>
      <c r="BB66" s="5"/>
      <c r="BC66" s="5"/>
      <c r="BD66" s="5"/>
      <c r="BE66" s="5"/>
      <c r="BF66" s="5"/>
      <c r="BG66" s="5"/>
      <c r="BH66" s="5"/>
      <c r="BI66" s="5"/>
      <c r="BJ66" s="5"/>
      <c r="BK66" s="5"/>
      <c r="BL66" s="5"/>
      <c r="BM66" s="5"/>
      <c r="BN66" s="5"/>
      <c r="BO66" s="5"/>
      <c r="BP66" s="5"/>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6"/>
      <c r="HZ66" s="6"/>
      <c r="IA66" s="6"/>
      <c r="IB66" s="6"/>
      <c r="IC66" s="6"/>
      <c r="ID66" s="6"/>
      <c r="IE66" s="6"/>
      <c r="IF66" s="6"/>
      <c r="IG66" s="6"/>
      <c r="IH66" s="6"/>
      <c r="II66" s="6"/>
      <c r="IJ66" s="6"/>
      <c r="IK66" s="6"/>
    </row>
    <row r="67" ht="16.5" customHeight="1" hidden="1" spans="3:50" x14ac:dyDescent="0.25">
      <c r="C67" s="2"/>
      <c r="D67" s="2"/>
      <c r="E67" s="242"/>
      <c r="F67" s="243"/>
      <c r="G67" s="243"/>
      <c r="H67" s="243"/>
      <c r="I67" s="243"/>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245"/>
      <c r="AH67" s="245"/>
      <c r="AJ67" s="5"/>
      <c r="AK67" s="5"/>
      <c r="AL67" s="5"/>
      <c r="AN67" s="5"/>
      <c r="AO67" s="5"/>
      <c r="AP67" s="5"/>
      <c r="AQ67" s="20"/>
      <c r="AR67" s="20"/>
      <c r="AS67" s="20"/>
      <c r="AT67" s="20"/>
      <c r="AU67" s="29"/>
      <c r="AV67" s="5">
        <f t="shared" si="2"/>
        <v>6</v>
      </c>
      <c r="AX67" s="40"/>
    </row>
    <row r="68" ht="16.5" customHeight="1" hidden="1" spans="3:50" x14ac:dyDescent="0.25">
      <c r="C68" s="2"/>
      <c r="D68" s="242"/>
      <c r="E68" s="243"/>
      <c r="F68" s="243"/>
      <c r="G68" s="243"/>
      <c r="H68" s="243"/>
      <c r="I68" s="244"/>
      <c r="J68" s="244"/>
      <c r="K68" s="244"/>
      <c r="L68" s="244"/>
      <c r="M68" s="244"/>
      <c r="N68" s="244"/>
      <c r="O68" s="244"/>
      <c r="P68" s="244"/>
      <c r="Q68" s="244"/>
      <c r="R68" s="244"/>
      <c r="S68" s="244"/>
      <c r="T68" s="244"/>
      <c r="U68" s="244"/>
      <c r="V68" s="244"/>
      <c r="W68" s="244"/>
      <c r="X68" s="244"/>
      <c r="Y68" s="244"/>
      <c r="Z68" s="244"/>
      <c r="AA68" s="244"/>
      <c r="AB68" s="244"/>
      <c r="AC68" s="244"/>
      <c r="AD68" s="244"/>
      <c r="AE68" s="244"/>
      <c r="AF68" s="245"/>
      <c r="AG68" s="245"/>
      <c r="AH68" s="3"/>
      <c r="AJ68" s="5"/>
      <c r="AK68" s="5"/>
      <c r="AL68" s="5"/>
      <c r="AN68" s="5"/>
      <c r="AO68" s="5"/>
      <c r="AP68" s="5"/>
      <c r="AQ68" s="20"/>
      <c r="AR68" s="20"/>
      <c r="AS68" s="20"/>
      <c r="AT68" s="20"/>
      <c r="AU68" s="29"/>
      <c r="AV68" s="5">
        <f t="shared" si="2"/>
        <v>7</v>
      </c>
      <c r="AX68" s="40"/>
    </row>
    <row r="69" ht="16.5" customHeight="1" hidden="1" spans="3:50" x14ac:dyDescent="0.25">
      <c r="C69" s="2"/>
      <c r="D69" s="242"/>
      <c r="E69" s="243"/>
      <c r="F69" s="243"/>
      <c r="G69" s="243"/>
      <c r="H69" s="243"/>
      <c r="I69" s="243"/>
      <c r="J69" s="243"/>
      <c r="K69" s="243"/>
      <c r="L69" s="243"/>
      <c r="M69" s="243"/>
      <c r="N69" s="243"/>
      <c r="O69" s="243"/>
      <c r="P69" s="243"/>
      <c r="Q69" s="243"/>
      <c r="R69" s="243"/>
      <c r="S69" s="243"/>
      <c r="T69" s="243"/>
      <c r="U69" s="243"/>
      <c r="V69" s="243"/>
      <c r="W69" s="243"/>
      <c r="X69" s="243"/>
      <c r="Y69" s="243"/>
      <c r="Z69" s="243"/>
      <c r="AA69" s="243"/>
      <c r="AB69" s="243"/>
      <c r="AC69" s="243"/>
      <c r="AD69" s="243"/>
      <c r="AE69" s="243"/>
      <c r="AF69" s="243"/>
      <c r="AG69" s="243"/>
      <c r="AH69" s="3"/>
      <c r="AJ69" s="246"/>
      <c r="AK69" s="247"/>
      <c r="AL69" s="247"/>
      <c r="AM69" s="247"/>
      <c r="AN69" s="248"/>
      <c r="AO69" s="5"/>
      <c r="AP69" s="5"/>
      <c r="AQ69" s="20"/>
      <c r="AR69" s="20"/>
      <c r="AS69" s="20"/>
      <c r="AT69" s="20"/>
      <c r="AU69" s="29"/>
      <c r="AV69" s="5">
        <f t="shared" ref="AV69:AV79" si="7">+AV68+1</f>
        <v>8</v>
      </c>
      <c r="AX69" s="40"/>
    </row>
    <row r="70" hidden="1" spans="3:50" x14ac:dyDescent="0.25">
      <c r="C70" s="2"/>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49"/>
      <c r="AB70" s="249"/>
      <c r="AC70" s="249"/>
      <c r="AD70" s="249"/>
      <c r="AE70" s="249"/>
      <c r="AF70" s="249"/>
      <c r="AG70" s="249"/>
      <c r="AH70" s="3"/>
      <c r="AJ70" s="83"/>
      <c r="AK70" s="5"/>
      <c r="AL70" s="5"/>
      <c r="AN70" s="5"/>
      <c r="AO70" s="5"/>
      <c r="AP70" s="5"/>
      <c r="AQ70" s="20"/>
      <c r="AR70" s="20"/>
      <c r="AS70" s="20"/>
      <c r="AT70" s="20"/>
      <c r="AU70" s="29"/>
      <c r="AV70" s="5">
        <f t="shared" si="7"/>
        <v>9</v>
      </c>
      <c r="AX70" s="40"/>
    </row>
    <row r="71" hidden="1" spans="3:50" x14ac:dyDescent="0.25">
      <c r="C71" s="2"/>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49"/>
      <c r="AB71" s="249"/>
      <c r="AC71" s="249"/>
      <c r="AD71" s="249"/>
      <c r="AE71" s="249"/>
      <c r="AF71" s="249"/>
      <c r="AG71" s="245"/>
      <c r="AH71" s="3"/>
      <c r="AJ71" s="5"/>
      <c r="AK71" s="5"/>
      <c r="AL71" s="5"/>
      <c r="AN71" s="5"/>
      <c r="AO71" s="5"/>
      <c r="AP71" s="5"/>
      <c r="AQ71" s="20"/>
      <c r="AR71" s="20"/>
      <c r="AS71" s="20"/>
      <c r="AT71" s="20"/>
      <c r="AU71" s="29"/>
      <c r="AV71" s="5">
        <f t="shared" si="7"/>
        <v>10</v>
      </c>
      <c r="AX71" s="40"/>
    </row>
    <row r="72" hidden="1" spans="3:50" x14ac:dyDescent="0.25">
      <c r="C72" s="2"/>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49"/>
      <c r="AB72" s="249"/>
      <c r="AC72" s="249"/>
      <c r="AD72" s="249"/>
      <c r="AE72" s="249"/>
      <c r="AF72" s="249"/>
      <c r="AG72" s="245"/>
      <c r="AH72" s="3"/>
      <c r="AJ72" s="5"/>
      <c r="AK72" s="5"/>
      <c r="AL72" s="5"/>
      <c r="AN72" s="5"/>
      <c r="AO72" s="5"/>
      <c r="AP72" s="5"/>
      <c r="AQ72" s="20"/>
      <c r="AR72" s="20"/>
      <c r="AS72" s="20"/>
      <c r="AT72" s="20"/>
      <c r="AU72" s="29"/>
      <c r="AV72" s="5">
        <f t="shared" si="7"/>
        <v>11</v>
      </c>
      <c r="AX72" s="40"/>
    </row>
    <row r="73" hidden="1" spans="3:50" x14ac:dyDescent="0.25">
      <c r="C73" s="2"/>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49"/>
      <c r="AB73" s="249"/>
      <c r="AC73" s="249"/>
      <c r="AD73" s="249"/>
      <c r="AE73" s="249"/>
      <c r="AF73" s="245"/>
      <c r="AG73" s="245"/>
      <c r="AH73" s="3"/>
      <c r="AJ73" s="20"/>
      <c r="AK73" s="5"/>
      <c r="AL73" s="5"/>
      <c r="AN73" s="5"/>
      <c r="AO73" s="5"/>
      <c r="AP73" s="5"/>
      <c r="AQ73" s="20"/>
      <c r="AR73" s="20"/>
      <c r="AS73" s="20"/>
      <c r="AT73" s="20"/>
      <c r="AU73" s="29"/>
      <c r="AV73" s="5">
        <f t="shared" si="7"/>
        <v>12</v>
      </c>
      <c r="AX73" s="40"/>
    </row>
    <row r="74" hidden="1" spans="3:245" x14ac:dyDescent="0.25">
      <c r="C74" s="3"/>
      <c r="D74" s="250"/>
      <c r="E74" s="250"/>
      <c r="F74" s="250"/>
      <c r="G74" s="250"/>
      <c r="H74" s="250"/>
      <c r="I74" s="250"/>
      <c r="J74" s="250"/>
      <c r="K74" s="250"/>
      <c r="L74" s="250"/>
      <c r="M74" s="250"/>
      <c r="N74" s="250"/>
      <c r="O74" s="250"/>
      <c r="P74" s="250"/>
      <c r="Q74" s="250"/>
      <c r="R74" s="250"/>
      <c r="S74" s="250"/>
      <c r="T74" s="250"/>
      <c r="U74" s="250"/>
      <c r="V74" s="250"/>
      <c r="W74" s="250"/>
      <c r="X74" s="250"/>
      <c r="Y74" s="250"/>
      <c r="Z74" s="250"/>
      <c r="AA74" s="250"/>
      <c r="AB74" s="250"/>
      <c r="AC74" s="250"/>
      <c r="AD74" s="250"/>
      <c r="AE74" s="250"/>
      <c r="AF74" s="251"/>
      <c r="AG74" s="251"/>
      <c r="AH74" s="3"/>
      <c r="AJ74" s="5"/>
      <c r="AK74" s="5"/>
      <c r="AL74" s="5"/>
      <c r="AM74" s="4"/>
      <c r="AN74" s="5"/>
      <c r="AO74" s="5"/>
      <c r="AP74" s="5"/>
      <c r="AQ74" s="20"/>
      <c r="AR74" s="20"/>
      <c r="AS74" s="20"/>
      <c r="AT74" s="20"/>
      <c r="AU74" s="29"/>
      <c r="AV74" s="5">
        <f t="shared" si="7"/>
        <v>13</v>
      </c>
      <c r="AW74" s="5"/>
      <c r="AX74" s="40"/>
      <c r="AY74" s="5"/>
      <c r="AZ74" s="5"/>
      <c r="BA74" s="5"/>
      <c r="BB74" s="5"/>
      <c r="BC74" s="5"/>
      <c r="BD74" s="5"/>
      <c r="BE74" s="5"/>
      <c r="BF74" s="5"/>
      <c r="BG74" s="5"/>
      <c r="BH74" s="5"/>
      <c r="BI74" s="5"/>
      <c r="BJ74" s="5"/>
      <c r="BK74" s="5"/>
      <c r="BL74" s="5"/>
      <c r="BM74" s="5"/>
      <c r="BN74" s="5"/>
      <c r="BO74" s="5"/>
      <c r="BP74" s="5"/>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6"/>
      <c r="HZ74" s="6"/>
      <c r="IA74" s="6"/>
      <c r="IB74" s="6"/>
      <c r="IC74" s="6"/>
      <c r="ID74" s="6"/>
      <c r="IE74" s="6"/>
      <c r="IF74" s="6"/>
      <c r="IG74" s="6"/>
      <c r="IH74" s="6"/>
      <c r="II74" s="6"/>
      <c r="IJ74" s="6"/>
      <c r="IK74" s="6"/>
    </row>
    <row r="75" hidden="1" spans="1:232" s="6" customFormat="1" x14ac:dyDescent="0.25">
      <c r="A75" s="1"/>
      <c r="B75" s="2"/>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5"/>
      <c r="AK75" s="5"/>
      <c r="AL75" s="5"/>
      <c r="AM75" s="4"/>
      <c r="AN75" s="5"/>
      <c r="AO75" s="5"/>
      <c r="AP75" s="5"/>
      <c r="AQ75" s="20"/>
      <c r="AR75" s="20"/>
      <c r="AS75" s="20"/>
      <c r="AT75" s="20"/>
      <c r="AU75" s="29"/>
      <c r="AV75" s="5">
        <f t="shared" si="7"/>
        <v>14</v>
      </c>
      <c r="AW75" s="5"/>
      <c r="AX75" s="40"/>
      <c r="AY75" s="5"/>
      <c r="AZ75" s="5"/>
      <c r="BA75" s="5"/>
      <c r="BB75" s="5"/>
      <c r="BC75" s="5"/>
      <c r="BD75" s="5"/>
      <c r="BE75" s="5"/>
      <c r="BF75" s="5"/>
      <c r="BG75" s="5"/>
      <c r="BH75" s="5"/>
      <c r="BI75" s="5"/>
      <c r="BJ75" s="5"/>
      <c r="BK75" s="5"/>
      <c r="BL75" s="5"/>
      <c r="BM75" s="5"/>
      <c r="BN75" s="5"/>
      <c r="BO75" s="5"/>
      <c r="BP75" s="5"/>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row>
    <row r="76" hidden="1" spans="1:232" s="6" customFormat="1" x14ac:dyDescent="0.25">
      <c r="A76" s="1"/>
      <c r="B76" s="2"/>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c r="AC76" s="96"/>
      <c r="AD76" s="96"/>
      <c r="AE76" s="96"/>
      <c r="AF76" s="96"/>
      <c r="AG76" s="96"/>
      <c r="AH76" s="3"/>
      <c r="AI76" s="3"/>
      <c r="AJ76" s="5"/>
      <c r="AK76" s="5"/>
      <c r="AL76" s="5"/>
      <c r="AM76" s="5"/>
      <c r="AN76" s="5"/>
      <c r="AO76" s="5"/>
      <c r="AP76" s="5"/>
      <c r="AQ76" s="20"/>
      <c r="AR76" s="20">
        <f>1+AR42</f>
        <v>20</v>
      </c>
      <c r="AS76" s="20"/>
      <c r="AT76" s="20"/>
      <c r="AU76" s="29">
        <f>+AU42+1%</f>
        <v>0.34</v>
      </c>
      <c r="AV76" s="5">
        <f t="shared" si="7"/>
        <v>15</v>
      </c>
      <c r="AW76" s="5">
        <v>9</v>
      </c>
      <c r="AX76" s="252" t="s">
        <v>67</v>
      </c>
      <c r="AY76" s="252"/>
      <c r="AZ76" s="252"/>
      <c r="BA76" s="252"/>
      <c r="BB76" s="252"/>
      <c r="BC76" s="252"/>
      <c r="BD76" s="252"/>
      <c r="BE76" s="252"/>
      <c r="BF76" s="252"/>
      <c r="BG76" s="252"/>
      <c r="BH76" s="252"/>
      <c r="BI76" s="252"/>
      <c r="BJ76" s="252"/>
      <c r="BK76" s="252"/>
      <c r="BL76" s="252"/>
      <c r="BM76" s="252"/>
      <c r="BN76" s="252"/>
      <c r="BO76" s="252"/>
      <c r="BP76" s="5"/>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row>
    <row r="77" hidden="1" spans="1:232" s="6" customFormat="1" x14ac:dyDescent="0.25">
      <c r="A77" s="1"/>
      <c r="B77" s="2"/>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c r="AC77" s="96"/>
      <c r="AD77" s="96"/>
      <c r="AE77" s="96"/>
      <c r="AF77" s="96"/>
      <c r="AG77" s="96"/>
      <c r="AH77" s="3"/>
      <c r="AI77" s="3"/>
      <c r="AJ77" s="5"/>
      <c r="AK77" s="5"/>
      <c r="AL77" s="5"/>
      <c r="AM77" s="5"/>
      <c r="AN77" s="5"/>
      <c r="AO77" s="5"/>
      <c r="AP77" s="5"/>
      <c r="AQ77" s="20"/>
      <c r="AR77" s="20">
        <f>1+AR76</f>
        <v>21</v>
      </c>
      <c r="AS77" s="20"/>
      <c r="AT77" s="20"/>
      <c r="AU77" s="29">
        <f>+AU76+1%</f>
        <v>0.35000000000000003</v>
      </c>
      <c r="AV77" s="5">
        <f t="shared" si="7"/>
        <v>16</v>
      </c>
      <c r="AW77" s="5">
        <v>10</v>
      </c>
      <c r="AX77" s="252" t="s">
        <v>68</v>
      </c>
      <c r="AY77" s="252"/>
      <c r="AZ77" s="252"/>
      <c r="BA77" s="252"/>
      <c r="BB77" s="252"/>
      <c r="BC77" s="252"/>
      <c r="BD77" s="252"/>
      <c r="BE77" s="252"/>
      <c r="BF77" s="252"/>
      <c r="BG77" s="252"/>
      <c r="BH77" s="252"/>
      <c r="BI77" s="252"/>
      <c r="BJ77" s="252"/>
      <c r="BK77" s="252"/>
      <c r="BL77" s="252"/>
      <c r="BM77" s="252"/>
      <c r="BN77" s="252"/>
      <c r="BO77" s="252"/>
      <c r="BP77" s="5"/>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row>
    <row r="78" hidden="1" spans="1:232" s="6" customFormat="1" x14ac:dyDescent="0.25">
      <c r="A78" s="1"/>
      <c r="B78" s="2"/>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c r="AC78" s="96"/>
      <c r="AD78" s="96"/>
      <c r="AE78" s="96"/>
      <c r="AF78" s="96"/>
      <c r="AG78" s="96"/>
      <c r="AH78" s="3"/>
      <c r="AI78" s="3"/>
      <c r="AJ78" s="5"/>
      <c r="AK78" s="5"/>
      <c r="AL78" s="5"/>
      <c r="AM78" s="5"/>
      <c r="AN78" s="5"/>
      <c r="AO78" s="5"/>
      <c r="AP78" s="5"/>
      <c r="AQ78" s="20"/>
      <c r="AR78" s="20">
        <f>1+AR77</f>
        <v>22</v>
      </c>
      <c r="AS78" s="20"/>
      <c r="AT78" s="20"/>
      <c r="AU78" s="29">
        <f>+AU77+1%</f>
        <v>0.36000000000000004</v>
      </c>
      <c r="AV78" s="5">
        <f t="shared" si="7"/>
        <v>17</v>
      </c>
      <c r="AW78" s="5">
        <v>11</v>
      </c>
      <c r="AX78" s="252" t="s">
        <v>69</v>
      </c>
      <c r="AY78" s="252"/>
      <c r="AZ78" s="252"/>
      <c r="BA78" s="252"/>
      <c r="BB78" s="252"/>
      <c r="BC78" s="252"/>
      <c r="BD78" s="252"/>
      <c r="BE78" s="252"/>
      <c r="BF78" s="252"/>
      <c r="BG78" s="252"/>
      <c r="BH78" s="252"/>
      <c r="BI78" s="252"/>
      <c r="BJ78" s="252"/>
      <c r="BK78" s="252"/>
      <c r="BL78" s="252"/>
      <c r="BM78" s="252"/>
      <c r="BN78" s="252"/>
      <c r="BO78" s="252"/>
      <c r="BP78" s="5"/>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row>
    <row r="79" hidden="1" spans="1:232" s="6" customFormat="1" x14ac:dyDescent="0.25">
      <c r="A79" s="1"/>
      <c r="B79" s="2"/>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1"/>
      <c r="AI79" s="3"/>
      <c r="AJ79" s="5"/>
      <c r="AK79" s="5"/>
      <c r="AL79" s="5"/>
      <c r="AM79" s="5"/>
      <c r="AN79" s="5"/>
      <c r="AO79" s="5"/>
      <c r="AP79" s="5"/>
      <c r="AQ79" s="20"/>
      <c r="AR79" s="20">
        <f>1+AR78</f>
        <v>23</v>
      </c>
      <c r="AS79" s="20"/>
      <c r="AT79" s="20"/>
      <c r="AU79" s="29">
        <f>+AU78+1%</f>
        <v>0.37000000000000005</v>
      </c>
      <c r="AV79" s="5">
        <f t="shared" si="7"/>
        <v>18</v>
      </c>
      <c r="AW79" s="5">
        <v>12</v>
      </c>
      <c r="AX79" s="252"/>
      <c r="AY79" s="252"/>
      <c r="AZ79" s="252"/>
      <c r="BA79" s="252"/>
      <c r="BB79" s="252"/>
      <c r="BC79" s="252"/>
      <c r="BD79" s="252"/>
      <c r="BE79" s="252"/>
      <c r="BF79" s="252"/>
      <c r="BG79" s="252"/>
      <c r="BH79" s="252"/>
      <c r="BI79" s="252"/>
      <c r="BJ79" s="252"/>
      <c r="BK79" s="252"/>
      <c r="BL79" s="252"/>
      <c r="BM79" s="252"/>
      <c r="BN79" s="252"/>
      <c r="BO79" s="252"/>
      <c r="BP79" s="5"/>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row>
    <row r="80" ht="12.75" customHeight="1" hidden="1" spans="1:245" s="6" customFormat="1" x14ac:dyDescent="0.25">
      <c r="A80" s="1"/>
      <c r="B80" s="2"/>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1"/>
      <c r="AI80" s="3"/>
      <c r="AJ80" s="5"/>
      <c r="AK80" s="5"/>
      <c r="AL80" s="5"/>
      <c r="AM80" s="5"/>
      <c r="AN80" s="5"/>
      <c r="AO80" s="5"/>
      <c r="AP80" s="5"/>
      <c r="AQ80" s="20"/>
      <c r="AR80" s="20">
        <f>1+AR79</f>
        <v>24</v>
      </c>
      <c r="AS80" s="20"/>
      <c r="AT80" s="20"/>
      <c r="AU80" s="29">
        <f>+AU79+1%</f>
        <v>0.38000000000000006</v>
      </c>
      <c r="AV80" s="5">
        <f>1+AV79</f>
        <v>19</v>
      </c>
      <c r="AW80" s="5">
        <v>13</v>
      </c>
      <c r="AX80" s="252"/>
      <c r="AY80" s="252"/>
      <c r="AZ80" s="252"/>
      <c r="BA80" s="252"/>
      <c r="BB80" s="252"/>
      <c r="BC80" s="252"/>
      <c r="BD80" s="252"/>
      <c r="BE80" s="252"/>
      <c r="BF80" s="252"/>
      <c r="BG80" s="252"/>
      <c r="BH80" s="5"/>
      <c r="BI80" s="5"/>
      <c r="BJ80" s="5"/>
      <c r="BK80" s="5"/>
      <c r="BL80" s="5"/>
      <c r="BM80" s="5"/>
      <c r="BN80" s="5"/>
      <c r="BO80" s="5"/>
      <c r="BP80" s="5"/>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6"/>
      <c r="HZ80" s="6"/>
      <c r="IA80" s="6"/>
      <c r="IB80" s="6"/>
      <c r="IC80" s="6"/>
      <c r="ID80" s="6"/>
      <c r="IE80" s="6"/>
      <c r="IF80" s="6"/>
      <c r="IG80" s="6"/>
      <c r="IH80" s="6"/>
      <c r="II80" s="6"/>
      <c r="IJ80" s="6"/>
      <c r="IK80" s="6"/>
    </row>
    <row r="81" ht="12.75" customHeight="1" hidden="1" spans="1:64" x14ac:dyDescent="0.25">
      <c r="A81" s="1"/>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J81" s="253" t="s">
        <v>70</v>
      </c>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row>
    <row r="82" ht="12.75" customHeight="1" hidden="1" spans="3:64" x14ac:dyDescent="0.25">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J82" s="254" t="s">
        <v>71</v>
      </c>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row>
    <row r="83" ht="12.75" customHeight="1" hidden="1" spans="3:59" x14ac:dyDescent="0.25">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J83" s="5"/>
      <c r="AK83" s="5"/>
      <c r="AL83" s="5"/>
      <c r="AM83" s="5"/>
      <c r="AN83" s="5"/>
      <c r="AO83" s="5"/>
      <c r="AP83" s="5"/>
      <c r="AQ83" s="20"/>
      <c r="AR83" s="20" t="e">
        <f>1+#REF!</f>
        <v>#REF!</v>
      </c>
      <c r="AS83" s="20"/>
      <c r="AT83" s="20"/>
      <c r="AU83" s="29" t="e">
        <f>+#REF!+1%</f>
        <v>#REF!</v>
      </c>
      <c r="AV83" s="5" t="e">
        <f>1+#REF!</f>
        <v>#REF!</v>
      </c>
      <c r="AW83" s="5">
        <v>16</v>
      </c>
      <c r="AX83" s="252"/>
      <c r="AY83" s="252"/>
      <c r="AZ83" s="252"/>
      <c r="BA83" s="252"/>
      <c r="BB83" s="252"/>
      <c r="BC83" s="252"/>
      <c r="BD83" s="252"/>
      <c r="BE83" s="252"/>
      <c r="BF83" s="252"/>
      <c r="BG83" s="252"/>
    </row>
    <row r="84" ht="12.75" customHeight="1" hidden="1" spans="3:59" x14ac:dyDescent="0.25">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J84" s="5"/>
      <c r="AK84" s="5"/>
      <c r="AL84" s="5"/>
      <c r="AM84" s="5"/>
      <c r="AN84" s="5"/>
      <c r="AO84" s="5"/>
      <c r="AP84" s="5"/>
      <c r="AQ84" s="20"/>
      <c r="AR84" s="20" t="e">
        <f>1+AR83</f>
        <v>#REF!</v>
      </c>
      <c r="AS84" s="20"/>
      <c r="AT84" s="20"/>
      <c r="AU84" s="29" t="e">
        <f>+AU83+1%</f>
        <v>#REF!</v>
      </c>
      <c r="AV84" s="5" t="e">
        <f t="shared" ref="AV84:AV95" si="8">1+AV83</f>
        <v>#REF!</v>
      </c>
      <c r="AW84" s="5">
        <v>17</v>
      </c>
      <c r="AX84" s="252"/>
      <c r="AY84" s="252"/>
      <c r="AZ84" s="252"/>
      <c r="BA84" s="252"/>
      <c r="BB84" s="252"/>
      <c r="BC84" s="252"/>
      <c r="BD84" s="252"/>
      <c r="BE84" s="252"/>
      <c r="BF84" s="252"/>
      <c r="BG84" s="252"/>
    </row>
    <row r="85" ht="12.75" customHeight="1" hidden="1" spans="3:59" x14ac:dyDescent="0.25">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J85" s="5"/>
      <c r="AK85" s="5"/>
      <c r="AL85" s="5"/>
      <c r="AM85" s="5"/>
      <c r="AN85" s="5"/>
      <c r="AO85" s="5"/>
      <c r="AP85" s="5"/>
      <c r="AQ85" s="20"/>
      <c r="AR85" s="20" t="e">
        <f>1+AR84</f>
        <v>#REF!</v>
      </c>
      <c r="AS85" s="20"/>
      <c r="AT85" s="20"/>
      <c r="AU85" s="252"/>
      <c r="AV85" s="5" t="e">
        <f t="shared" si="8"/>
        <v>#REF!</v>
      </c>
      <c r="AW85" s="5">
        <v>18</v>
      </c>
      <c r="AX85" s="252"/>
      <c r="AY85" s="252"/>
      <c r="AZ85" s="252"/>
      <c r="BA85" s="252"/>
      <c r="BB85" s="252"/>
      <c r="BC85" s="252"/>
      <c r="BD85" s="252"/>
      <c r="BE85" s="252"/>
      <c r="BF85" s="252"/>
      <c r="BG85" s="252"/>
    </row>
    <row r="86" ht="12.75" customHeight="1" hidden="1" spans="3:59" x14ac:dyDescent="0.25">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J86" s="5"/>
      <c r="AK86" s="5"/>
      <c r="AL86" s="5"/>
      <c r="AM86" s="5"/>
      <c r="AN86" s="5"/>
      <c r="AO86" s="5"/>
      <c r="AP86" s="5"/>
      <c r="AQ86" s="20"/>
      <c r="AR86" s="20" t="e">
        <f>+AR85+1</f>
        <v>#REF!</v>
      </c>
      <c r="AS86" s="20"/>
      <c r="AT86" s="20"/>
      <c r="AU86" s="252"/>
      <c r="AV86" s="5" t="e">
        <f t="shared" si="8"/>
        <v>#REF!</v>
      </c>
      <c r="AW86" s="5">
        <v>19</v>
      </c>
      <c r="AX86" s="252"/>
      <c r="AY86" s="252"/>
      <c r="AZ86" s="252"/>
      <c r="BA86" s="252"/>
      <c r="BB86" s="252"/>
      <c r="BC86" s="252"/>
      <c r="BD86" s="252"/>
      <c r="BE86" s="252"/>
      <c r="BF86" s="252"/>
      <c r="BG86" s="252"/>
    </row>
    <row r="87" ht="12.75" customHeight="1" hidden="1" spans="3:67" x14ac:dyDescent="0.25">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J87" s="255"/>
      <c r="AK87" s="256"/>
      <c r="AL87" s="257"/>
      <c r="AM87" s="5"/>
      <c r="AN87" s="5"/>
      <c r="AO87" s="5"/>
      <c r="AP87" s="5"/>
      <c r="AQ87" s="20"/>
      <c r="AR87" s="20"/>
      <c r="AS87" s="20"/>
      <c r="AT87" s="20"/>
      <c r="AV87" s="5" t="e">
        <f t="shared" si="8"/>
        <v>#REF!</v>
      </c>
      <c r="AW87" s="5">
        <v>20</v>
      </c>
      <c r="AX87" s="252"/>
      <c r="AY87" s="252"/>
      <c r="AZ87" s="252"/>
      <c r="BA87" s="252"/>
      <c r="BB87" s="252"/>
      <c r="BC87" s="252"/>
      <c r="BD87" s="252"/>
      <c r="BE87" s="252"/>
      <c r="BF87" s="252"/>
      <c r="BG87" s="252"/>
      <c r="BH87" s="252"/>
      <c r="BI87" s="252"/>
      <c r="BJ87" s="252"/>
      <c r="BK87" s="252"/>
      <c r="BL87" s="252"/>
      <c r="BM87" s="252"/>
      <c r="BN87" s="252"/>
      <c r="BO87" s="252"/>
    </row>
    <row r="88" ht="12.75" customHeight="1" hidden="1" spans="3:77" x14ac:dyDescent="0.25">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J88" s="258"/>
      <c r="AK88" s="258"/>
      <c r="AL88" s="259"/>
      <c r="AM88" s="258"/>
      <c r="AN88" s="258"/>
      <c r="AO88" s="258"/>
      <c r="AP88" s="5"/>
      <c r="AQ88" s="20"/>
      <c r="AR88" s="20"/>
      <c r="AS88" s="20"/>
      <c r="AT88" s="20"/>
      <c r="AV88" s="5" t="e">
        <f t="shared" si="8"/>
        <v>#REF!</v>
      </c>
      <c r="AW88" s="5">
        <v>21</v>
      </c>
      <c r="AX88" s="252"/>
      <c r="AY88" s="252"/>
      <c r="AZ88" s="252"/>
      <c r="BA88" s="260" t="s">
        <v>31</v>
      </c>
      <c r="BB88" s="260"/>
      <c r="BC88" s="260"/>
      <c r="BD88" s="260"/>
      <c r="BE88" s="149" t="s">
        <v>34</v>
      </c>
      <c r="BF88" s="149"/>
      <c r="BG88" s="149"/>
      <c r="BH88" s="149"/>
      <c r="BI88" s="149" t="s">
        <v>72</v>
      </c>
      <c r="BJ88" s="149"/>
      <c r="BK88" s="149"/>
      <c r="BL88" s="149"/>
      <c r="BM88" s="149" t="s">
        <v>36</v>
      </c>
      <c r="BN88" s="149"/>
      <c r="BO88" s="149"/>
      <c r="BP88" s="149"/>
      <c r="BQ88" s="1"/>
      <c r="BR88" s="1"/>
      <c r="BS88" s="260" t="s">
        <v>73</v>
      </c>
      <c r="BT88" s="260"/>
      <c r="BU88" s="1"/>
      <c r="BV88" s="1"/>
      <c r="BW88" s="1"/>
      <c r="BX88" s="1"/>
      <c r="BY88" s="1"/>
    </row>
    <row r="89" ht="12.75" customHeight="1" hidden="1" spans="3:77" x14ac:dyDescent="0.25">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J89" s="258"/>
      <c r="AK89" s="258"/>
      <c r="AL89" s="259"/>
      <c r="AM89" s="258"/>
      <c r="AN89" s="258"/>
      <c r="AO89" s="258"/>
      <c r="AP89" s="5"/>
      <c r="AQ89" s="20"/>
      <c r="AS89" s="20"/>
      <c r="AT89" s="20"/>
      <c r="AV89" s="5" t="e">
        <f t="shared" si="8"/>
        <v>#REF!</v>
      </c>
      <c r="AW89" s="5">
        <v>22</v>
      </c>
      <c r="BA89" s="149" t="s">
        <v>74</v>
      </c>
      <c r="BB89" s="149"/>
      <c r="BC89" s="149"/>
      <c r="BD89" s="149"/>
      <c r="BE89" s="261">
        <f>+K22</f>
        <v>0</v>
      </c>
      <c r="BF89" s="261"/>
      <c r="BG89" s="261"/>
      <c r="BH89" s="261"/>
      <c r="BI89" s="261">
        <v>0</v>
      </c>
      <c r="BJ89" s="261"/>
      <c r="BK89" s="261"/>
      <c r="BL89" s="261"/>
      <c r="BM89" s="261">
        <v>0</v>
      </c>
      <c r="BN89" s="261"/>
      <c r="BO89" s="261"/>
      <c r="BP89" s="261"/>
      <c r="BQ89" s="1"/>
      <c r="BR89" s="1"/>
      <c r="BS89" s="246"/>
      <c r="BT89" s="247"/>
      <c r="BU89" s="247"/>
      <c r="BV89" s="247"/>
      <c r="BW89" s="247"/>
      <c r="BX89" s="247"/>
      <c r="BY89" s="248"/>
    </row>
    <row r="90" ht="12.75" customHeight="1" hidden="1" spans="3:77" x14ac:dyDescent="0.25">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J90" s="258"/>
      <c r="AK90" s="258"/>
      <c r="AL90" s="259"/>
      <c r="AM90" s="258"/>
      <c r="AN90" s="258"/>
      <c r="AO90" s="258"/>
      <c r="AP90" s="5"/>
      <c r="AQ90" s="20"/>
      <c r="AS90" s="20"/>
      <c r="AT90" s="20"/>
      <c r="AV90" s="5" t="e">
        <f t="shared" si="8"/>
        <v>#REF!</v>
      </c>
      <c r="BA90" s="149" t="s">
        <v>41</v>
      </c>
      <c r="BB90" s="149"/>
      <c r="BC90" s="149"/>
      <c r="BD90" s="149"/>
      <c r="BE90" s="261">
        <v>0</v>
      </c>
      <c r="BF90" s="261"/>
      <c r="BG90" s="261"/>
      <c r="BH90" s="261"/>
      <c r="BI90" s="261">
        <v>0</v>
      </c>
      <c r="BJ90" s="261"/>
      <c r="BK90" s="261"/>
      <c r="BL90" s="261"/>
      <c r="BM90" s="261">
        <v>0</v>
      </c>
      <c r="BN90" s="261"/>
      <c r="BO90" s="261"/>
      <c r="BP90" s="261"/>
      <c r="BQ90" s="1"/>
      <c r="BR90" s="1"/>
      <c r="BS90" s="83" t="s">
        <v>40</v>
      </c>
      <c r="BT90" s="83"/>
      <c r="BU90" s="149"/>
      <c r="BV90" s="149"/>
      <c r="BW90" s="149"/>
      <c r="BX90" s="149"/>
      <c r="BY90" s="149"/>
    </row>
    <row r="91" ht="12.75" customHeight="1" hidden="1" spans="3:77" x14ac:dyDescent="0.25">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G91" s="1"/>
      <c r="AJ91" s="5"/>
      <c r="AK91" s="5"/>
      <c r="AL91" s="262"/>
      <c r="AM91" s="5"/>
      <c r="AN91" s="5"/>
      <c r="AO91" s="5"/>
      <c r="AP91" s="5"/>
      <c r="AQ91" s="20"/>
      <c r="AS91" s="20"/>
      <c r="AT91" s="20"/>
      <c r="AV91" s="5" t="e">
        <f t="shared" si="8"/>
        <v>#REF!</v>
      </c>
      <c r="BA91" s="149" t="s">
        <v>75</v>
      </c>
      <c r="BB91" s="149"/>
      <c r="BC91" s="149"/>
      <c r="BD91" s="149"/>
      <c r="BE91" s="261">
        <v>0</v>
      </c>
      <c r="BF91" s="261"/>
      <c r="BG91" s="261"/>
      <c r="BH91" s="261"/>
      <c r="BI91" s="261">
        <v>0</v>
      </c>
      <c r="BJ91" s="261"/>
      <c r="BK91" s="261"/>
      <c r="BL91" s="261"/>
      <c r="BM91" s="261">
        <v>0</v>
      </c>
      <c r="BN91" s="261"/>
      <c r="BO91" s="261"/>
      <c r="BP91" s="261"/>
      <c r="BQ91" s="1"/>
      <c r="BR91" s="1"/>
      <c r="BS91" s="263"/>
      <c r="BT91" s="264"/>
      <c r="BU91" s="264"/>
      <c r="BV91" s="264"/>
      <c r="BW91" s="264"/>
      <c r="BX91" s="264"/>
      <c r="BY91" s="265"/>
    </row>
    <row r="92" ht="12.75" customHeight="1" hidden="1" spans="3:77" x14ac:dyDescent="0.25">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49"/>
      <c r="AG92" s="1"/>
      <c r="AJ92" s="5"/>
      <c r="AK92" s="5"/>
      <c r="AL92" s="262"/>
      <c r="AM92" s="5"/>
      <c r="AN92" s="5"/>
      <c r="AO92" s="5"/>
      <c r="AP92" s="5"/>
      <c r="AQ92" s="20"/>
      <c r="AS92" s="20"/>
      <c r="AT92" s="20"/>
      <c r="AV92" s="5" t="e">
        <f t="shared" si="8"/>
        <v>#REF!</v>
      </c>
      <c r="BA92" s="83"/>
      <c r="BB92" s="102"/>
      <c r="BC92" s="102"/>
      <c r="BD92" s="149"/>
      <c r="BE92" s="266" t="s">
        <v>76</v>
      </c>
      <c r="BF92" s="102"/>
      <c r="BG92" s="102"/>
      <c r="BH92" s="102"/>
      <c r="BI92" s="102"/>
      <c r="BJ92" s="102"/>
      <c r="BK92" s="102"/>
      <c r="BL92" s="102"/>
      <c r="BM92" s="102"/>
      <c r="BN92" s="102"/>
      <c r="BO92" s="102"/>
      <c r="BP92" s="149"/>
      <c r="BQ92" s="1"/>
      <c r="BR92" s="1"/>
      <c r="BS92" s="83" t="s">
        <v>46</v>
      </c>
      <c r="BT92" s="83"/>
      <c r="BU92" s="105"/>
      <c r="BV92" s="105"/>
      <c r="BW92" s="106"/>
      <c r="BX92" s="106"/>
      <c r="BY92" s="106"/>
    </row>
    <row r="93" ht="12.75" customHeight="1" hidden="1" spans="3:48" x14ac:dyDescent="0.25">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6"/>
      <c r="AG93" s="1"/>
      <c r="AJ93" s="5"/>
      <c r="AK93" s="5"/>
      <c r="AL93" s="262"/>
      <c r="AM93" s="5"/>
      <c r="AN93" s="5"/>
      <c r="AO93" s="5"/>
      <c r="AP93" s="5"/>
      <c r="AS93" s="5"/>
      <c r="AT93" s="5"/>
      <c r="AV93" s="5" t="e">
        <f t="shared" si="8"/>
        <v>#REF!</v>
      </c>
    </row>
    <row r="94" ht="12.75" customHeight="1" hidden="1" spans="3:48" x14ac:dyDescent="0.25">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6"/>
      <c r="AG94" s="1"/>
      <c r="AJ94" s="5"/>
      <c r="AK94" s="5"/>
      <c r="AL94" s="262"/>
      <c r="AM94" s="5"/>
      <c r="AN94" s="5"/>
      <c r="AO94" s="5"/>
      <c r="AP94" s="5"/>
      <c r="AS94" s="5"/>
      <c r="AT94" s="5"/>
      <c r="AV94" s="5" t="e">
        <f t="shared" si="8"/>
        <v>#REF!</v>
      </c>
    </row>
    <row r="95" ht="12.75" customHeight="1" hidden="1" spans="3:48" x14ac:dyDescent="0.25">
      <c r="C95" s="1"/>
      <c r="D95" s="3"/>
      <c r="E95" s="3"/>
      <c r="F95" s="3"/>
      <c r="G95" s="3"/>
      <c r="H95" s="267"/>
      <c r="I95" s="267"/>
      <c r="J95" s="267"/>
      <c r="K95" s="267"/>
      <c r="L95" s="267"/>
      <c r="M95" s="267"/>
      <c r="N95" s="267"/>
      <c r="O95" s="267"/>
      <c r="P95" s="267"/>
      <c r="Q95" s="267"/>
      <c r="R95" s="267"/>
      <c r="S95" s="149"/>
      <c r="T95" s="1"/>
      <c r="U95" s="1"/>
      <c r="V95" s="268"/>
      <c r="W95" s="268"/>
      <c r="X95" s="268"/>
      <c r="Y95" s="268"/>
      <c r="Z95" s="268"/>
      <c r="AA95" s="83"/>
      <c r="AB95" s="83"/>
      <c r="AC95" s="83"/>
      <c r="AD95" s="83"/>
      <c r="AE95" s="83"/>
      <c r="AF95" s="106"/>
      <c r="AG95" s="1"/>
      <c r="AJ95" s="5"/>
      <c r="AK95" s="5"/>
      <c r="AL95" s="262"/>
      <c r="AM95" s="5"/>
      <c r="AN95" s="5"/>
      <c r="AO95" s="5"/>
      <c r="AP95" s="5"/>
      <c r="AS95" s="5"/>
      <c r="AT95" s="5"/>
      <c r="AU95" s="269"/>
      <c r="AV95" s="5" t="e">
        <f t="shared" si="8"/>
        <v>#REF!</v>
      </c>
    </row>
    <row r="96" ht="12.75" customHeight="1" hidden="1" spans="3:46" x14ac:dyDescent="0.25">
      <c r="C96" s="1"/>
      <c r="D96" s="3"/>
      <c r="E96" s="102"/>
      <c r="F96" s="102"/>
      <c r="G96" s="102"/>
      <c r="H96" s="267"/>
      <c r="I96" s="267"/>
      <c r="J96" s="267"/>
      <c r="K96" s="267"/>
      <c r="L96" s="267"/>
      <c r="M96" s="267"/>
      <c r="N96" s="267"/>
      <c r="O96" s="267"/>
      <c r="P96" s="267"/>
      <c r="Q96" s="267"/>
      <c r="R96" s="267"/>
      <c r="S96" s="149"/>
      <c r="T96" s="1"/>
      <c r="U96" s="1"/>
      <c r="V96" s="83"/>
      <c r="W96" s="83"/>
      <c r="X96" s="1"/>
      <c r="Y96" s="1"/>
      <c r="Z96" s="1"/>
      <c r="AA96" s="83"/>
      <c r="AB96" s="83"/>
      <c r="AC96" s="83"/>
      <c r="AD96" s="83"/>
      <c r="AE96" s="83"/>
      <c r="AF96" s="106"/>
      <c r="AG96" s="1"/>
      <c r="AJ96" s="5"/>
      <c r="AK96" s="5"/>
      <c r="AL96" s="262"/>
      <c r="AM96" s="5"/>
      <c r="AN96" s="5"/>
      <c r="AO96" s="5"/>
      <c r="AP96" s="5"/>
      <c r="AS96" s="5"/>
      <c r="AT96" s="5"/>
    </row>
    <row r="97" ht="12.75" customHeight="1" hidden="1" spans="3:46" x14ac:dyDescent="0.25">
      <c r="C97" s="270"/>
      <c r="D97" s="271"/>
      <c r="E97" s="271"/>
      <c r="F97" s="271"/>
      <c r="G97" s="271"/>
      <c r="H97" s="271"/>
      <c r="I97" s="272"/>
      <c r="J97" s="272"/>
      <c r="K97" s="272"/>
      <c r="L97" s="273"/>
      <c r="M97" s="273"/>
      <c r="N97" s="273"/>
      <c r="O97" s="273"/>
      <c r="P97" s="273"/>
      <c r="Q97" s="273"/>
      <c r="R97" s="273"/>
      <c r="S97" s="274"/>
      <c r="T97" s="271"/>
      <c r="U97" s="270"/>
      <c r="V97" s="271"/>
      <c r="W97" s="271"/>
      <c r="X97" s="271"/>
      <c r="Y97" s="271"/>
      <c r="Z97" s="271"/>
      <c r="AA97" s="271"/>
      <c r="AB97" s="271"/>
      <c r="AC97" s="271"/>
      <c r="AD97" s="271"/>
      <c r="AE97" s="271"/>
      <c r="AF97" s="271"/>
      <c r="AG97" s="271"/>
      <c r="AJ97" s="5"/>
      <c r="AK97" s="5"/>
      <c r="AL97" s="262"/>
      <c r="AM97" s="5"/>
      <c r="AN97" s="5"/>
      <c r="AO97" s="5"/>
      <c r="AP97" s="5"/>
      <c r="AS97" s="5"/>
      <c r="AT97" s="5"/>
    </row>
    <row r="98" ht="12.75" customHeight="1" hidden="1" spans="3:46" x14ac:dyDescent="0.25">
      <c r="C98" s="275"/>
      <c r="D98" s="276"/>
      <c r="E98" s="277"/>
      <c r="F98" s="276"/>
      <c r="G98" s="276"/>
      <c r="H98" s="1"/>
      <c r="I98" s="276"/>
      <c r="J98" s="276"/>
      <c r="K98" s="1"/>
      <c r="L98" s="275"/>
      <c r="M98" s="276"/>
      <c r="N98" s="276"/>
      <c r="O98" s="276"/>
      <c r="P98" s="276"/>
      <c r="Q98" s="276"/>
      <c r="R98" s="276"/>
      <c r="S98" s="277"/>
      <c r="T98" s="276"/>
      <c r="U98" s="276"/>
      <c r="V98" s="276"/>
      <c r="W98" s="276"/>
      <c r="X98" s="276"/>
      <c r="Y98" s="278"/>
      <c r="Z98" s="279"/>
      <c r="AA98" s="279"/>
      <c r="AB98" s="279"/>
      <c r="AC98" s="279"/>
      <c r="AD98" s="275"/>
      <c r="AE98" s="276"/>
      <c r="AF98" s="276"/>
      <c r="AG98" s="277"/>
      <c r="AJ98" s="5"/>
      <c r="AK98" s="5"/>
      <c r="AL98" s="262"/>
      <c r="AM98" s="5"/>
      <c r="AN98" s="5"/>
      <c r="AO98" s="5"/>
      <c r="AP98" s="5"/>
      <c r="AS98" s="5"/>
      <c r="AT98" s="5"/>
    </row>
    <row r="99" ht="12.75" customHeight="1" hidden="1" spans="3:46" x14ac:dyDescent="0.25">
      <c r="C99" s="280"/>
      <c r="D99" s="281"/>
      <c r="E99" s="282"/>
      <c r="F99" s="281"/>
      <c r="G99" s="281"/>
      <c r="H99" s="1"/>
      <c r="I99" s="281"/>
      <c r="J99" s="281"/>
      <c r="K99" s="1"/>
      <c r="L99" s="280"/>
      <c r="M99" s="281"/>
      <c r="N99" s="281"/>
      <c r="O99" s="281"/>
      <c r="P99" s="281"/>
      <c r="Q99" s="281"/>
      <c r="R99" s="281"/>
      <c r="S99" s="282"/>
      <c r="T99" s="281"/>
      <c r="U99" s="281"/>
      <c r="V99" s="281"/>
      <c r="W99" s="281"/>
      <c r="X99" s="281"/>
      <c r="Y99" s="283"/>
      <c r="Z99" s="284"/>
      <c r="AA99" s="284"/>
      <c r="AB99" s="284"/>
      <c r="AC99" s="284"/>
      <c r="AD99" s="280"/>
      <c r="AE99" s="281"/>
      <c r="AF99" s="281"/>
      <c r="AG99" s="282"/>
      <c r="AJ99" s="5"/>
      <c r="AK99" s="5"/>
      <c r="AL99" s="262"/>
      <c r="AM99" s="5"/>
      <c r="AN99" s="5"/>
      <c r="AO99" s="5"/>
      <c r="AP99" s="5"/>
      <c r="AS99" s="5"/>
      <c r="AT99" s="5"/>
    </row>
    <row r="100" ht="12.75" customHeight="1" hidden="1" spans="3:46" x14ac:dyDescent="0.25">
      <c r="C100" s="285"/>
      <c r="D100" s="286"/>
      <c r="E100" s="287"/>
      <c r="F100" s="286"/>
      <c r="G100" s="286"/>
      <c r="H100" s="288"/>
      <c r="I100" s="286"/>
      <c r="J100" s="286"/>
      <c r="K100" s="288"/>
      <c r="L100" s="285"/>
      <c r="M100" s="286"/>
      <c r="N100" s="286"/>
      <c r="O100" s="286"/>
      <c r="P100" s="286"/>
      <c r="Q100" s="286"/>
      <c r="R100" s="286"/>
      <c r="S100" s="287"/>
      <c r="T100" s="286"/>
      <c r="U100" s="286"/>
      <c r="V100" s="286"/>
      <c r="W100" s="286"/>
      <c r="X100" s="286"/>
      <c r="Y100" s="289"/>
      <c r="Z100" s="290"/>
      <c r="AA100" s="290"/>
      <c r="AB100" s="290"/>
      <c r="AC100" s="290"/>
      <c r="AD100" s="285"/>
      <c r="AE100" s="286"/>
      <c r="AF100" s="286"/>
      <c r="AG100" s="287"/>
      <c r="AJ100" s="5"/>
      <c r="AK100" s="5"/>
      <c r="AL100" s="262"/>
      <c r="AM100" s="5"/>
      <c r="AN100" s="5"/>
      <c r="AO100" s="5"/>
      <c r="AP100" s="5"/>
      <c r="AS100" s="5"/>
      <c r="AT100" s="5"/>
    </row>
    <row r="101" ht="12.75" customHeight="1" hidden="1" spans="3:46" x14ac:dyDescent="0.25">
      <c r="C101" s="291"/>
      <c r="D101" s="291"/>
      <c r="E101" s="292"/>
      <c r="F101" s="291"/>
      <c r="G101" s="291"/>
      <c r="H101" s="1"/>
      <c r="I101" s="1"/>
      <c r="J101" s="1"/>
      <c r="K101" s="1"/>
      <c r="L101" s="293"/>
      <c r="M101" s="294"/>
      <c r="N101" s="294"/>
      <c r="O101" s="294"/>
      <c r="P101" s="295"/>
      <c r="Q101" s="295"/>
      <c r="R101" s="1"/>
      <c r="S101" s="293"/>
      <c r="T101" s="294"/>
      <c r="U101" s="294"/>
      <c r="V101" s="294"/>
      <c r="W101" s="295"/>
      <c r="X101" s="295"/>
      <c r="Y101" s="296"/>
      <c r="Z101" s="297"/>
      <c r="AA101" s="294"/>
      <c r="AB101" s="294"/>
      <c r="AC101" s="294"/>
      <c r="AD101" s="294"/>
      <c r="AE101" s="294"/>
      <c r="AF101" s="291"/>
      <c r="AG101" s="291"/>
      <c r="AJ101" s="5"/>
      <c r="AK101" s="5"/>
      <c r="AL101" s="262"/>
      <c r="AM101" s="5"/>
      <c r="AN101" s="5"/>
      <c r="AO101" s="5"/>
      <c r="AP101" s="5"/>
      <c r="AS101" s="5"/>
      <c r="AT101" s="5"/>
    </row>
    <row r="102" ht="12.75" customHeight="1" hidden="1" spans="3:46" x14ac:dyDescent="0.25">
      <c r="C102" s="298"/>
      <c r="D102" s="299"/>
      <c r="E102" s="300"/>
      <c r="F102" s="299"/>
      <c r="G102" s="299"/>
      <c r="H102" s="1"/>
      <c r="I102" s="149"/>
      <c r="J102" s="149"/>
      <c r="K102" s="1"/>
      <c r="L102" s="301"/>
      <c r="M102" s="302"/>
      <c r="N102" s="302"/>
      <c r="O102" s="302"/>
      <c r="P102" s="303"/>
      <c r="Q102" s="303"/>
      <c r="R102" s="303"/>
      <c r="S102" s="304"/>
      <c r="T102" s="303"/>
      <c r="U102" s="303"/>
      <c r="V102" s="303"/>
      <c r="W102" s="303"/>
      <c r="X102" s="303"/>
      <c r="Y102" s="243"/>
      <c r="Z102" s="303"/>
      <c r="AA102" s="303"/>
      <c r="AB102" s="303"/>
      <c r="AC102" s="303"/>
      <c r="AD102" s="298"/>
      <c r="AE102" s="299"/>
      <c r="AF102" s="299"/>
      <c r="AG102" s="300"/>
      <c r="AJ102" s="5"/>
      <c r="AK102" s="5"/>
      <c r="AL102" s="262"/>
      <c r="AM102" s="5"/>
      <c r="AN102" s="5"/>
      <c r="AO102" s="5"/>
      <c r="AP102" s="5"/>
      <c r="AS102" s="5"/>
      <c r="AT102" s="5"/>
    </row>
    <row r="103" ht="12.75" customHeight="1" hidden="1" spans="3:46" x14ac:dyDescent="0.25">
      <c r="C103" s="298"/>
      <c r="D103" s="299"/>
      <c r="E103" s="300"/>
      <c r="F103" s="299"/>
      <c r="G103" s="299"/>
      <c r="H103" s="1"/>
      <c r="I103" s="149"/>
      <c r="J103" s="149"/>
      <c r="K103" s="1"/>
      <c r="L103" s="301"/>
      <c r="M103" s="302"/>
      <c r="N103" s="302"/>
      <c r="O103" s="302"/>
      <c r="P103" s="303"/>
      <c r="Q103" s="303"/>
      <c r="R103" s="303"/>
      <c r="S103" s="304"/>
      <c r="T103" s="303"/>
      <c r="U103" s="303"/>
      <c r="V103" s="303"/>
      <c r="W103" s="303"/>
      <c r="X103" s="303"/>
      <c r="Y103" s="243"/>
      <c r="Z103" s="303"/>
      <c r="AA103" s="303"/>
      <c r="AB103" s="303"/>
      <c r="AC103" s="303"/>
      <c r="AD103" s="298"/>
      <c r="AE103" s="299"/>
      <c r="AF103" s="299"/>
      <c r="AG103" s="300"/>
      <c r="AJ103" s="5"/>
      <c r="AK103" s="5"/>
      <c r="AL103" s="262"/>
      <c r="AM103" s="5"/>
      <c r="AN103" s="5"/>
      <c r="AO103" s="5"/>
      <c r="AP103" s="5"/>
      <c r="AS103" s="5"/>
      <c r="AT103" s="5"/>
    </row>
    <row r="104" ht="12.75" customHeight="1" hidden="1" spans="3:46" x14ac:dyDescent="0.25">
      <c r="C104" s="298"/>
      <c r="D104" s="299"/>
      <c r="E104" s="300"/>
      <c r="F104" s="299"/>
      <c r="G104" s="299"/>
      <c r="H104" s="1"/>
      <c r="I104" s="149"/>
      <c r="J104" s="149"/>
      <c r="K104" s="1"/>
      <c r="L104" s="301"/>
      <c r="M104" s="302"/>
      <c r="N104" s="302"/>
      <c r="O104" s="302"/>
      <c r="P104" s="303"/>
      <c r="Q104" s="303"/>
      <c r="R104" s="303"/>
      <c r="S104" s="304"/>
      <c r="T104" s="303"/>
      <c r="U104" s="303"/>
      <c r="V104" s="303"/>
      <c r="W104" s="303"/>
      <c r="X104" s="303"/>
      <c r="Y104" s="243"/>
      <c r="Z104" s="303"/>
      <c r="AA104" s="303"/>
      <c r="AB104" s="303"/>
      <c r="AC104" s="303"/>
      <c r="AD104" s="298"/>
      <c r="AE104" s="299"/>
      <c r="AF104" s="299"/>
      <c r="AG104" s="300"/>
      <c r="AJ104" s="5"/>
      <c r="AK104" s="5"/>
      <c r="AL104" s="262"/>
      <c r="AM104" s="5"/>
      <c r="AN104" s="5"/>
      <c r="AO104" s="5"/>
      <c r="AP104" s="5"/>
      <c r="AS104" s="5"/>
      <c r="AT104" s="5"/>
    </row>
    <row r="105" ht="12.75" customHeight="1" hidden="1" spans="3:46" x14ac:dyDescent="0.25">
      <c r="C105" s="298"/>
      <c r="D105" s="299"/>
      <c r="E105" s="300"/>
      <c r="F105" s="299"/>
      <c r="G105" s="299"/>
      <c r="H105" s="1"/>
      <c r="I105" s="149"/>
      <c r="J105" s="149"/>
      <c r="K105" s="1"/>
      <c r="L105" s="301"/>
      <c r="M105" s="302"/>
      <c r="N105" s="302"/>
      <c r="O105" s="302"/>
      <c r="P105" s="303"/>
      <c r="Q105" s="303"/>
      <c r="R105" s="303"/>
      <c r="S105" s="304"/>
      <c r="T105" s="303"/>
      <c r="U105" s="303"/>
      <c r="V105" s="303"/>
      <c r="W105" s="303"/>
      <c r="X105" s="303"/>
      <c r="Y105" s="243"/>
      <c r="Z105" s="303"/>
      <c r="AA105" s="303"/>
      <c r="AB105" s="303"/>
      <c r="AC105" s="303"/>
      <c r="AD105" s="298"/>
      <c r="AE105" s="299"/>
      <c r="AF105" s="299"/>
      <c r="AG105" s="300"/>
      <c r="AJ105" s="5"/>
      <c r="AK105" s="5"/>
      <c r="AL105" s="262"/>
      <c r="AM105" s="5"/>
      <c r="AN105" s="5"/>
      <c r="AO105" s="5"/>
      <c r="AP105" s="5"/>
      <c r="AS105" s="5"/>
      <c r="AT105" s="5"/>
    </row>
    <row r="106" ht="12.75" customHeight="1" hidden="1" spans="3:46" x14ac:dyDescent="0.25">
      <c r="C106" s="298"/>
      <c r="D106" s="299"/>
      <c r="E106" s="300"/>
      <c r="F106" s="299"/>
      <c r="G106" s="299"/>
      <c r="H106" s="1"/>
      <c r="I106" s="149"/>
      <c r="J106" s="149"/>
      <c r="K106" s="1"/>
      <c r="L106" s="301"/>
      <c r="M106" s="302"/>
      <c r="N106" s="302"/>
      <c r="O106" s="302"/>
      <c r="P106" s="303"/>
      <c r="Q106" s="303"/>
      <c r="R106" s="303"/>
      <c r="S106" s="304"/>
      <c r="T106" s="303"/>
      <c r="U106" s="303"/>
      <c r="V106" s="303"/>
      <c r="W106" s="303"/>
      <c r="X106" s="303"/>
      <c r="Y106" s="243"/>
      <c r="Z106" s="303"/>
      <c r="AA106" s="303"/>
      <c r="AB106" s="303"/>
      <c r="AC106" s="303"/>
      <c r="AD106" s="298"/>
      <c r="AE106" s="299"/>
      <c r="AF106" s="299"/>
      <c r="AG106" s="300"/>
      <c r="AJ106" s="5"/>
      <c r="AK106" s="5"/>
      <c r="AL106" s="262"/>
      <c r="AM106" s="5"/>
      <c r="AN106" s="5"/>
      <c r="AO106" s="5"/>
      <c r="AP106" s="5"/>
      <c r="AS106" s="5"/>
      <c r="AT106" s="5"/>
    </row>
    <row r="107" ht="12.75" customHeight="1" hidden="1" spans="3:46" x14ac:dyDescent="0.25">
      <c r="C107" s="298"/>
      <c r="D107" s="299"/>
      <c r="E107" s="300"/>
      <c r="F107" s="299"/>
      <c r="G107" s="299"/>
      <c r="H107" s="1"/>
      <c r="I107" s="149"/>
      <c r="J107" s="149"/>
      <c r="K107" s="1"/>
      <c r="L107" s="301"/>
      <c r="M107" s="302"/>
      <c r="N107" s="302"/>
      <c r="O107" s="302"/>
      <c r="P107" s="303"/>
      <c r="Q107" s="303"/>
      <c r="R107" s="303"/>
      <c r="S107" s="304"/>
      <c r="T107" s="303"/>
      <c r="U107" s="303"/>
      <c r="V107" s="303"/>
      <c r="W107" s="303"/>
      <c r="X107" s="303"/>
      <c r="Y107" s="243"/>
      <c r="Z107" s="303"/>
      <c r="AA107" s="303"/>
      <c r="AB107" s="303"/>
      <c r="AC107" s="303"/>
      <c r="AD107" s="298"/>
      <c r="AE107" s="299"/>
      <c r="AF107" s="299"/>
      <c r="AG107" s="300"/>
      <c r="AJ107" s="5"/>
      <c r="AK107" s="5"/>
      <c r="AL107" s="262"/>
      <c r="AM107" s="5"/>
      <c r="AN107" s="5"/>
      <c r="AO107" s="5"/>
      <c r="AP107" s="5"/>
      <c r="AS107" s="5"/>
      <c r="AT107" s="5"/>
    </row>
    <row r="108" ht="12.75" customHeight="1" hidden="1" spans="3:46" x14ac:dyDescent="0.25">
      <c r="C108" s="298"/>
      <c r="D108" s="299"/>
      <c r="E108" s="300"/>
      <c r="F108" s="299"/>
      <c r="G108" s="299"/>
      <c r="H108" s="1"/>
      <c r="I108" s="149"/>
      <c r="J108" s="149"/>
      <c r="K108" s="1"/>
      <c r="L108" s="301"/>
      <c r="M108" s="302"/>
      <c r="N108" s="302"/>
      <c r="O108" s="302"/>
      <c r="P108" s="303"/>
      <c r="Q108" s="303"/>
      <c r="R108" s="303"/>
      <c r="S108" s="304"/>
      <c r="T108" s="303"/>
      <c r="U108" s="303"/>
      <c r="V108" s="303"/>
      <c r="W108" s="303"/>
      <c r="X108" s="303"/>
      <c r="Y108" s="243"/>
      <c r="Z108" s="303"/>
      <c r="AA108" s="303"/>
      <c r="AB108" s="303"/>
      <c r="AC108" s="303"/>
      <c r="AD108" s="298"/>
      <c r="AE108" s="299"/>
      <c r="AF108" s="299"/>
      <c r="AG108" s="300"/>
      <c r="AJ108" s="5"/>
      <c r="AK108" s="5"/>
      <c r="AL108" s="262"/>
      <c r="AM108" s="5"/>
      <c r="AN108" s="5"/>
      <c r="AO108" s="5"/>
      <c r="AP108" s="5"/>
      <c r="AS108" s="5"/>
      <c r="AT108" s="5"/>
    </row>
    <row r="109" ht="12.75" customHeight="1" hidden="1" spans="3:46" x14ac:dyDescent="0.25">
      <c r="C109" s="298"/>
      <c r="D109" s="299"/>
      <c r="E109" s="300"/>
      <c r="F109" s="299"/>
      <c r="G109" s="299"/>
      <c r="H109" s="1"/>
      <c r="I109" s="149"/>
      <c r="J109" s="149"/>
      <c r="K109" s="1"/>
      <c r="L109" s="301"/>
      <c r="M109" s="302"/>
      <c r="N109" s="302"/>
      <c r="O109" s="302"/>
      <c r="P109" s="303"/>
      <c r="Q109" s="303"/>
      <c r="R109" s="303"/>
      <c r="S109" s="304"/>
      <c r="T109" s="303"/>
      <c r="U109" s="303"/>
      <c r="V109" s="303"/>
      <c r="W109" s="303"/>
      <c r="X109" s="303"/>
      <c r="Y109" s="243"/>
      <c r="Z109" s="303"/>
      <c r="AA109" s="303"/>
      <c r="AB109" s="303"/>
      <c r="AC109" s="303"/>
      <c r="AD109" s="298"/>
      <c r="AE109" s="299"/>
      <c r="AF109" s="299"/>
      <c r="AG109" s="300"/>
      <c r="AJ109" s="5"/>
      <c r="AK109" s="5"/>
      <c r="AL109" s="262"/>
      <c r="AM109" s="5"/>
      <c r="AN109" s="5"/>
      <c r="AO109" s="5"/>
      <c r="AP109" s="5"/>
      <c r="AS109" s="5"/>
      <c r="AT109" s="5"/>
    </row>
    <row r="110" ht="12.75" customHeight="1" hidden="1" spans="3:46" x14ac:dyDescent="0.25">
      <c r="C110" s="298"/>
      <c r="D110" s="299"/>
      <c r="E110" s="300"/>
      <c r="F110" s="299"/>
      <c r="G110" s="299"/>
      <c r="H110" s="1"/>
      <c r="I110" s="149"/>
      <c r="J110" s="149"/>
      <c r="K110" s="1"/>
      <c r="L110" s="301"/>
      <c r="M110" s="302"/>
      <c r="N110" s="302"/>
      <c r="O110" s="302"/>
      <c r="P110" s="303"/>
      <c r="Q110" s="303"/>
      <c r="R110" s="303"/>
      <c r="S110" s="304"/>
      <c r="T110" s="303"/>
      <c r="U110" s="303"/>
      <c r="V110" s="303"/>
      <c r="W110" s="303"/>
      <c r="X110" s="303"/>
      <c r="Y110" s="243"/>
      <c r="Z110" s="303"/>
      <c r="AA110" s="303"/>
      <c r="AB110" s="303"/>
      <c r="AC110" s="303"/>
      <c r="AD110" s="298"/>
      <c r="AE110" s="299"/>
      <c r="AF110" s="299"/>
      <c r="AG110" s="300"/>
      <c r="AJ110" s="5"/>
      <c r="AK110" s="5"/>
      <c r="AL110" s="262"/>
      <c r="AM110" s="5"/>
      <c r="AN110" s="5"/>
      <c r="AO110" s="5"/>
      <c r="AP110" s="5"/>
      <c r="AS110" s="5"/>
      <c r="AT110" s="5"/>
    </row>
    <row r="111" ht="12.75" customHeight="1" hidden="1" spans="3:46" x14ac:dyDescent="0.25">
      <c r="C111" s="298"/>
      <c r="D111" s="299"/>
      <c r="E111" s="300"/>
      <c r="F111" s="299"/>
      <c r="G111" s="299"/>
      <c r="H111" s="1"/>
      <c r="I111" s="149"/>
      <c r="J111" s="149"/>
      <c r="K111" s="1"/>
      <c r="L111" s="301"/>
      <c r="M111" s="302"/>
      <c r="N111" s="302"/>
      <c r="O111" s="302"/>
      <c r="P111" s="303"/>
      <c r="Q111" s="303"/>
      <c r="R111" s="303"/>
      <c r="S111" s="304"/>
      <c r="T111" s="303"/>
      <c r="U111" s="303"/>
      <c r="V111" s="303"/>
      <c r="W111" s="303"/>
      <c r="X111" s="303"/>
      <c r="Y111" s="243"/>
      <c r="Z111" s="303"/>
      <c r="AA111" s="303"/>
      <c r="AB111" s="303"/>
      <c r="AC111" s="303"/>
      <c r="AD111" s="298"/>
      <c r="AE111" s="299"/>
      <c r="AF111" s="299"/>
      <c r="AG111" s="300"/>
      <c r="AJ111" s="5"/>
      <c r="AK111" s="5"/>
      <c r="AL111" s="262"/>
      <c r="AM111" s="5"/>
      <c r="AN111" s="5"/>
      <c r="AO111" s="5"/>
      <c r="AP111" s="5"/>
      <c r="AS111" s="5"/>
      <c r="AT111" s="5"/>
    </row>
    <row r="112" ht="12.75" customHeight="1" hidden="1" spans="3:46" x14ac:dyDescent="0.25">
      <c r="C112" s="298"/>
      <c r="D112" s="299"/>
      <c r="E112" s="300"/>
      <c r="F112" s="299"/>
      <c r="G112" s="299"/>
      <c r="H112" s="1"/>
      <c r="I112" s="149"/>
      <c r="J112" s="149"/>
      <c r="K112" s="1"/>
      <c r="L112" s="301"/>
      <c r="M112" s="302"/>
      <c r="N112" s="302"/>
      <c r="O112" s="302"/>
      <c r="P112" s="303"/>
      <c r="Q112" s="303"/>
      <c r="R112" s="303"/>
      <c r="S112" s="304"/>
      <c r="T112" s="303"/>
      <c r="U112" s="303"/>
      <c r="V112" s="303"/>
      <c r="W112" s="303"/>
      <c r="X112" s="303"/>
      <c r="Y112" s="243"/>
      <c r="Z112" s="303"/>
      <c r="AA112" s="303"/>
      <c r="AB112" s="303"/>
      <c r="AC112" s="303"/>
      <c r="AD112" s="298"/>
      <c r="AE112" s="299"/>
      <c r="AF112" s="299"/>
      <c r="AG112" s="300"/>
      <c r="AJ112" s="5"/>
      <c r="AK112" s="5"/>
      <c r="AL112" s="262"/>
      <c r="AM112" s="5"/>
      <c r="AN112" s="5"/>
      <c r="AO112" s="5"/>
      <c r="AP112" s="5"/>
      <c r="AS112" s="5"/>
      <c r="AT112" s="5"/>
    </row>
    <row r="113" ht="12.75" customHeight="1" hidden="1" spans="3:46" x14ac:dyDescent="0.25">
      <c r="C113" s="298"/>
      <c r="D113" s="299"/>
      <c r="E113" s="300"/>
      <c r="F113" s="299"/>
      <c r="G113" s="299"/>
      <c r="H113" s="1"/>
      <c r="I113" s="149"/>
      <c r="J113" s="149"/>
      <c r="K113" s="1"/>
      <c r="L113" s="301"/>
      <c r="M113" s="302"/>
      <c r="N113" s="302"/>
      <c r="O113" s="302"/>
      <c r="P113" s="303"/>
      <c r="Q113" s="303"/>
      <c r="R113" s="303"/>
      <c r="S113" s="304"/>
      <c r="T113" s="303"/>
      <c r="U113" s="303"/>
      <c r="V113" s="303"/>
      <c r="W113" s="303"/>
      <c r="X113" s="303"/>
      <c r="Y113" s="243"/>
      <c r="Z113" s="303"/>
      <c r="AA113" s="303"/>
      <c r="AB113" s="303"/>
      <c r="AC113" s="303"/>
      <c r="AD113" s="298"/>
      <c r="AE113" s="299"/>
      <c r="AF113" s="299"/>
      <c r="AG113" s="300"/>
      <c r="AJ113" s="5"/>
      <c r="AK113" s="5"/>
      <c r="AL113" s="262"/>
      <c r="AM113" s="5"/>
      <c r="AN113" s="5"/>
      <c r="AO113" s="5"/>
      <c r="AP113" s="5"/>
      <c r="AS113" s="5"/>
      <c r="AT113" s="5"/>
    </row>
    <row r="114" ht="12.75" customHeight="1" hidden="1" spans="3:238" x14ac:dyDescent="0.25">
      <c r="C114" s="298"/>
      <c r="D114" s="299"/>
      <c r="E114" s="300"/>
      <c r="F114" s="299"/>
      <c r="G114" s="299"/>
      <c r="H114" s="1"/>
      <c r="I114" s="149"/>
      <c r="J114" s="149"/>
      <c r="K114" s="1"/>
      <c r="L114" s="301"/>
      <c r="M114" s="302"/>
      <c r="N114" s="302"/>
      <c r="O114" s="302"/>
      <c r="P114" s="303"/>
      <c r="Q114" s="303"/>
      <c r="R114" s="303"/>
      <c r="S114" s="304"/>
      <c r="T114" s="303"/>
      <c r="U114" s="303"/>
      <c r="V114" s="303"/>
      <c r="W114" s="303"/>
      <c r="X114" s="303"/>
      <c r="Y114" s="243"/>
      <c r="Z114" s="303"/>
      <c r="AA114" s="303"/>
      <c r="AB114" s="303"/>
      <c r="AC114" s="303"/>
      <c r="AD114" s="298"/>
      <c r="AE114" s="299"/>
      <c r="AF114" s="299"/>
      <c r="AG114" s="300"/>
      <c r="AJ114" s="5"/>
      <c r="AK114" s="5"/>
      <c r="AL114" s="262"/>
      <c r="AM114" s="5"/>
      <c r="AN114" s="5"/>
      <c r="AO114" s="5"/>
      <c r="AP114" s="5"/>
      <c r="AS114" s="5"/>
      <c r="AT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ID114" s="5"/>
    </row>
    <row r="115" ht="12.75" customHeight="1" hidden="1" spans="3:238" x14ac:dyDescent="0.25">
      <c r="C115" s="298"/>
      <c r="D115" s="299"/>
      <c r="E115" s="300"/>
      <c r="F115" s="299"/>
      <c r="G115" s="299"/>
      <c r="H115" s="1"/>
      <c r="I115" s="149"/>
      <c r="J115" s="149"/>
      <c r="K115" s="1"/>
      <c r="L115" s="301"/>
      <c r="M115" s="302"/>
      <c r="N115" s="302"/>
      <c r="O115" s="302"/>
      <c r="P115" s="303"/>
      <c r="Q115" s="303"/>
      <c r="R115" s="303"/>
      <c r="S115" s="304"/>
      <c r="T115" s="303"/>
      <c r="U115" s="303"/>
      <c r="V115" s="303"/>
      <c r="W115" s="303"/>
      <c r="X115" s="303"/>
      <c r="Y115" s="243"/>
      <c r="Z115" s="303"/>
      <c r="AA115" s="303"/>
      <c r="AB115" s="303"/>
      <c r="AC115" s="303"/>
      <c r="AD115" s="298"/>
      <c r="AE115" s="299"/>
      <c r="AF115" s="299"/>
      <c r="AG115" s="300"/>
      <c r="AJ115" s="5"/>
      <c r="AK115" s="5"/>
      <c r="AL115" s="262"/>
      <c r="AM115" s="5"/>
      <c r="AN115" s="5"/>
      <c r="AO115" s="5"/>
      <c r="AP115" s="5"/>
      <c r="AS115" s="5"/>
      <c r="AT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ID115" s="5"/>
    </row>
    <row r="116" ht="12.75" customHeight="1" hidden="1" spans="3:238" x14ac:dyDescent="0.25">
      <c r="C116" s="298"/>
      <c r="D116" s="299"/>
      <c r="E116" s="300"/>
      <c r="F116" s="299"/>
      <c r="G116" s="299"/>
      <c r="H116" s="1"/>
      <c r="I116" s="149"/>
      <c r="J116" s="149"/>
      <c r="K116" s="1"/>
      <c r="L116" s="301"/>
      <c r="M116" s="302"/>
      <c r="N116" s="302"/>
      <c r="O116" s="302"/>
      <c r="P116" s="303"/>
      <c r="Q116" s="303"/>
      <c r="R116" s="303"/>
      <c r="S116" s="304"/>
      <c r="T116" s="303"/>
      <c r="U116" s="303"/>
      <c r="V116" s="303"/>
      <c r="W116" s="303"/>
      <c r="X116" s="303"/>
      <c r="Y116" s="243"/>
      <c r="Z116" s="303"/>
      <c r="AA116" s="303"/>
      <c r="AB116" s="303"/>
      <c r="AC116" s="303"/>
      <c r="AD116" s="298"/>
      <c r="AE116" s="299"/>
      <c r="AF116" s="299"/>
      <c r="AG116" s="300"/>
      <c r="AJ116" s="231"/>
      <c r="AK116" s="5"/>
      <c r="AL116" s="262"/>
      <c r="AM116" s="5"/>
      <c r="AN116" s="5"/>
      <c r="AO116" s="5"/>
      <c r="AP116" s="5"/>
      <c r="AS116" s="5"/>
      <c r="AT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ID116" s="5"/>
    </row>
    <row r="117" ht="12.75" customHeight="1" hidden="1" spans="3:166" x14ac:dyDescent="0.25">
      <c r="C117" s="298"/>
      <c r="D117" s="299"/>
      <c r="E117" s="300"/>
      <c r="F117" s="299"/>
      <c r="G117" s="299"/>
      <c r="H117" s="1"/>
      <c r="I117" s="149"/>
      <c r="J117" s="149"/>
      <c r="K117" s="1"/>
      <c r="L117" s="301"/>
      <c r="M117" s="302"/>
      <c r="N117" s="302"/>
      <c r="O117" s="302"/>
      <c r="P117" s="303"/>
      <c r="Q117" s="303"/>
      <c r="R117" s="303"/>
      <c r="S117" s="304"/>
      <c r="T117" s="303"/>
      <c r="U117" s="303"/>
      <c r="V117" s="303"/>
      <c r="W117" s="303"/>
      <c r="X117" s="303"/>
      <c r="Y117" s="243"/>
      <c r="Z117" s="303"/>
      <c r="AA117" s="303"/>
      <c r="AB117" s="303"/>
      <c r="AC117" s="303"/>
      <c r="AD117" s="298"/>
      <c r="AE117" s="299"/>
      <c r="AF117" s="299"/>
      <c r="AG117" s="300"/>
      <c r="AJ117" s="5"/>
      <c r="AK117" s="5"/>
      <c r="AL117" s="5"/>
      <c r="AM117" s="5"/>
      <c r="AN117" s="5"/>
      <c r="AO117" s="5"/>
      <c r="AP117" s="5"/>
      <c r="AQ117" s="305"/>
      <c r="AR117" s="305"/>
      <c r="AS117" s="305"/>
      <c r="AT117" s="305"/>
      <c r="AU117" s="305"/>
      <c r="AV117" s="305"/>
      <c r="AW117" s="305"/>
      <c r="AX117" s="305"/>
      <c r="AY117" s="305"/>
      <c r="AZ117" s="305"/>
      <c r="BA117" s="305"/>
      <c r="BB117" s="305"/>
      <c r="BC117" s="305"/>
      <c r="BD117" s="305"/>
      <c r="BE117" s="305"/>
      <c r="BF117" s="305"/>
      <c r="BG117" s="305"/>
      <c r="BH117" s="305"/>
      <c r="BI117" s="305"/>
      <c r="BJ117" s="305"/>
      <c r="BK117" s="305"/>
      <c r="BL117" s="305"/>
      <c r="BM117" s="305"/>
      <c r="BN117" s="305"/>
      <c r="BO117" s="305"/>
      <c r="BP117" s="305"/>
      <c r="BQ117" s="305"/>
      <c r="BR117" s="305"/>
      <c r="BS117" s="305"/>
      <c r="BT117" s="305"/>
      <c r="BU117" s="305"/>
      <c r="BV117" s="305"/>
      <c r="BW117" s="305"/>
      <c r="BX117" s="305"/>
      <c r="BY117" s="305"/>
      <c r="BZ117" s="305"/>
      <c r="CA117" s="305"/>
      <c r="CB117" s="305"/>
      <c r="CC117" s="305"/>
      <c r="CD117" s="305"/>
      <c r="CE117" s="305"/>
      <c r="CF117" s="305"/>
      <c r="CG117" s="305"/>
      <c r="CH117" s="305"/>
      <c r="CI117" s="305"/>
      <c r="CJ117" s="305"/>
      <c r="CK117" s="305"/>
      <c r="CL117" s="305"/>
      <c r="CM117" s="305"/>
      <c r="CN117" s="305"/>
      <c r="CO117" s="305"/>
      <c r="CP117" s="305"/>
      <c r="CQ117" s="305"/>
      <c r="CR117" s="305"/>
      <c r="CS117" s="305"/>
      <c r="CT117" s="305"/>
      <c r="CU117" s="305"/>
      <c r="CV117" s="305"/>
      <c r="CW117" s="305"/>
      <c r="CX117" s="305"/>
      <c r="CY117" s="305"/>
      <c r="CZ117" s="305"/>
      <c r="DA117" s="305"/>
      <c r="DB117" s="305"/>
      <c r="DC117" s="305"/>
      <c r="DD117" s="305"/>
      <c r="DE117" s="305"/>
      <c r="DF117" s="305"/>
      <c r="DG117" s="305"/>
      <c r="DH117" s="305"/>
      <c r="DI117" s="305"/>
      <c r="DJ117" s="305"/>
      <c r="DK117" s="305"/>
      <c r="DL117" s="305"/>
      <c r="DM117" s="305"/>
      <c r="DN117" s="305"/>
      <c r="DO117" s="305"/>
      <c r="DP117" s="305"/>
      <c r="DQ117" s="305"/>
      <c r="DR117" s="305"/>
      <c r="DS117" s="305"/>
      <c r="DT117" s="305"/>
      <c r="DU117" s="305"/>
      <c r="DV117" s="305"/>
      <c r="DW117" s="305"/>
      <c r="DX117" s="305"/>
      <c r="DY117" s="305"/>
      <c r="DZ117" s="305"/>
      <c r="EA117" s="305"/>
      <c r="EB117" s="305"/>
      <c r="EC117" s="305"/>
      <c r="ED117" s="305"/>
      <c r="EE117" s="305"/>
      <c r="EF117" s="305"/>
      <c r="EG117" s="305"/>
      <c r="EH117" s="305"/>
      <c r="EI117" s="305"/>
      <c r="EJ117" s="305"/>
      <c r="EK117" s="305"/>
      <c r="EL117" s="305"/>
      <c r="EM117" s="305"/>
      <c r="EN117" s="305"/>
      <c r="EO117" s="305"/>
      <c r="EP117" s="305"/>
      <c r="EQ117" s="305"/>
      <c r="ER117" s="305"/>
      <c r="ES117" s="305"/>
      <c r="ET117" s="305"/>
      <c r="EU117" s="305"/>
      <c r="EV117" s="305"/>
      <c r="EW117" s="305"/>
      <c r="EX117" s="305"/>
      <c r="EY117" s="305"/>
      <c r="EZ117" s="305"/>
      <c r="FA117" s="305"/>
      <c r="FB117" s="305"/>
      <c r="FC117" s="305"/>
      <c r="FD117" s="305"/>
      <c r="FE117" s="305"/>
      <c r="FF117" s="305"/>
      <c r="FG117" s="305"/>
      <c r="FH117" s="305"/>
      <c r="FI117" s="305"/>
      <c r="FJ117" s="305"/>
    </row>
    <row r="118" ht="12.75" customHeight="1" hidden="1" spans="3:238" x14ac:dyDescent="0.25">
      <c r="C118" s="298"/>
      <c r="D118" s="299"/>
      <c r="E118" s="300"/>
      <c r="F118" s="299"/>
      <c r="G118" s="299"/>
      <c r="H118" s="1"/>
      <c r="I118" s="149"/>
      <c r="J118" s="149"/>
      <c r="K118" s="1"/>
      <c r="L118" s="301"/>
      <c r="M118" s="302"/>
      <c r="N118" s="302"/>
      <c r="O118" s="302"/>
      <c r="P118" s="303"/>
      <c r="Q118" s="303"/>
      <c r="R118" s="303"/>
      <c r="S118" s="304"/>
      <c r="T118" s="303"/>
      <c r="U118" s="303"/>
      <c r="V118" s="303"/>
      <c r="W118" s="303"/>
      <c r="X118" s="303"/>
      <c r="Y118" s="243"/>
      <c r="Z118" s="303"/>
      <c r="AA118" s="303"/>
      <c r="AB118" s="303"/>
      <c r="AC118" s="303"/>
      <c r="AD118" s="298"/>
      <c r="AE118" s="299"/>
      <c r="AF118" s="299"/>
      <c r="AG118" s="300"/>
      <c r="AJ118" s="5"/>
      <c r="AK118" s="5"/>
      <c r="AL118" s="5"/>
      <c r="AM118" s="5"/>
      <c r="AN118" s="5"/>
      <c r="AO118" s="5"/>
      <c r="AP118" s="5"/>
      <c r="AS118" s="5"/>
      <c r="AT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ID118" s="306"/>
    </row>
    <row r="119" ht="12.75" customHeight="1" hidden="1" spans="3:238" x14ac:dyDescent="0.25">
      <c r="C119" s="298"/>
      <c r="D119" s="299"/>
      <c r="E119" s="300"/>
      <c r="F119" s="299"/>
      <c r="G119" s="299"/>
      <c r="H119" s="1"/>
      <c r="I119" s="149"/>
      <c r="J119" s="149"/>
      <c r="K119" s="1"/>
      <c r="L119" s="301"/>
      <c r="M119" s="302"/>
      <c r="N119" s="302"/>
      <c r="O119" s="302"/>
      <c r="P119" s="303"/>
      <c r="Q119" s="303"/>
      <c r="R119" s="303"/>
      <c r="S119" s="304"/>
      <c r="T119" s="303"/>
      <c r="U119" s="303"/>
      <c r="V119" s="303"/>
      <c r="W119" s="303"/>
      <c r="X119" s="303"/>
      <c r="Y119" s="243"/>
      <c r="Z119" s="303"/>
      <c r="AA119" s="303"/>
      <c r="AB119" s="303"/>
      <c r="AC119" s="303"/>
      <c r="AD119" s="298"/>
      <c r="AE119" s="299"/>
      <c r="AF119" s="299"/>
      <c r="AG119" s="300"/>
      <c r="AJ119" s="5"/>
      <c r="AK119" s="5"/>
      <c r="AL119" s="5"/>
      <c r="AM119" s="5"/>
      <c r="AN119" s="5"/>
      <c r="AO119" s="5"/>
      <c r="AP119" s="5"/>
      <c r="AS119" s="5"/>
      <c r="AT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ID119" s="306"/>
    </row>
    <row r="120" ht="12.75" customHeight="1" hidden="1" spans="3:238" x14ac:dyDescent="0.25">
      <c r="C120" s="298"/>
      <c r="D120" s="299"/>
      <c r="E120" s="300"/>
      <c r="F120" s="299"/>
      <c r="G120" s="299"/>
      <c r="H120" s="149"/>
      <c r="I120" s="149"/>
      <c r="J120" s="149"/>
      <c r="K120" s="149"/>
      <c r="L120" s="301"/>
      <c r="M120" s="302"/>
      <c r="N120" s="302"/>
      <c r="O120" s="302"/>
      <c r="P120" s="303"/>
      <c r="Q120" s="303"/>
      <c r="R120" s="303"/>
      <c r="S120" s="304"/>
      <c r="T120" s="303"/>
      <c r="U120" s="303"/>
      <c r="V120" s="303"/>
      <c r="W120" s="303"/>
      <c r="X120" s="303"/>
      <c r="Y120" s="243"/>
      <c r="Z120" s="303"/>
      <c r="AA120" s="303"/>
      <c r="AB120" s="303"/>
      <c r="AC120" s="303"/>
      <c r="AD120" s="298"/>
      <c r="AE120" s="299"/>
      <c r="AF120" s="299"/>
      <c r="AG120" s="300"/>
      <c r="AJ120" s="5"/>
      <c r="AK120" s="5"/>
      <c r="AL120" s="5"/>
      <c r="AM120" s="5"/>
      <c r="AN120" s="5"/>
      <c r="AO120" s="5"/>
      <c r="AP120" s="5"/>
      <c r="AS120" s="5"/>
      <c r="AT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ID120" s="306"/>
    </row>
    <row r="121" ht="12.75" customHeight="1" hidden="1" spans="3:238" x14ac:dyDescent="0.25">
      <c r="C121" s="298"/>
      <c r="D121" s="299"/>
      <c r="E121" s="300"/>
      <c r="F121" s="299"/>
      <c r="G121" s="299"/>
      <c r="H121" s="302"/>
      <c r="I121" s="149"/>
      <c r="J121" s="149"/>
      <c r="K121" s="302"/>
      <c r="L121" s="301"/>
      <c r="M121" s="302"/>
      <c r="N121" s="302"/>
      <c r="O121" s="302"/>
      <c r="P121" s="303"/>
      <c r="Q121" s="303"/>
      <c r="R121" s="303"/>
      <c r="S121" s="304"/>
      <c r="T121" s="303"/>
      <c r="U121" s="303"/>
      <c r="V121" s="303"/>
      <c r="W121" s="303"/>
      <c r="X121" s="303"/>
      <c r="Y121" s="243"/>
      <c r="Z121" s="303"/>
      <c r="AA121" s="303"/>
      <c r="AB121" s="303"/>
      <c r="AC121" s="303"/>
      <c r="AD121" s="298"/>
      <c r="AE121" s="299"/>
      <c r="AF121" s="299"/>
      <c r="AG121" s="300"/>
      <c r="AJ121" s="5"/>
      <c r="AK121" s="252"/>
      <c r="AL121" s="5"/>
      <c r="AM121" s="5"/>
      <c r="AN121" s="5"/>
      <c r="AO121" s="5"/>
      <c r="AP121" s="5"/>
      <c r="AS121" s="5"/>
      <c r="AT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ID121" s="306"/>
    </row>
    <row r="122" ht="12.75" customHeight="1" hidden="1" spans="3:238" x14ac:dyDescent="0.25">
      <c r="C122" s="298"/>
      <c r="D122" s="299"/>
      <c r="E122" s="300"/>
      <c r="F122" s="299"/>
      <c r="G122" s="299"/>
      <c r="H122" s="302"/>
      <c r="I122" s="149"/>
      <c r="J122" s="149"/>
      <c r="K122" s="302"/>
      <c r="L122" s="301"/>
      <c r="M122" s="302"/>
      <c r="N122" s="302"/>
      <c r="O122" s="302"/>
      <c r="P122" s="303"/>
      <c r="Q122" s="303"/>
      <c r="R122" s="303"/>
      <c r="S122" s="304"/>
      <c r="T122" s="303"/>
      <c r="U122" s="303"/>
      <c r="V122" s="303"/>
      <c r="W122" s="303"/>
      <c r="X122" s="303"/>
      <c r="Y122" s="243"/>
      <c r="Z122" s="303"/>
      <c r="AA122" s="303"/>
      <c r="AB122" s="303"/>
      <c r="AC122" s="303"/>
      <c r="AD122" s="298"/>
      <c r="AE122" s="299"/>
      <c r="AF122" s="299"/>
      <c r="AG122" s="300"/>
      <c r="AJ122" s="5"/>
      <c r="AK122" s="252"/>
      <c r="AL122" s="5"/>
      <c r="AM122" s="5"/>
      <c r="AN122" s="5"/>
      <c r="AO122" s="5"/>
      <c r="AP122" s="5"/>
      <c r="AS122" s="5"/>
      <c r="AT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ID122" s="306"/>
    </row>
    <row r="123" ht="12.75" customHeight="1" hidden="1" spans="3:238" x14ac:dyDescent="0.25">
      <c r="C123" s="298"/>
      <c r="D123" s="299"/>
      <c r="E123" s="300"/>
      <c r="F123" s="299"/>
      <c r="G123" s="299"/>
      <c r="H123" s="302"/>
      <c r="I123" s="149"/>
      <c r="J123" s="149"/>
      <c r="K123" s="302"/>
      <c r="L123" s="301"/>
      <c r="M123" s="302"/>
      <c r="N123" s="302"/>
      <c r="O123" s="302"/>
      <c r="P123" s="303"/>
      <c r="Q123" s="303"/>
      <c r="R123" s="303"/>
      <c r="S123" s="304"/>
      <c r="T123" s="303"/>
      <c r="U123" s="303"/>
      <c r="V123" s="303"/>
      <c r="W123" s="303"/>
      <c r="X123" s="303"/>
      <c r="Y123" s="243"/>
      <c r="Z123" s="303"/>
      <c r="AA123" s="303"/>
      <c r="AB123" s="303"/>
      <c r="AC123" s="303"/>
      <c r="AD123" s="298"/>
      <c r="AE123" s="299"/>
      <c r="AF123" s="299"/>
      <c r="AG123" s="300"/>
      <c r="AJ123" s="5"/>
      <c r="AK123" s="252"/>
      <c r="AL123" s="5"/>
      <c r="AM123" s="5"/>
      <c r="AN123" s="5"/>
      <c r="AO123" s="5"/>
      <c r="AP123" s="5"/>
      <c r="AS123" s="5"/>
      <c r="AT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ID123" s="306"/>
    </row>
    <row r="124" ht="12.75" customHeight="1" hidden="1" spans="3:238" x14ac:dyDescent="0.25">
      <c r="C124" s="298"/>
      <c r="D124" s="299"/>
      <c r="E124" s="300"/>
      <c r="F124" s="299"/>
      <c r="G124" s="299"/>
      <c r="H124" s="302"/>
      <c r="I124" s="149"/>
      <c r="J124" s="149"/>
      <c r="K124" s="302"/>
      <c r="L124" s="301"/>
      <c r="M124" s="302"/>
      <c r="N124" s="302"/>
      <c r="O124" s="302"/>
      <c r="P124" s="303"/>
      <c r="Q124" s="303"/>
      <c r="R124" s="303"/>
      <c r="S124" s="304"/>
      <c r="T124" s="303"/>
      <c r="U124" s="303"/>
      <c r="V124" s="303"/>
      <c r="W124" s="303"/>
      <c r="X124" s="303"/>
      <c r="Y124" s="243"/>
      <c r="Z124" s="303"/>
      <c r="AA124" s="303"/>
      <c r="AB124" s="303"/>
      <c r="AC124" s="303"/>
      <c r="AD124" s="298"/>
      <c r="AE124" s="299"/>
      <c r="AF124" s="299"/>
      <c r="AG124" s="300"/>
      <c r="AJ124" s="5"/>
      <c r="AK124" s="252"/>
      <c r="AL124" s="5"/>
      <c r="AM124" s="5"/>
      <c r="AN124" s="5"/>
      <c r="AO124" s="5"/>
      <c r="AP124" s="5"/>
      <c r="AS124" s="5"/>
      <c r="AT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ID124" s="306"/>
    </row>
    <row r="125" ht="12.75" customHeight="1" hidden="1" spans="3:238" x14ac:dyDescent="0.25">
      <c r="C125" s="298"/>
      <c r="D125" s="299"/>
      <c r="E125" s="300"/>
      <c r="F125" s="299"/>
      <c r="G125" s="299"/>
      <c r="H125" s="302"/>
      <c r="I125" s="149"/>
      <c r="J125" s="149"/>
      <c r="K125" s="302"/>
      <c r="L125" s="301"/>
      <c r="M125" s="302"/>
      <c r="N125" s="302"/>
      <c r="O125" s="302"/>
      <c r="P125" s="303"/>
      <c r="Q125" s="303"/>
      <c r="R125" s="303"/>
      <c r="S125" s="304"/>
      <c r="T125" s="303"/>
      <c r="U125" s="303"/>
      <c r="V125" s="303"/>
      <c r="W125" s="303"/>
      <c r="X125" s="303"/>
      <c r="Y125" s="243"/>
      <c r="Z125" s="303"/>
      <c r="AA125" s="303"/>
      <c r="AB125" s="303"/>
      <c r="AC125" s="303"/>
      <c r="AD125" s="298"/>
      <c r="AE125" s="299"/>
      <c r="AF125" s="299"/>
      <c r="AG125" s="300"/>
      <c r="AJ125" s="5"/>
      <c r="AK125" s="252"/>
      <c r="AL125" s="5"/>
      <c r="AM125" s="5"/>
      <c r="AN125" s="5"/>
      <c r="AO125" s="5"/>
      <c r="AP125" s="5"/>
      <c r="AS125" s="5"/>
      <c r="AT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ID125" s="306"/>
    </row>
    <row r="126" ht="12.75" customHeight="1" hidden="1" spans="3:238" x14ac:dyDescent="0.25">
      <c r="C126" s="298"/>
      <c r="D126" s="299"/>
      <c r="E126" s="300"/>
      <c r="F126" s="299"/>
      <c r="G126" s="299"/>
      <c r="H126" s="302"/>
      <c r="I126" s="149"/>
      <c r="J126" s="149"/>
      <c r="K126" s="302"/>
      <c r="L126" s="301"/>
      <c r="M126" s="302"/>
      <c r="N126" s="302"/>
      <c r="O126" s="302"/>
      <c r="P126" s="303"/>
      <c r="Q126" s="303"/>
      <c r="R126" s="303"/>
      <c r="S126" s="304"/>
      <c r="T126" s="303"/>
      <c r="U126" s="303"/>
      <c r="V126" s="303"/>
      <c r="W126" s="303"/>
      <c r="X126" s="303"/>
      <c r="Y126" s="243"/>
      <c r="Z126" s="303"/>
      <c r="AA126" s="303"/>
      <c r="AB126" s="303"/>
      <c r="AC126" s="303"/>
      <c r="AD126" s="298"/>
      <c r="AE126" s="299"/>
      <c r="AF126" s="299"/>
      <c r="AG126" s="300"/>
      <c r="AJ126" s="5"/>
      <c r="AK126" s="252"/>
      <c r="AL126" s="5"/>
      <c r="AM126" s="5"/>
      <c r="AN126" s="5"/>
      <c r="AO126" s="5"/>
      <c r="AP126" s="5"/>
      <c r="AS126" s="5"/>
      <c r="AT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ID126" s="306"/>
    </row>
    <row r="127" ht="12.75" customHeight="1" hidden="1" spans="3:238" x14ac:dyDescent="0.25">
      <c r="C127" s="281"/>
      <c r="D127" s="281"/>
      <c r="E127" s="281"/>
      <c r="F127" s="285"/>
      <c r="G127" s="281"/>
      <c r="H127" s="1"/>
      <c r="I127" s="1"/>
      <c r="J127" s="1"/>
      <c r="K127" s="1"/>
      <c r="L127" s="285"/>
      <c r="M127" s="286"/>
      <c r="N127" s="286"/>
      <c r="O127" s="286"/>
      <c r="P127" s="307"/>
      <c r="Q127" s="307"/>
      <c r="R127" s="307"/>
      <c r="S127" s="308"/>
      <c r="T127" s="286"/>
      <c r="U127" s="286"/>
      <c r="V127" s="286"/>
      <c r="W127" s="309"/>
      <c r="X127" s="309"/>
      <c r="Y127" s="3"/>
      <c r="Z127" s="310"/>
      <c r="AA127" s="286"/>
      <c r="AB127" s="286"/>
      <c r="AC127" s="286"/>
      <c r="AD127" s="286"/>
      <c r="AE127" s="286"/>
      <c r="AF127" s="281"/>
      <c r="AG127" s="281"/>
      <c r="AJ127" s="5"/>
      <c r="AK127" s="252"/>
      <c r="AL127" s="5"/>
      <c r="AM127" s="5"/>
      <c r="AN127" s="5"/>
      <c r="AO127" s="5"/>
      <c r="AP127" s="5"/>
      <c r="AS127" s="5"/>
      <c r="AT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ID127" s="5"/>
    </row>
    <row r="128" ht="12.75" customHeight="1" hidden="1" spans="3:238" x14ac:dyDescent="0.25">
      <c r="C128" s="311"/>
      <c r="D128" s="312"/>
      <c r="E128" s="313"/>
      <c r="F128" s="313"/>
      <c r="G128" s="311"/>
      <c r="H128" s="313"/>
      <c r="I128" s="311"/>
      <c r="J128" s="311"/>
      <c r="K128" s="311"/>
      <c r="L128" s="314"/>
      <c r="M128" s="314"/>
      <c r="N128" s="314"/>
      <c r="O128" s="314"/>
      <c r="P128" s="314"/>
      <c r="Q128" s="314"/>
      <c r="R128" s="311"/>
      <c r="S128" s="314"/>
      <c r="T128" s="314"/>
      <c r="U128" s="315"/>
      <c r="V128" s="313"/>
      <c r="W128" s="313"/>
      <c r="X128" s="313"/>
      <c r="Y128" s="313"/>
      <c r="Z128" s="311"/>
      <c r="AA128" s="313"/>
      <c r="AB128" s="313"/>
      <c r="AC128" s="313"/>
      <c r="AD128" s="316"/>
      <c r="AE128" s="316"/>
      <c r="AF128" s="316"/>
      <c r="AG128" s="317"/>
      <c r="AJ128" s="5"/>
      <c r="AK128" s="252"/>
      <c r="AL128" s="5"/>
      <c r="AM128" s="5"/>
      <c r="AN128" s="5"/>
      <c r="AO128" s="5"/>
      <c r="AP128" s="5"/>
      <c r="AS128" s="5"/>
      <c r="AT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ID128" s="5"/>
    </row>
    <row r="129" ht="12.75" customHeight="1" hidden="1" spans="1:237" s="5" customFormat="1" x14ac:dyDescent="0.25">
      <c r="A129" s="1"/>
      <c r="B129" s="2"/>
      <c r="C129" s="318"/>
      <c r="D129" s="149"/>
      <c r="E129" s="149"/>
      <c r="F129" s="149"/>
      <c r="G129" s="318"/>
      <c r="H129" s="149"/>
      <c r="I129" s="318"/>
      <c r="J129" s="149"/>
      <c r="K129" s="318"/>
      <c r="L129" s="319"/>
      <c r="M129" s="320"/>
      <c r="N129" s="319"/>
      <c r="O129" s="320"/>
      <c r="P129" s="319"/>
      <c r="Q129" s="320"/>
      <c r="R129" s="318"/>
      <c r="S129" s="319"/>
      <c r="T129" s="320"/>
      <c r="U129" s="319"/>
      <c r="V129" s="320"/>
      <c r="W129" s="318"/>
      <c r="X129" s="318"/>
      <c r="Y129" s="318"/>
      <c r="Z129" s="318"/>
      <c r="AA129" s="320"/>
      <c r="AB129" s="320"/>
      <c r="AC129" s="320"/>
      <c r="AD129" s="320"/>
      <c r="AE129" s="320"/>
      <c r="AF129" s="318"/>
      <c r="AG129" s="318"/>
      <c r="AH129" s="1"/>
      <c r="AI129" s="3"/>
      <c r="AK129" s="252"/>
      <c r="HY129" s="6"/>
      <c r="HZ129" s="6"/>
      <c r="IA129" s="6"/>
      <c r="IB129" s="6"/>
      <c r="IC129" s="6"/>
    </row>
    <row r="130" ht="12.75" customHeight="1" hidden="1" spans="1:237" s="5" customFormat="1" x14ac:dyDescent="0.25">
      <c r="A130" s="1"/>
      <c r="B130" s="2"/>
      <c r="C130" s="318"/>
      <c r="D130" s="321"/>
      <c r="E130" s="322"/>
      <c r="F130" s="322"/>
      <c r="G130" s="321"/>
      <c r="H130" s="322"/>
      <c r="I130" s="321"/>
      <c r="J130" s="322"/>
      <c r="K130" s="321"/>
      <c r="L130" s="322"/>
      <c r="M130" s="321"/>
      <c r="N130" s="321"/>
      <c r="O130" s="321"/>
      <c r="P130" s="322"/>
      <c r="Q130" s="323"/>
      <c r="R130" s="323"/>
      <c r="S130" s="323"/>
      <c r="T130" s="321"/>
      <c r="U130" s="324"/>
      <c r="V130" s="325"/>
      <c r="W130" s="325"/>
      <c r="X130" s="325"/>
      <c r="Y130" s="325"/>
      <c r="Z130" s="325"/>
      <c r="AA130" s="325"/>
      <c r="AB130" s="325"/>
      <c r="AC130" s="325"/>
      <c r="AD130" s="325"/>
      <c r="AE130" s="325"/>
      <c r="AF130" s="326"/>
      <c r="AG130" s="327"/>
      <c r="AH130" s="1"/>
      <c r="AI130" s="3"/>
      <c r="AK130" s="252"/>
      <c r="HY130" s="6"/>
      <c r="HZ130" s="6"/>
      <c r="IA130" s="6"/>
      <c r="IB130" s="6"/>
      <c r="IC130" s="6"/>
    </row>
    <row r="131" ht="12.75" customHeight="1" hidden="1" spans="1:237" s="5" customFormat="1" x14ac:dyDescent="0.25">
      <c r="A131" s="1"/>
      <c r="B131" s="2"/>
      <c r="C131" s="318"/>
      <c r="D131" s="321"/>
      <c r="E131" s="322"/>
      <c r="F131" s="322"/>
      <c r="G131" s="321"/>
      <c r="H131" s="322"/>
      <c r="I131" s="321"/>
      <c r="J131" s="321"/>
      <c r="K131" s="321"/>
      <c r="L131" s="321"/>
      <c r="M131" s="321"/>
      <c r="N131" s="321"/>
      <c r="O131" s="321"/>
      <c r="P131" s="322"/>
      <c r="Q131" s="323"/>
      <c r="R131" s="323"/>
      <c r="S131" s="323"/>
      <c r="T131" s="321"/>
      <c r="U131" s="324"/>
      <c r="V131" s="325"/>
      <c r="W131" s="325"/>
      <c r="X131" s="325"/>
      <c r="Y131" s="325"/>
      <c r="Z131" s="325"/>
      <c r="AA131" s="325"/>
      <c r="AB131" s="325"/>
      <c r="AC131" s="325"/>
      <c r="AD131" s="325"/>
      <c r="AE131" s="325"/>
      <c r="AF131" s="328"/>
      <c r="AG131" s="329"/>
      <c r="AH131" s="1"/>
      <c r="AI131" s="3"/>
      <c r="AK131" s="252"/>
      <c r="HY131" s="6"/>
      <c r="HZ131" s="6"/>
      <c r="IA131" s="6"/>
      <c r="IB131" s="6"/>
      <c r="IC131" s="6"/>
    </row>
    <row r="132" ht="12.75" customHeight="1" hidden="1" spans="1:238" s="306" customFormat="1" x14ac:dyDescent="0.25">
      <c r="A132" s="1"/>
      <c r="B132" s="2"/>
      <c r="C132" s="318"/>
      <c r="D132" s="321"/>
      <c r="E132" s="322"/>
      <c r="F132" s="322"/>
      <c r="G132" s="321"/>
      <c r="H132" s="322"/>
      <c r="I132" s="321"/>
      <c r="J132" s="321"/>
      <c r="K132" s="321"/>
      <c r="L132" s="321"/>
      <c r="M132" s="321"/>
      <c r="N132" s="321"/>
      <c r="O132" s="321"/>
      <c r="P132" s="302"/>
      <c r="Q132" s="330"/>
      <c r="R132" s="330"/>
      <c r="S132" s="330"/>
      <c r="T132" s="321"/>
      <c r="U132" s="324"/>
      <c r="V132" s="325"/>
      <c r="W132" s="325"/>
      <c r="X132" s="325"/>
      <c r="Y132" s="325"/>
      <c r="Z132" s="325"/>
      <c r="AA132" s="325"/>
      <c r="AB132" s="325"/>
      <c r="AC132" s="325"/>
      <c r="AD132" s="325"/>
      <c r="AE132" s="325"/>
      <c r="AF132" s="326"/>
      <c r="AG132" s="327"/>
      <c r="AH132" s="1"/>
      <c r="AI132" s="3"/>
      <c r="AJ132" s="5"/>
      <c r="AK132" s="252"/>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6"/>
      <c r="HZ132" s="6"/>
      <c r="IA132" s="6"/>
      <c r="IB132" s="6"/>
      <c r="IC132" s="6"/>
      <c r="ID132" s="5"/>
    </row>
    <row r="133" ht="12.75" customHeight="1" hidden="1" spans="1:238" s="306" customFormat="1" x14ac:dyDescent="0.25">
      <c r="A133" s="318"/>
      <c r="B133" s="331"/>
      <c r="C133" s="318"/>
      <c r="D133" s="321"/>
      <c r="E133" s="322"/>
      <c r="F133" s="322"/>
      <c r="G133" s="321"/>
      <c r="H133" s="322"/>
      <c r="I133" s="321"/>
      <c r="J133" s="321"/>
      <c r="K133" s="321"/>
      <c r="L133" s="321"/>
      <c r="M133" s="321"/>
      <c r="N133" s="321"/>
      <c r="O133" s="321"/>
      <c r="P133" s="332" t="e">
        <f>+#REF!</f>
        <v>#REF!</v>
      </c>
      <c r="Q133" s="332"/>
      <c r="R133" s="332"/>
      <c r="S133" s="332"/>
      <c r="T133" s="321"/>
      <c r="U133" s="333"/>
      <c r="V133" s="334"/>
      <c r="W133" s="334"/>
      <c r="X133" s="334"/>
      <c r="Y133" s="334"/>
      <c r="Z133" s="334"/>
      <c r="AA133" s="334"/>
      <c r="AB133" s="334"/>
      <c r="AC133" s="334"/>
      <c r="AD133" s="334"/>
      <c r="AE133" s="334"/>
      <c r="AF133" s="326"/>
      <c r="AG133" s="327"/>
      <c r="AH133" s="1"/>
      <c r="AI133" s="3"/>
      <c r="AJ133" s="5"/>
      <c r="AK133" s="252"/>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6"/>
      <c r="HZ133" s="6"/>
      <c r="IA133" s="6"/>
      <c r="IB133" s="6"/>
      <c r="IC133" s="6"/>
      <c r="ID133" s="5"/>
    </row>
    <row r="134" ht="12.75" customHeight="1" hidden="1" spans="1:238" s="306" customFormat="1" x14ac:dyDescent="0.25">
      <c r="A134" s="318"/>
      <c r="B134" s="331"/>
      <c r="C134" s="318"/>
      <c r="D134" s="321"/>
      <c r="E134" s="322"/>
      <c r="F134" s="322"/>
      <c r="G134" s="321"/>
      <c r="H134" s="322"/>
      <c r="I134" s="321"/>
      <c r="J134" s="321"/>
      <c r="K134" s="321"/>
      <c r="L134" s="321"/>
      <c r="M134" s="321"/>
      <c r="N134" s="321"/>
      <c r="O134" s="321"/>
      <c r="P134" s="322"/>
      <c r="Q134" s="323"/>
      <c r="R134" s="323"/>
      <c r="S134" s="323"/>
      <c r="T134" s="321"/>
      <c r="U134" s="333"/>
      <c r="V134" s="334"/>
      <c r="W134" s="334"/>
      <c r="X134" s="334"/>
      <c r="Y134" s="334"/>
      <c r="Z134" s="334"/>
      <c r="AA134" s="334"/>
      <c r="AB134" s="334"/>
      <c r="AC134" s="334"/>
      <c r="AD134" s="334"/>
      <c r="AE134" s="334"/>
      <c r="AF134" s="335"/>
      <c r="AG134" s="336"/>
      <c r="AH134" s="1"/>
      <c r="AI134" s="3"/>
      <c r="AJ134" s="5"/>
      <c r="AK134" s="252"/>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6"/>
      <c r="HZ134" s="6"/>
      <c r="IA134" s="6"/>
      <c r="IB134" s="6"/>
      <c r="IC134" s="6"/>
      <c r="ID134" s="5"/>
    </row>
    <row r="135" ht="12.75" customHeight="1" hidden="1" spans="1:238" s="306" customFormat="1" x14ac:dyDescent="0.25">
      <c r="A135" s="318"/>
      <c r="B135" s="331"/>
      <c r="C135" s="318"/>
      <c r="D135" s="321"/>
      <c r="E135" s="149"/>
      <c r="F135" s="149"/>
      <c r="G135" s="318"/>
      <c r="H135" s="149"/>
      <c r="I135" s="318"/>
      <c r="J135" s="318"/>
      <c r="K135" s="318"/>
      <c r="L135" s="318"/>
      <c r="M135" s="149"/>
      <c r="N135" s="337"/>
      <c r="O135" s="337"/>
      <c r="P135" s="337"/>
      <c r="Q135" s="318"/>
      <c r="R135" s="318"/>
      <c r="S135" s="318"/>
      <c r="T135" s="149"/>
      <c r="U135" s="337"/>
      <c r="V135" s="337"/>
      <c r="W135" s="318"/>
      <c r="X135" s="318"/>
      <c r="Y135" s="318"/>
      <c r="Z135" s="318"/>
      <c r="AA135" s="337"/>
      <c r="AB135" s="337"/>
      <c r="AC135" s="337"/>
      <c r="AD135" s="337"/>
      <c r="AE135" s="337"/>
      <c r="AF135" s="318"/>
      <c r="AG135" s="318"/>
      <c r="AH135" s="1"/>
      <c r="AI135" s="3"/>
      <c r="AJ135" s="5"/>
      <c r="AK135" s="252"/>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6"/>
      <c r="HZ135" s="6"/>
      <c r="IA135" s="6"/>
      <c r="IB135" s="6"/>
      <c r="IC135" s="6"/>
      <c r="ID135" s="5"/>
    </row>
    <row r="136" ht="12.75" customHeight="1" hidden="1" spans="1:238" s="306" customFormat="1" x14ac:dyDescent="0.25">
      <c r="A136" s="318"/>
      <c r="B136" s="331"/>
      <c r="C136" s="314"/>
      <c r="D136" s="338"/>
      <c r="E136" s="338"/>
      <c r="F136" s="338"/>
      <c r="G136" s="338"/>
      <c r="H136" s="338"/>
      <c r="I136" s="338"/>
      <c r="J136" s="338"/>
      <c r="K136" s="338"/>
      <c r="L136" s="338"/>
      <c r="M136" s="338"/>
      <c r="N136" s="338"/>
      <c r="O136" s="338"/>
      <c r="P136" s="338"/>
      <c r="Q136" s="339"/>
      <c r="R136" s="338"/>
      <c r="S136" s="338"/>
      <c r="T136" s="338"/>
      <c r="U136" s="338"/>
      <c r="V136" s="338"/>
      <c r="W136" s="314"/>
      <c r="X136" s="314"/>
      <c r="Y136" s="314"/>
      <c r="Z136" s="314"/>
      <c r="AA136" s="338"/>
      <c r="AB136" s="338"/>
      <c r="AC136" s="338"/>
      <c r="AD136" s="338"/>
      <c r="AE136" s="338"/>
      <c r="AF136" s="314"/>
      <c r="AG136" s="314"/>
      <c r="AH136" s="1"/>
      <c r="AI136" s="3"/>
      <c r="AJ136" s="5"/>
      <c r="AK136" s="252"/>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6"/>
      <c r="HZ136" s="6"/>
      <c r="IA136" s="6"/>
      <c r="IB136" s="6"/>
      <c r="IC136" s="6"/>
      <c r="ID136" s="5"/>
    </row>
    <row r="137" ht="12.75" customHeight="1" hidden="1" spans="1:238" s="306" customFormat="1" x14ac:dyDescent="0.25">
      <c r="A137" s="318"/>
      <c r="B137" s="331"/>
      <c r="C137" s="340"/>
      <c r="D137" s="341"/>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3"/>
      <c r="AH137" s="1"/>
      <c r="AI137" s="3"/>
      <c r="AJ137" s="5"/>
      <c r="AK137" s="252"/>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6"/>
      <c r="HZ137" s="6"/>
      <c r="IA137" s="6"/>
      <c r="IB137" s="6"/>
      <c r="IC137" s="6"/>
      <c r="ID137" s="5"/>
    </row>
    <row r="138" ht="12.75" customHeight="1" hidden="1" spans="1:238" s="306" customFormat="1" x14ac:dyDescent="0.25">
      <c r="A138" s="318"/>
      <c r="B138" s="331"/>
      <c r="C138" s="340"/>
      <c r="D138" s="344"/>
      <c r="E138" s="344"/>
      <c r="F138" s="344"/>
      <c r="G138" s="344"/>
      <c r="H138" s="344"/>
      <c r="I138" s="344"/>
      <c r="J138" s="344"/>
      <c r="K138" s="344"/>
      <c r="L138" s="344"/>
      <c r="M138" s="344"/>
      <c r="N138" s="344"/>
      <c r="O138" s="344"/>
      <c r="P138" s="344"/>
      <c r="Q138" s="344"/>
      <c r="R138" s="344"/>
      <c r="S138" s="344"/>
      <c r="T138" s="344"/>
      <c r="U138" s="344"/>
      <c r="V138" s="344"/>
      <c r="W138" s="344"/>
      <c r="X138" s="344"/>
      <c r="Y138" s="344"/>
      <c r="Z138" s="344"/>
      <c r="AA138" s="344"/>
      <c r="AB138" s="344"/>
      <c r="AC138" s="344"/>
      <c r="AD138" s="344"/>
      <c r="AE138" s="344"/>
      <c r="AF138" s="344"/>
      <c r="AG138" s="345"/>
      <c r="AH138" s="1"/>
      <c r="AI138" s="3"/>
      <c r="AJ138" s="5"/>
      <c r="AK138" s="252"/>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6"/>
      <c r="HZ138" s="6"/>
      <c r="IA138" s="6"/>
      <c r="IB138" s="6"/>
      <c r="IC138" s="6"/>
      <c r="ID138" s="5"/>
    </row>
    <row r="139" ht="12.75" customHeight="1" hidden="1" spans="1:238" s="306" customFormat="1" x14ac:dyDescent="0.25">
      <c r="A139" s="318"/>
      <c r="B139" s="331"/>
      <c r="C139" s="340"/>
      <c r="D139" s="344"/>
      <c r="E139" s="344"/>
      <c r="F139" s="344"/>
      <c r="G139" s="344"/>
      <c r="H139" s="344"/>
      <c r="I139" s="344"/>
      <c r="J139" s="344"/>
      <c r="K139" s="344"/>
      <c r="L139" s="344"/>
      <c r="M139" s="344"/>
      <c r="N139" s="344"/>
      <c r="O139" s="344"/>
      <c r="P139" s="344"/>
      <c r="Q139" s="344"/>
      <c r="R139" s="344"/>
      <c r="S139" s="344"/>
      <c r="T139" s="344"/>
      <c r="U139" s="344"/>
      <c r="V139" s="344"/>
      <c r="W139" s="344"/>
      <c r="X139" s="344"/>
      <c r="Y139" s="344"/>
      <c r="Z139" s="344"/>
      <c r="AA139" s="344"/>
      <c r="AB139" s="344"/>
      <c r="AC139" s="344"/>
      <c r="AD139" s="344"/>
      <c r="AE139" s="344"/>
      <c r="AF139" s="344"/>
      <c r="AG139" s="345"/>
      <c r="AH139" s="1"/>
      <c r="AI139" s="3"/>
      <c r="AJ139" s="5"/>
      <c r="AK139" s="252"/>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6"/>
      <c r="HZ139" s="6"/>
      <c r="IA139" s="6"/>
      <c r="IB139" s="6"/>
      <c r="IC139" s="6"/>
      <c r="ID139" s="5"/>
    </row>
    <row r="140" ht="12.75" customHeight="1" hidden="1" spans="1:238" s="306" customFormat="1" x14ac:dyDescent="0.25">
      <c r="A140" s="318"/>
      <c r="B140" s="331"/>
      <c r="C140" s="340"/>
      <c r="D140" s="344"/>
      <c r="E140" s="344"/>
      <c r="F140" s="344"/>
      <c r="G140" s="344"/>
      <c r="H140" s="344"/>
      <c r="I140" s="344"/>
      <c r="J140" s="344"/>
      <c r="K140" s="344"/>
      <c r="L140" s="344"/>
      <c r="M140" s="344"/>
      <c r="N140" s="344"/>
      <c r="O140" s="344"/>
      <c r="P140" s="344"/>
      <c r="Q140" s="344"/>
      <c r="R140" s="344"/>
      <c r="S140" s="344"/>
      <c r="T140" s="344"/>
      <c r="U140" s="344"/>
      <c r="V140" s="344"/>
      <c r="W140" s="344"/>
      <c r="X140" s="344"/>
      <c r="Y140" s="344"/>
      <c r="Z140" s="344"/>
      <c r="AA140" s="344"/>
      <c r="AB140" s="344"/>
      <c r="AC140" s="344"/>
      <c r="AD140" s="344"/>
      <c r="AE140" s="344"/>
      <c r="AF140" s="344"/>
      <c r="AG140" s="345"/>
      <c r="AH140" s="1"/>
      <c r="AI140" s="3"/>
      <c r="AJ140" s="5"/>
      <c r="AK140" s="252"/>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6"/>
      <c r="HZ140" s="6"/>
      <c r="IA140" s="6"/>
      <c r="IB140" s="6"/>
      <c r="IC140" s="6"/>
      <c r="ID140" s="5"/>
    </row>
    <row r="141" ht="12.75" customHeight="1" hidden="1" spans="1:237" s="5" customFormat="1" x14ac:dyDescent="0.25">
      <c r="A141" s="318"/>
      <c r="B141" s="331"/>
      <c r="C141" s="340"/>
      <c r="D141" s="344"/>
      <c r="E141" s="344"/>
      <c r="F141" s="344"/>
      <c r="G141" s="344"/>
      <c r="H141" s="344"/>
      <c r="I141" s="344"/>
      <c r="J141" s="344"/>
      <c r="K141" s="344"/>
      <c r="L141" s="344"/>
      <c r="M141" s="344"/>
      <c r="N141" s="344"/>
      <c r="O141" s="344"/>
      <c r="P141" s="344"/>
      <c r="Q141" s="344"/>
      <c r="R141" s="344"/>
      <c r="S141" s="344"/>
      <c r="T141" s="344"/>
      <c r="U141" s="344"/>
      <c r="V141" s="344"/>
      <c r="W141" s="344"/>
      <c r="X141" s="344"/>
      <c r="Y141" s="344"/>
      <c r="Z141" s="344"/>
      <c r="AA141" s="344"/>
      <c r="AB141" s="344"/>
      <c r="AC141" s="344"/>
      <c r="AD141" s="344"/>
      <c r="AE141" s="344"/>
      <c r="AF141" s="344"/>
      <c r="AG141" s="345"/>
      <c r="AH141" s="1"/>
      <c r="AI141" s="3"/>
      <c r="AK141" s="252"/>
      <c r="HY141" s="6"/>
      <c r="HZ141" s="6"/>
      <c r="IA141" s="6"/>
      <c r="IB141" s="6"/>
      <c r="IC141" s="6"/>
    </row>
    <row r="142" ht="12.75" customHeight="1" hidden="1" spans="1:237" s="5" customFormat="1" x14ac:dyDescent="0.25">
      <c r="A142" s="1"/>
      <c r="B142" s="346"/>
      <c r="C142" s="340"/>
      <c r="D142" s="344"/>
      <c r="E142" s="344"/>
      <c r="F142" s="344"/>
      <c r="G142" s="344"/>
      <c r="H142" s="344"/>
      <c r="I142" s="344"/>
      <c r="J142" s="344"/>
      <c r="K142" s="344"/>
      <c r="L142" s="344"/>
      <c r="M142" s="344"/>
      <c r="N142" s="344"/>
      <c r="O142" s="344"/>
      <c r="P142" s="344"/>
      <c r="Q142" s="344"/>
      <c r="R142" s="344"/>
      <c r="S142" s="344"/>
      <c r="T142" s="344"/>
      <c r="U142" s="344"/>
      <c r="V142" s="344"/>
      <c r="W142" s="344"/>
      <c r="X142" s="344"/>
      <c r="Y142" s="344"/>
      <c r="Z142" s="344"/>
      <c r="AA142" s="344"/>
      <c r="AB142" s="344"/>
      <c r="AC142" s="344"/>
      <c r="AD142" s="344"/>
      <c r="AE142" s="344"/>
      <c r="AF142" s="344"/>
      <c r="AG142" s="345"/>
      <c r="AH142" s="1"/>
      <c r="AI142" s="3"/>
      <c r="AK142" s="252"/>
      <c r="HY142" s="6"/>
      <c r="HZ142" s="6"/>
      <c r="IA142" s="6"/>
      <c r="IB142" s="6"/>
      <c r="IC142" s="6"/>
    </row>
    <row r="143" ht="12.75" customHeight="1" hidden="1" spans="1:237" s="5" customFormat="1" x14ac:dyDescent="0.25">
      <c r="A143" s="1"/>
      <c r="B143" s="346"/>
      <c r="C143" s="340"/>
      <c r="D143" s="347"/>
      <c r="E143" s="348"/>
      <c r="F143" s="348"/>
      <c r="G143" s="348"/>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c r="AF143" s="348"/>
      <c r="AG143" s="349"/>
      <c r="AH143" s="1"/>
      <c r="AI143" s="3"/>
      <c r="AK143" s="252"/>
      <c r="HY143" s="6"/>
      <c r="HZ143" s="6"/>
      <c r="IA143" s="6"/>
      <c r="IB143" s="6"/>
      <c r="IC143" s="6"/>
    </row>
    <row r="144" ht="12.75" customHeight="1" hidden="1" spans="1:237" s="5" customFormat="1" x14ac:dyDescent="0.25">
      <c r="A144" s="1"/>
      <c r="B144" s="346"/>
      <c r="C144" s="340"/>
      <c r="D144" s="348"/>
      <c r="E144" s="348"/>
      <c r="F144" s="348"/>
      <c r="G144" s="348"/>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c r="AF144" s="348"/>
      <c r="AG144" s="349"/>
      <c r="AH144" s="1"/>
      <c r="AI144" s="3"/>
      <c r="AK144" s="252"/>
      <c r="HY144" s="6"/>
      <c r="HZ144" s="6"/>
      <c r="IA144" s="6"/>
      <c r="IB144" s="6"/>
      <c r="IC144" s="6"/>
    </row>
    <row r="145" ht="12.75" customHeight="1" hidden="1" spans="1:237" s="5" customFormat="1" x14ac:dyDescent="0.25">
      <c r="A145" s="1"/>
      <c r="B145" s="346"/>
      <c r="C145" s="340"/>
      <c r="D145" s="348"/>
      <c r="E145" s="348"/>
      <c r="F145" s="348"/>
      <c r="G145" s="348"/>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c r="AF145" s="348"/>
      <c r="AG145" s="349"/>
      <c r="AH145" s="1"/>
      <c r="AI145" s="3"/>
      <c r="AK145" s="252"/>
      <c r="HY145" s="6"/>
      <c r="HZ145" s="6"/>
      <c r="IA145" s="6"/>
      <c r="IB145" s="6"/>
      <c r="IC145" s="6"/>
    </row>
    <row r="146" ht="12.75" customHeight="1" hidden="1" spans="1:237" s="5" customFormat="1" x14ac:dyDescent="0.25">
      <c r="A146" s="1"/>
      <c r="B146" s="346"/>
      <c r="C146" s="350"/>
      <c r="D146" s="351"/>
      <c r="E146" s="351"/>
      <c r="F146" s="351"/>
      <c r="G146" s="351"/>
      <c r="H146" s="351"/>
      <c r="I146" s="351"/>
      <c r="J146" s="351"/>
      <c r="K146" s="351"/>
      <c r="L146" s="351"/>
      <c r="M146" s="351"/>
      <c r="N146" s="351"/>
      <c r="O146" s="351"/>
      <c r="P146" s="351"/>
      <c r="Q146" s="351"/>
      <c r="R146" s="351"/>
      <c r="S146" s="351"/>
      <c r="T146" s="351"/>
      <c r="U146" s="351"/>
      <c r="V146" s="351"/>
      <c r="W146" s="351"/>
      <c r="X146" s="351"/>
      <c r="Y146" s="351"/>
      <c r="Z146" s="351"/>
      <c r="AA146" s="351"/>
      <c r="AB146" s="351"/>
      <c r="AC146" s="351"/>
      <c r="AD146" s="351"/>
      <c r="AE146" s="351"/>
      <c r="AF146" s="351"/>
      <c r="AG146" s="352"/>
      <c r="AH146" s="1"/>
      <c r="AI146" s="3"/>
      <c r="AK146" s="252"/>
      <c r="HY146" s="6"/>
      <c r="HZ146" s="6"/>
      <c r="IA146" s="6"/>
      <c r="IB146" s="6"/>
      <c r="IC146" s="6"/>
    </row>
    <row r="147" ht="12.75" customHeight="1" hidden="1" spans="1:237" s="5" customFormat="1" x14ac:dyDescent="0.25">
      <c r="A147" s="1"/>
      <c r="B147" s="346"/>
      <c r="C147" s="353"/>
      <c r="D147" s="353"/>
      <c r="E147" s="353"/>
      <c r="F147" s="353"/>
      <c r="G147" s="353"/>
      <c r="H147" s="353"/>
      <c r="I147" s="353"/>
      <c r="J147" s="353"/>
      <c r="K147" s="353"/>
      <c r="L147" s="353"/>
      <c r="M147" s="353"/>
      <c r="N147" s="353"/>
      <c r="O147" s="353"/>
      <c r="P147" s="353"/>
      <c r="Q147" s="353"/>
      <c r="R147" s="353"/>
      <c r="S147" s="353"/>
      <c r="T147" s="353"/>
      <c r="U147" s="353"/>
      <c r="V147" s="353"/>
      <c r="W147" s="353"/>
      <c r="X147" s="353"/>
      <c r="Y147" s="353"/>
      <c r="Z147" s="353"/>
      <c r="AA147" s="353"/>
      <c r="AB147" s="353"/>
      <c r="AC147" s="353"/>
      <c r="AD147" s="353"/>
      <c r="AE147" s="353"/>
      <c r="AF147" s="353"/>
      <c r="AG147" s="353"/>
      <c r="AH147" s="1"/>
      <c r="AI147" s="3"/>
      <c r="AK147" s="252"/>
      <c r="HY147" s="6"/>
      <c r="HZ147" s="6"/>
      <c r="IA147" s="6"/>
      <c r="IB147" s="6"/>
      <c r="IC147" s="6"/>
    </row>
    <row r="148" ht="12.75" customHeight="1" hidden="1" spans="1:237" s="5" customFormat="1" x14ac:dyDescent="0.25">
      <c r="A148" s="1"/>
      <c r="B148" s="346"/>
      <c r="C148" s="340"/>
      <c r="D148" s="340"/>
      <c r="E148" s="340"/>
      <c r="F148" s="340"/>
      <c r="G148" s="340"/>
      <c r="H148" s="340"/>
      <c r="I148" s="340"/>
      <c r="J148" s="340"/>
      <c r="K148" s="340"/>
      <c r="L148" s="340"/>
      <c r="M148" s="340"/>
      <c r="N148" s="340"/>
      <c r="O148" s="340"/>
      <c r="P148" s="340"/>
      <c r="Q148" s="340"/>
      <c r="R148" s="340"/>
      <c r="S148" s="340"/>
      <c r="T148" s="340"/>
      <c r="U148" s="340"/>
      <c r="V148" s="340"/>
      <c r="W148" s="340"/>
      <c r="X148" s="340"/>
      <c r="Y148" s="340"/>
      <c r="Z148" s="340"/>
      <c r="AA148" s="340"/>
      <c r="AB148" s="340"/>
      <c r="AC148" s="340"/>
      <c r="AD148" s="340"/>
      <c r="AE148" s="340"/>
      <c r="AF148" s="1"/>
      <c r="AG148" s="354"/>
      <c r="AH148" s="1"/>
      <c r="AI148" s="3"/>
      <c r="AK148" s="252"/>
      <c r="HY148" s="6"/>
      <c r="HZ148" s="6"/>
      <c r="IA148" s="6"/>
      <c r="IB148" s="6"/>
      <c r="IC148" s="6"/>
    </row>
    <row r="149" ht="12.75" customHeight="1" hidden="1" spans="1:237" s="5" customFormat="1" x14ac:dyDescent="0.25">
      <c r="A149" s="1"/>
      <c r="B149" s="346"/>
      <c r="C149" s="340"/>
      <c r="D149" s="340"/>
      <c r="E149" s="340"/>
      <c r="F149" s="340"/>
      <c r="G149" s="340"/>
      <c r="H149" s="340"/>
      <c r="I149" s="340"/>
      <c r="J149" s="340"/>
      <c r="K149" s="340"/>
      <c r="L149" s="340"/>
      <c r="M149" s="1"/>
      <c r="N149" s="1"/>
      <c r="O149" s="1"/>
      <c r="P149" s="1"/>
      <c r="Q149" s="340"/>
      <c r="R149" s="340"/>
      <c r="S149" s="340"/>
      <c r="T149" s="1"/>
      <c r="U149" s="1"/>
      <c r="V149" s="1"/>
      <c r="W149" s="1"/>
      <c r="X149" s="1"/>
      <c r="Y149" s="1"/>
      <c r="Z149" s="1"/>
      <c r="AA149" s="1"/>
      <c r="AB149" s="1"/>
      <c r="AC149" s="1"/>
      <c r="AD149" s="1"/>
      <c r="AE149" s="1"/>
      <c r="AF149" s="1"/>
      <c r="AG149" s="1"/>
      <c r="AH149" s="1"/>
      <c r="AI149" s="3"/>
      <c r="AK149" s="252"/>
      <c r="HY149" s="6"/>
      <c r="HZ149" s="6"/>
      <c r="IA149" s="6"/>
      <c r="IB149" s="6"/>
      <c r="IC149" s="6"/>
    </row>
    <row r="150" ht="12.75" customHeight="1" hidden="1" spans="1:237" s="5" customFormat="1" x14ac:dyDescent="0.25">
      <c r="A150" s="1"/>
      <c r="B150" s="346"/>
      <c r="C150" s="340"/>
      <c r="D150" s="340"/>
      <c r="E150" s="340"/>
      <c r="F150" s="340"/>
      <c r="G150" s="340"/>
      <c r="H150" s="340"/>
      <c r="I150" s="340"/>
      <c r="J150" s="340"/>
      <c r="K150" s="340"/>
      <c r="L150" s="340"/>
      <c r="M150" s="1"/>
      <c r="N150" s="1"/>
      <c r="O150" s="1"/>
      <c r="P150" s="1"/>
      <c r="Q150" s="340"/>
      <c r="R150" s="340"/>
      <c r="S150" s="340"/>
      <c r="T150" s="1"/>
      <c r="U150" s="1"/>
      <c r="V150" s="1"/>
      <c r="W150" s="1"/>
      <c r="X150" s="1"/>
      <c r="Y150" s="1"/>
      <c r="Z150" s="1"/>
      <c r="AA150" s="1"/>
      <c r="AB150" s="1"/>
      <c r="AC150" s="1"/>
      <c r="AD150" s="1"/>
      <c r="AE150" s="1"/>
      <c r="AF150" s="1"/>
      <c r="AG150" s="1"/>
      <c r="AH150" s="1"/>
      <c r="AI150" s="3"/>
      <c r="AK150" s="252"/>
      <c r="HY150" s="6"/>
      <c r="HZ150" s="6"/>
      <c r="IA150" s="6"/>
      <c r="IB150" s="6"/>
      <c r="IC150" s="6"/>
    </row>
    <row r="151" ht="12.75" customHeight="1" hidden="1" spans="1:237" s="5" customFormat="1" x14ac:dyDescent="0.25">
      <c r="A151" s="1"/>
      <c r="B151" s="346"/>
      <c r="C151" s="340"/>
      <c r="D151" s="340"/>
      <c r="E151" s="340"/>
      <c r="F151" s="340"/>
      <c r="G151" s="340"/>
      <c r="H151" s="340"/>
      <c r="I151" s="340"/>
      <c r="J151" s="340"/>
      <c r="K151" s="340"/>
      <c r="L151" s="340"/>
      <c r="M151" s="1"/>
      <c r="N151" s="1"/>
      <c r="O151" s="1"/>
      <c r="P151" s="1"/>
      <c r="Q151" s="340"/>
      <c r="R151" s="340"/>
      <c r="S151" s="340"/>
      <c r="T151" s="1"/>
      <c r="U151" s="1"/>
      <c r="V151" s="1"/>
      <c r="W151" s="1"/>
      <c r="X151" s="1"/>
      <c r="Y151" s="1"/>
      <c r="Z151" s="1"/>
      <c r="AA151" s="1"/>
      <c r="AB151" s="1"/>
      <c r="AC151" s="1"/>
      <c r="AD151" s="1"/>
      <c r="AE151" s="1"/>
      <c r="AF151" s="1"/>
      <c r="AG151" s="1"/>
      <c r="AH151" s="1"/>
      <c r="AI151" s="3"/>
      <c r="AK151" s="252"/>
      <c r="HY151" s="6"/>
      <c r="HZ151" s="6"/>
      <c r="IA151" s="6"/>
      <c r="IB151" s="6"/>
      <c r="IC151" s="6"/>
    </row>
    <row r="152" ht="12.75" customHeight="1" hidden="1" spans="1:237" s="5" customFormat="1" x14ac:dyDescent="0.25">
      <c r="A152" s="1"/>
      <c r="B152" s="346"/>
      <c r="C152" s="340"/>
      <c r="D152" s="340"/>
      <c r="E152" s="340"/>
      <c r="F152" s="340"/>
      <c r="G152" s="340"/>
      <c r="H152" s="340"/>
      <c r="I152" s="340"/>
      <c r="J152" s="340"/>
      <c r="K152" s="340"/>
      <c r="L152" s="340"/>
      <c r="M152" s="1"/>
      <c r="N152" s="1"/>
      <c r="O152" s="1"/>
      <c r="P152" s="1"/>
      <c r="Q152" s="340"/>
      <c r="R152" s="340"/>
      <c r="S152" s="340"/>
      <c r="T152" s="1"/>
      <c r="U152" s="1"/>
      <c r="V152" s="1"/>
      <c r="W152" s="1"/>
      <c r="X152" s="1"/>
      <c r="Y152" s="1"/>
      <c r="Z152" s="1"/>
      <c r="AA152" s="1"/>
      <c r="AB152" s="1"/>
      <c r="AC152" s="1"/>
      <c r="AD152" s="1"/>
      <c r="AE152" s="1"/>
      <c r="AF152" s="1"/>
      <c r="AG152" s="1"/>
      <c r="AH152" s="1"/>
      <c r="AI152" s="3"/>
      <c r="AK152" s="252"/>
      <c r="HY152" s="6"/>
      <c r="HZ152" s="6"/>
      <c r="IA152" s="6"/>
      <c r="IB152" s="6"/>
      <c r="IC152" s="6"/>
    </row>
    <row r="153" ht="12" customHeight="1" hidden="1" spans="1:37" s="5" customFormat="1" x14ac:dyDescent="0.25">
      <c r="A153" s="1"/>
      <c r="B153" s="346"/>
      <c r="C153" s="340"/>
      <c r="D153" s="340"/>
      <c r="E153" s="340"/>
      <c r="F153" s="340"/>
      <c r="G153" s="340"/>
      <c r="H153" s="340"/>
      <c r="I153" s="340"/>
      <c r="J153" s="340"/>
      <c r="K153" s="340"/>
      <c r="L153" s="340"/>
      <c r="M153" s="1"/>
      <c r="N153" s="1"/>
      <c r="O153" s="1"/>
      <c r="P153" s="1"/>
      <c r="Q153" s="340"/>
      <c r="R153" s="340"/>
      <c r="S153" s="340"/>
      <c r="T153" s="1"/>
      <c r="U153" s="1"/>
      <c r="V153" s="1"/>
      <c r="W153" s="340"/>
      <c r="X153" s="340"/>
      <c r="Y153" s="340"/>
      <c r="Z153" s="340"/>
      <c r="AA153" s="1"/>
      <c r="AB153" s="1"/>
      <c r="AC153" s="1"/>
      <c r="AD153" s="1"/>
      <c r="AE153" s="1"/>
      <c r="AF153" s="340"/>
      <c r="AG153" s="340"/>
      <c r="AH153" s="3"/>
      <c r="AI153" s="3"/>
      <c r="AK153" s="252"/>
    </row>
    <row r="154" ht="12" customHeight="1" hidden="1" spans="1:37" s="5" customFormat="1" x14ac:dyDescent="0.25">
      <c r="A154" s="1"/>
      <c r="B154" s="346"/>
      <c r="C154" s="340"/>
      <c r="D154" s="340"/>
      <c r="E154" s="340"/>
      <c r="F154" s="340"/>
      <c r="G154" s="340"/>
      <c r="H154" s="340"/>
      <c r="I154" s="340"/>
      <c r="J154" s="340"/>
      <c r="K154" s="340"/>
      <c r="L154" s="340"/>
      <c r="M154" s="340"/>
      <c r="N154" s="340"/>
      <c r="O154" s="340"/>
      <c r="P154" s="340"/>
      <c r="Q154" s="340"/>
      <c r="R154" s="340"/>
      <c r="S154" s="340"/>
      <c r="T154" s="340"/>
      <c r="U154" s="340"/>
      <c r="V154" s="340"/>
      <c r="W154" s="340"/>
      <c r="X154" s="340"/>
      <c r="Y154" s="340"/>
      <c r="Z154" s="340"/>
      <c r="AA154" s="340"/>
      <c r="AB154" s="340"/>
      <c r="AC154" s="340"/>
      <c r="AD154" s="340"/>
      <c r="AE154" s="340"/>
      <c r="AF154" s="340"/>
      <c r="AG154" s="340"/>
      <c r="AH154" s="1"/>
      <c r="AI154" s="3"/>
      <c r="AK154" s="252"/>
    </row>
    <row r="155" ht="12" customHeight="1" hidden="1" spans="1:37" s="5" customFormat="1" x14ac:dyDescent="0.25">
      <c r="A155" s="1"/>
      <c r="B155" s="346"/>
      <c r="C155" s="340"/>
      <c r="D155" s="340"/>
      <c r="E155" s="340"/>
      <c r="F155" s="340"/>
      <c r="G155" s="340"/>
      <c r="H155" s="340"/>
      <c r="I155" s="340"/>
      <c r="J155" s="340"/>
      <c r="K155" s="340"/>
      <c r="L155" s="340"/>
      <c r="M155" s="340"/>
      <c r="N155" s="340"/>
      <c r="O155" s="340"/>
      <c r="P155" s="340"/>
      <c r="Q155" s="340"/>
      <c r="R155" s="340"/>
      <c r="S155" s="340"/>
      <c r="T155" s="340"/>
      <c r="U155" s="340"/>
      <c r="V155" s="340"/>
      <c r="W155" s="340"/>
      <c r="X155" s="340"/>
      <c r="Y155" s="340"/>
      <c r="Z155" s="340"/>
      <c r="AA155" s="340"/>
      <c r="AB155" s="340"/>
      <c r="AC155" s="340"/>
      <c r="AD155" s="340"/>
      <c r="AE155" s="340"/>
      <c r="AF155" s="340"/>
      <c r="AG155" s="340"/>
      <c r="AH155" s="1"/>
      <c r="AI155" s="3"/>
      <c r="AK155" s="252"/>
    </row>
    <row r="156" ht="12" customHeight="1" hidden="1" spans="1:37" s="5" customFormat="1" x14ac:dyDescent="0.25">
      <c r="A156" s="1"/>
      <c r="B156" s="346"/>
      <c r="C156" s="355"/>
      <c r="D156" s="355"/>
      <c r="E156" s="355"/>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c r="AD156" s="355"/>
      <c r="AE156" s="355"/>
      <c r="AF156" s="355"/>
      <c r="AG156" s="355"/>
      <c r="AH156" s="1"/>
      <c r="AI156" s="3"/>
      <c r="AK156" s="252"/>
    </row>
    <row r="157" ht="12" customHeight="1" hidden="1" spans="1:37" s="5" customFormat="1" x14ac:dyDescent="0.25">
      <c r="A157" s="1"/>
      <c r="B157" s="346"/>
      <c r="C157" s="355"/>
      <c r="D157" s="355"/>
      <c r="E157" s="355"/>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c r="AD157" s="355"/>
      <c r="AE157" s="355"/>
      <c r="AF157" s="355"/>
      <c r="AG157" s="355"/>
      <c r="AH157" s="1"/>
      <c r="AI157" s="3"/>
      <c r="AK157" s="252"/>
    </row>
    <row r="158" ht="12" customHeight="1" hidden="1" spans="1:37" s="5" customFormat="1" x14ac:dyDescent="0.25">
      <c r="A158" s="1"/>
      <c r="B158" s="346"/>
      <c r="C158" s="355"/>
      <c r="D158" s="355"/>
      <c r="E158" s="355"/>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c r="AD158" s="355"/>
      <c r="AE158" s="355"/>
      <c r="AF158" s="355"/>
      <c r="AG158" s="355"/>
      <c r="AH158" s="1"/>
      <c r="AI158" s="3"/>
      <c r="AK158" s="252"/>
    </row>
    <row r="159" ht="12" customHeight="1" hidden="1" spans="1:37" s="5" customFormat="1" x14ac:dyDescent="0.25">
      <c r="A159" s="1"/>
      <c r="B159" s="346"/>
      <c r="C159" s="355"/>
      <c r="D159" s="355"/>
      <c r="E159" s="355"/>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c r="AD159" s="355"/>
      <c r="AE159" s="355"/>
      <c r="AF159" s="355"/>
      <c r="AG159" s="355"/>
      <c r="AH159" s="1"/>
      <c r="AI159" s="3"/>
      <c r="AK159" s="252"/>
    </row>
    <row r="160" ht="12" customHeight="1" hidden="1" spans="1:37" s="5" customFormat="1" x14ac:dyDescent="0.25">
      <c r="A160" s="1"/>
      <c r="B160" s="346"/>
      <c r="C160" s="355"/>
      <c r="D160" s="355"/>
      <c r="E160" s="355"/>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c r="AD160" s="355"/>
      <c r="AE160" s="355"/>
      <c r="AF160" s="355"/>
      <c r="AG160" s="355"/>
      <c r="AH160" s="1"/>
      <c r="AI160" s="3"/>
      <c r="AK160" s="252"/>
    </row>
    <row r="161" ht="12" customHeight="1" hidden="1" spans="1:37" s="5" customFormat="1" x14ac:dyDescent="0.25">
      <c r="A161" s="1"/>
      <c r="B161" s="346"/>
      <c r="C161" s="355"/>
      <c r="D161" s="355"/>
      <c r="E161" s="355"/>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c r="AD161" s="355"/>
      <c r="AE161" s="355"/>
      <c r="AF161" s="355"/>
      <c r="AG161" s="355"/>
      <c r="AH161" s="1"/>
      <c r="AI161" s="3"/>
      <c r="AK161" s="252"/>
    </row>
    <row r="162" ht="12" customHeight="1" hidden="1" spans="1:37" s="5" customFormat="1" x14ac:dyDescent="0.25">
      <c r="A162" s="1"/>
      <c r="B162" s="346"/>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3"/>
      <c r="AK162" s="252"/>
    </row>
    <row r="163" ht="12" customHeight="1" hidden="1" spans="1:37" s="5" customFormat="1" x14ac:dyDescent="0.25">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3"/>
      <c r="AK163" s="252"/>
    </row>
    <row r="164" ht="12" customHeight="1" hidden="1" spans="1:37" s="5" customFormat="1" x14ac:dyDescent="0.25">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3"/>
      <c r="AK164" s="252"/>
    </row>
    <row r="165" ht="12" customHeight="1" hidden="1" spans="1:37" s="5" customFormat="1" x14ac:dyDescent="0.25">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3"/>
      <c r="AK165" s="252"/>
    </row>
    <row r="166" ht="12" customHeight="1" hidden="1" spans="1:37" s="5" customFormat="1" x14ac:dyDescent="0.25">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3"/>
      <c r="AK166" s="252">
        <v>0.46</v>
      </c>
    </row>
    <row r="167" ht="12" customHeight="1" hidden="1" spans="1:37" s="5" customFormat="1" x14ac:dyDescent="0.25">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3"/>
      <c r="AK167" s="252">
        <v>0.47</v>
      </c>
    </row>
    <row r="168" ht="12" customHeight="1" hidden="1" spans="1:37" s="5" customFormat="1" x14ac:dyDescent="0.25">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3"/>
      <c r="AK168" s="252">
        <v>0.48</v>
      </c>
    </row>
    <row r="169" ht="12" customHeight="1" hidden="1" spans="1:37" s="5" customFormat="1" x14ac:dyDescent="0.25">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3"/>
      <c r="AK169" s="252">
        <v>0.49</v>
      </c>
    </row>
    <row r="170" ht="12" customHeight="1" hidden="1" spans="1:37" s="5" customFormat="1" x14ac:dyDescent="0.25">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3"/>
      <c r="AK170" s="252">
        <v>0.5</v>
      </c>
    </row>
    <row r="171" ht="12" customHeight="1" hidden="1" spans="1:37" s="5" customFormat="1" x14ac:dyDescent="0.25">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3"/>
      <c r="AK171" s="252">
        <v>0.51</v>
      </c>
    </row>
    <row r="172" ht="12" customHeight="1" hidden="1" spans="1:37" s="5" customFormat="1" x14ac:dyDescent="0.25">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3"/>
      <c r="AK172" s="252">
        <v>0.52</v>
      </c>
    </row>
    <row r="173" ht="12" customHeight="1" hidden="1" spans="1:37" s="5" customFormat="1" x14ac:dyDescent="0.25">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3"/>
      <c r="AK173" s="252">
        <v>0.53</v>
      </c>
    </row>
    <row r="174" ht="12" customHeight="1" hidden="1" spans="1:37" s="5" customFormat="1" x14ac:dyDescent="0.25">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3"/>
      <c r="AK174" s="252">
        <v>0.54</v>
      </c>
    </row>
    <row r="175" ht="12" customHeight="1" hidden="1" spans="1:37" s="5" customFormat="1" x14ac:dyDescent="0.25">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3"/>
      <c r="AK175" s="252">
        <v>0.55</v>
      </c>
    </row>
    <row r="176" ht="12" customHeight="1" hidden="1" spans="1:37" s="5" customFormat="1" x14ac:dyDescent="0.25">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3"/>
      <c r="AK176" s="252">
        <v>0.56</v>
      </c>
    </row>
    <row r="177" ht="12" customHeight="1" hidden="1" spans="1:37" s="5" customFormat="1" x14ac:dyDescent="0.25">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3"/>
      <c r="AK177" s="252">
        <v>0.57</v>
      </c>
    </row>
    <row r="178" ht="12" customHeight="1" hidden="1" spans="1:37" s="5" customFormat="1" x14ac:dyDescent="0.25">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3"/>
      <c r="AK178" s="252">
        <v>0.58</v>
      </c>
    </row>
    <row r="179" ht="12" customHeight="1" hidden="1" spans="1:37" s="5" customFormat="1" x14ac:dyDescent="0.25">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3"/>
      <c r="AK179" s="252">
        <v>0.59</v>
      </c>
    </row>
    <row r="180" ht="12" customHeight="1" hidden="1" spans="1:37" s="5" customFormat="1" x14ac:dyDescent="0.25">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3"/>
      <c r="AK180" s="252">
        <v>0.6</v>
      </c>
    </row>
    <row r="181" ht="12" customHeight="1" hidden="1" spans="1:37" s="5" customFormat="1" x14ac:dyDescent="0.25">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3"/>
      <c r="AK181" s="252">
        <v>0.61</v>
      </c>
    </row>
    <row r="182" ht="12" customHeight="1" hidden="1" spans="1:37" s="5" customFormat="1" x14ac:dyDescent="0.25">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3"/>
      <c r="AK182" s="252">
        <v>0.62</v>
      </c>
    </row>
    <row r="183" ht="12" customHeight="1" hidden="1" spans="1:37" s="5" customFormat="1" x14ac:dyDescent="0.25">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3"/>
      <c r="AK183" s="252">
        <v>0.63</v>
      </c>
    </row>
    <row r="184" ht="12" customHeight="1" hidden="1" spans="1:37" s="5" customFormat="1" x14ac:dyDescent="0.25">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3"/>
      <c r="AK184" s="252">
        <v>0.64</v>
      </c>
    </row>
    <row r="185" ht="12" customHeight="1" hidden="1" spans="1:37" s="5" customFormat="1" x14ac:dyDescent="0.25">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3"/>
      <c r="AK185" s="252">
        <v>0.65</v>
      </c>
    </row>
    <row r="186" ht="12" customHeight="1" hidden="1" spans="1:37" s="5" customFormat="1" x14ac:dyDescent="0.25">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3"/>
      <c r="AK186" s="252">
        <v>0.66</v>
      </c>
    </row>
    <row r="187" ht="12" customHeight="1" hidden="1" spans="1:37" s="5" customFormat="1" x14ac:dyDescent="0.25">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3"/>
      <c r="AK187" s="252">
        <v>0.67</v>
      </c>
    </row>
    <row r="188" ht="12" customHeight="1" hidden="1" spans="1:37" s="5" customFormat="1" x14ac:dyDescent="0.25">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3"/>
      <c r="AK188" s="252">
        <v>0.68</v>
      </c>
    </row>
    <row r="189" ht="12" customHeight="1" hidden="1" spans="1:37" s="5" customFormat="1" x14ac:dyDescent="0.25">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3"/>
      <c r="AK189" s="252">
        <v>0.69</v>
      </c>
    </row>
    <row r="190" ht="12" customHeight="1" hidden="1" spans="1:37" s="5" customFormat="1" x14ac:dyDescent="0.25">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3"/>
      <c r="AK190" s="252">
        <v>0.7</v>
      </c>
    </row>
    <row r="191" ht="12" customHeight="1" hidden="1" spans="1:37" s="5" customFormat="1" x14ac:dyDescent="0.25">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3"/>
      <c r="AK191" s="252">
        <v>0.71</v>
      </c>
    </row>
    <row r="192" ht="12" customHeight="1" hidden="1" spans="1:37" s="5" customFormat="1" x14ac:dyDescent="0.25">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3"/>
      <c r="AK192" s="252">
        <v>0.72</v>
      </c>
    </row>
    <row r="193" ht="12" customHeight="1" hidden="1" spans="1:37" s="5" customFormat="1" x14ac:dyDescent="0.25">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3"/>
      <c r="AK193" s="252">
        <v>0.73</v>
      </c>
    </row>
    <row r="194" ht="12" customHeight="1" hidden="1" spans="1:37" s="5" customFormat="1" x14ac:dyDescent="0.25">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3"/>
      <c r="AK194" s="252">
        <v>0.74</v>
      </c>
    </row>
    <row r="195" ht="12" customHeight="1" hidden="1" spans="1:37" s="5" customFormat="1" x14ac:dyDescent="0.25">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3"/>
      <c r="AK195" s="252">
        <v>0.75</v>
      </c>
    </row>
    <row r="196" ht="12" customHeight="1" hidden="1" spans="1:37" s="5" customFormat="1" x14ac:dyDescent="0.25">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3"/>
      <c r="AK196" s="252">
        <v>0.76</v>
      </c>
    </row>
    <row r="197" ht="12" customHeight="1" hidden="1" spans="1:37" s="5" customFormat="1" x14ac:dyDescent="0.25">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3"/>
      <c r="AK197" s="252">
        <v>0.77</v>
      </c>
    </row>
    <row r="198" ht="12" customHeight="1" hidden="1" spans="1:37" s="5" customFormat="1" x14ac:dyDescent="0.25">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3"/>
      <c r="AK198" s="252">
        <v>0.78</v>
      </c>
    </row>
    <row r="199" ht="12" customHeight="1" hidden="1" spans="1:37" s="5" customFormat="1" x14ac:dyDescent="0.25">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3"/>
      <c r="AK199" s="252">
        <v>0.79</v>
      </c>
    </row>
    <row r="200" ht="12" customHeight="1" hidden="1" spans="1:37" s="5" customFormat="1" x14ac:dyDescent="0.25">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3"/>
      <c r="AK200" s="252">
        <v>0.8</v>
      </c>
    </row>
    <row r="201" ht="12" customHeight="1" hidden="1" spans="1:37" s="5" customFormat="1" x14ac:dyDescent="0.25">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3"/>
      <c r="AK201" s="252">
        <v>0.81</v>
      </c>
    </row>
    <row r="202" ht="12" customHeight="1" hidden="1" spans="1:37" s="5" customFormat="1" x14ac:dyDescent="0.25">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3"/>
      <c r="AK202" s="252">
        <v>0.82</v>
      </c>
    </row>
    <row r="203" ht="12" customHeight="1" hidden="1" spans="1:37" s="5" customFormat="1" x14ac:dyDescent="0.25">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3"/>
      <c r="AK203" s="252">
        <v>0.83</v>
      </c>
    </row>
    <row r="204" ht="12" customHeight="1" hidden="1" spans="1:37" s="5" customFormat="1" x14ac:dyDescent="0.25">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3"/>
      <c r="AK204" s="252">
        <v>0.84</v>
      </c>
    </row>
    <row r="205" ht="12" customHeight="1" hidden="1" spans="1:37" s="5" customFormat="1" x14ac:dyDescent="0.25">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3"/>
      <c r="AK205" s="252">
        <v>0.85</v>
      </c>
    </row>
    <row r="206" ht="12" customHeight="1" hidden="1" spans="1:37" s="5" customFormat="1" x14ac:dyDescent="0.25">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3"/>
      <c r="AK206" s="252">
        <v>0.86</v>
      </c>
    </row>
    <row r="207" ht="12" customHeight="1" hidden="1" spans="1:37" s="5" customFormat="1" x14ac:dyDescent="0.25">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3"/>
      <c r="AK207" s="252">
        <v>0.87</v>
      </c>
    </row>
    <row r="208" ht="12" customHeight="1" hidden="1" spans="1:37" s="5" customFormat="1" x14ac:dyDescent="0.25">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3"/>
      <c r="AK208" s="252">
        <v>0.88</v>
      </c>
    </row>
    <row r="209" ht="12" customHeight="1" hidden="1" spans="1:37" s="5" customFormat="1" x14ac:dyDescent="0.25">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3"/>
      <c r="AK209" s="252">
        <v>0.89</v>
      </c>
    </row>
    <row r="210" ht="12" customHeight="1" hidden="1" spans="1:37" s="5" customFormat="1" x14ac:dyDescent="0.25">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3"/>
      <c r="AK210" s="252">
        <v>0.9</v>
      </c>
    </row>
    <row r="211" ht="12" customHeight="1" hidden="1" spans="1:37" s="5" customFormat="1" x14ac:dyDescent="0.25">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3"/>
      <c r="AK211" s="252">
        <v>0.91</v>
      </c>
    </row>
    <row r="212" ht="12" customHeight="1" hidden="1" spans="1:37" s="5" customFormat="1" x14ac:dyDescent="0.25">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3"/>
      <c r="AK212" s="252">
        <v>0.92</v>
      </c>
    </row>
    <row r="213" ht="12" customHeight="1" hidden="1" spans="1:37" s="5" customFormat="1" x14ac:dyDescent="0.25">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3"/>
      <c r="AK213" s="252">
        <v>0.93</v>
      </c>
    </row>
    <row r="214" ht="12" customHeight="1" hidden="1" spans="1:37" s="5" customFormat="1" x14ac:dyDescent="0.25">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3"/>
      <c r="AK214" s="252">
        <v>0.94</v>
      </c>
    </row>
    <row r="215" ht="12" customHeight="1" hidden="1" spans="1:37" s="5" customFormat="1" x14ac:dyDescent="0.25">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3"/>
      <c r="AK215" s="252">
        <v>0.95</v>
      </c>
    </row>
    <row r="216" ht="12" customHeight="1" hidden="1" spans="1:37" s="5" customFormat="1" x14ac:dyDescent="0.25">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3"/>
      <c r="AK216" s="252">
        <v>0.96</v>
      </c>
    </row>
    <row r="217" ht="12" customHeight="1" hidden="1" spans="1:37" s="5" customFormat="1" x14ac:dyDescent="0.25">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3"/>
      <c r="AK217" s="252">
        <v>0.97</v>
      </c>
    </row>
    <row r="218" ht="12" customHeight="1" hidden="1" spans="1:37" s="5" customFormat="1" x14ac:dyDescent="0.25">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3"/>
      <c r="AK218" s="252">
        <v>0.98</v>
      </c>
    </row>
    <row r="219" ht="12" customHeight="1" hidden="1" spans="1:37" s="5" customFormat="1" x14ac:dyDescent="0.25">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3"/>
      <c r="AK219" s="252">
        <v>0.99</v>
      </c>
    </row>
    <row r="220" ht="12" customHeight="1" hidden="1" spans="1:37" s="5" customFormat="1" x14ac:dyDescent="0.25">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3"/>
      <c r="AK220" s="252">
        <v>1</v>
      </c>
    </row>
    <row r="221" ht="12" customHeight="1" hidden="1" spans="1:35" s="5" customFormat="1" x14ac:dyDescent="0.25">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3"/>
    </row>
    <row r="222" ht="12" customHeight="1" hidden="1" spans="1:35" s="5" customFormat="1" x14ac:dyDescent="0.25">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3"/>
    </row>
    <row r="223" ht="12" customHeight="1" hidden="1" spans="1:35" s="5" customFormat="1" x14ac:dyDescent="0.25">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3"/>
    </row>
    <row r="224" ht="12" customHeight="1" hidden="1" spans="1:35" s="5" customFormat="1" x14ac:dyDescent="0.25">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3"/>
    </row>
    <row r="225" ht="12" customHeight="1" hidden="1" spans="1:35" s="5" customFormat="1" x14ac:dyDescent="0.25">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3"/>
    </row>
    <row r="226" ht="12" customHeight="1" hidden="1" spans="1:35" s="5" customFormat="1" x14ac:dyDescent="0.25">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3"/>
    </row>
    <row r="227" ht="12" customHeight="1" hidden="1" spans="1:35" s="5" customFormat="1" x14ac:dyDescent="0.25">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3"/>
    </row>
    <row r="228" ht="12" customHeight="1" hidden="1" spans="1:35" s="5" customFormat="1" x14ac:dyDescent="0.25">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3"/>
    </row>
    <row r="229" ht="12" customHeight="1" hidden="1" spans="1:35" s="5" customFormat="1" x14ac:dyDescent="0.25">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3"/>
    </row>
    <row r="230" ht="12" customHeight="1" hidden="1" spans="1:35" s="5" customFormat="1" x14ac:dyDescent="0.25">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3"/>
    </row>
    <row r="231" ht="12" customHeight="1" hidden="1" spans="1:35" s="5" customFormat="1" x14ac:dyDescent="0.25">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3"/>
    </row>
    <row r="232" ht="12" customHeight="1" hidden="1" spans="1:35" s="5" customFormat="1" x14ac:dyDescent="0.25">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3"/>
    </row>
    <row r="233" ht="12" customHeight="1" hidden="1" spans="1:35" s="5" customFormat="1" x14ac:dyDescent="0.25">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3"/>
    </row>
    <row r="234" ht="12" customHeight="1" hidden="1" spans="1:35" s="5" customFormat="1" x14ac:dyDescent="0.25">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3"/>
    </row>
    <row r="235" ht="12" customHeight="1" hidden="1" spans="1:35" s="5" customFormat="1" x14ac:dyDescent="0.25">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3"/>
    </row>
    <row r="236" ht="12" customHeight="1" hidden="1" spans="1:35" s="5" customFormat="1" x14ac:dyDescent="0.25">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3"/>
    </row>
    <row r="237" ht="12" customHeight="1" hidden="1" spans="1:35" s="5" customFormat="1" x14ac:dyDescent="0.25">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3"/>
    </row>
    <row r="238" ht="12" customHeight="1" hidden="1" spans="1:35" s="5" customFormat="1" x14ac:dyDescent="0.25">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3"/>
    </row>
    <row r="239" ht="12" customHeight="1" hidden="1" spans="1:35" s="5" customFormat="1" x14ac:dyDescent="0.25">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3"/>
    </row>
    <row r="240" ht="12" customHeight="1" hidden="1" spans="1:35" s="5" customFormat="1" x14ac:dyDescent="0.25">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3"/>
    </row>
    <row r="241" ht="12" customHeight="1" hidden="1" spans="1:35" s="5" customFormat="1" x14ac:dyDescent="0.25">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3"/>
    </row>
    <row r="242" ht="12" customHeight="1" hidden="1" spans="1:35" s="5" customFormat="1" x14ac:dyDescent="0.25">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3"/>
    </row>
    <row r="243" ht="12" customHeight="1" hidden="1" spans="1:35" s="5" customFormat="1" x14ac:dyDescent="0.25">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3"/>
    </row>
    <row r="244" ht="12" customHeight="1" hidden="1" spans="1:35" s="5" customFormat="1" x14ac:dyDescent="0.25">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3"/>
    </row>
    <row r="245" ht="12" customHeight="1" hidden="1" spans="1:35" s="5" customFormat="1" x14ac:dyDescent="0.25">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3"/>
    </row>
    <row r="246" ht="12" customHeight="1" hidden="1" spans="1:35" s="5" customFormat="1" x14ac:dyDescent="0.25">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3"/>
    </row>
    <row r="247" ht="12" customHeight="1" hidden="1" spans="1:35" s="5" customFormat="1" x14ac:dyDescent="0.25">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3"/>
    </row>
    <row r="248" ht="12" customHeight="1" hidden="1" spans="1:35" s="5" customFormat="1" x14ac:dyDescent="0.25">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3"/>
    </row>
    <row r="249" ht="12" customHeight="1" hidden="1" spans="1:35" s="5" customFormat="1" x14ac:dyDescent="0.25">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3"/>
    </row>
    <row r="250" ht="12.75" customHeight="1" hidden="1" spans="36:232" x14ac:dyDescent="0.25">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c r="HI250" s="6"/>
      <c r="HJ250" s="6"/>
      <c r="HK250" s="6"/>
      <c r="HL250" s="6"/>
      <c r="HM250" s="6"/>
      <c r="HN250" s="6"/>
      <c r="HO250" s="6"/>
      <c r="HP250" s="6"/>
      <c r="HQ250" s="6"/>
      <c r="HR250" s="6"/>
      <c r="HS250" s="6"/>
      <c r="HT250" s="6"/>
      <c r="HU250" s="6"/>
      <c r="HV250" s="6"/>
      <c r="HW250" s="6"/>
      <c r="HX250" s="6"/>
    </row>
    <row r="251" ht="12.75" customHeight="1" hidden="1" spans="36:232" x14ac:dyDescent="0.25">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c r="HI251" s="6"/>
      <c r="HJ251" s="6"/>
      <c r="HK251" s="6"/>
      <c r="HL251" s="6"/>
      <c r="HM251" s="6"/>
      <c r="HN251" s="6"/>
      <c r="HO251" s="6"/>
      <c r="HP251" s="6"/>
      <c r="HQ251" s="6"/>
      <c r="HR251" s="6"/>
      <c r="HS251" s="6"/>
      <c r="HT251" s="6"/>
      <c r="HU251" s="6"/>
      <c r="HV251" s="6"/>
      <c r="HW251" s="6"/>
      <c r="HX251" s="6"/>
    </row>
    <row r="252" ht="12.75" customHeight="1" hidden="1" spans="36:232" x14ac:dyDescent="0.25">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c r="HI252" s="6"/>
      <c r="HJ252" s="6"/>
      <c r="HK252" s="6"/>
      <c r="HL252" s="6"/>
      <c r="HM252" s="6"/>
      <c r="HN252" s="6"/>
      <c r="HO252" s="6"/>
      <c r="HP252" s="6"/>
      <c r="HQ252" s="6"/>
      <c r="HR252" s="6"/>
      <c r="HS252" s="6"/>
      <c r="HT252" s="6"/>
      <c r="HU252" s="6"/>
      <c r="HV252" s="6"/>
      <c r="HW252" s="6"/>
      <c r="HX252" s="6"/>
    </row>
    <row r="253" ht="12.75" customHeight="1" hidden="1" spans="36:232" x14ac:dyDescent="0.25">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c r="HI253" s="6"/>
      <c r="HJ253" s="6"/>
      <c r="HK253" s="6"/>
      <c r="HL253" s="6"/>
      <c r="HM253" s="6"/>
      <c r="HN253" s="6"/>
      <c r="HO253" s="6"/>
      <c r="HP253" s="6"/>
      <c r="HQ253" s="6"/>
      <c r="HR253" s="6"/>
      <c r="HS253" s="6"/>
      <c r="HT253" s="6"/>
      <c r="HU253" s="6"/>
      <c r="HV253" s="6"/>
      <c r="HW253" s="6"/>
      <c r="HX253" s="6"/>
    </row>
    <row r="254" ht="12.75" customHeight="1" hidden="1" spans="36:232" x14ac:dyDescent="0.25">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c r="HI254" s="6"/>
      <c r="HJ254" s="6"/>
      <c r="HK254" s="6"/>
      <c r="HL254" s="6"/>
      <c r="HM254" s="6"/>
      <c r="HN254" s="6"/>
      <c r="HO254" s="6"/>
      <c r="HP254" s="6"/>
      <c r="HQ254" s="6"/>
      <c r="HR254" s="6"/>
      <c r="HS254" s="6"/>
      <c r="HT254" s="6"/>
      <c r="HU254" s="6"/>
      <c r="HV254" s="6"/>
      <c r="HW254" s="6"/>
      <c r="HX254" s="6"/>
    </row>
    <row r="255" ht="12.75" customHeight="1" hidden="1" spans="36:232" x14ac:dyDescent="0.25">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c r="HI255" s="6"/>
      <c r="HJ255" s="6"/>
      <c r="HK255" s="6"/>
      <c r="HL255" s="6"/>
      <c r="HM255" s="6"/>
      <c r="HN255" s="6"/>
      <c r="HO255" s="6"/>
      <c r="HP255" s="6"/>
      <c r="HQ255" s="6"/>
      <c r="HR255" s="6"/>
      <c r="HS255" s="6"/>
      <c r="HT255" s="6"/>
      <c r="HU255" s="6"/>
      <c r="HV255" s="6"/>
      <c r="HW255" s="6"/>
      <c r="HX255" s="6"/>
    </row>
    <row r="256" ht="12.75" customHeight="1" hidden="1" spans="36:232" x14ac:dyDescent="0.25">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c r="HI256" s="6"/>
      <c r="HJ256" s="6"/>
      <c r="HK256" s="6"/>
      <c r="HL256" s="6"/>
      <c r="HM256" s="6"/>
      <c r="HN256" s="6"/>
      <c r="HO256" s="6"/>
      <c r="HP256" s="6"/>
      <c r="HQ256" s="6"/>
      <c r="HR256" s="6"/>
      <c r="HS256" s="6"/>
      <c r="HT256" s="6"/>
      <c r="HU256" s="6"/>
      <c r="HV256" s="6"/>
      <c r="HW256" s="6"/>
      <c r="HX256" s="6"/>
    </row>
    <row r="257" ht="12.75" customHeight="1" hidden="1" spans="36:232" x14ac:dyDescent="0.25">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c r="HI257" s="6"/>
      <c r="HJ257" s="6"/>
      <c r="HK257" s="6"/>
      <c r="HL257" s="6"/>
      <c r="HM257" s="6"/>
      <c r="HN257" s="6"/>
      <c r="HO257" s="6"/>
      <c r="HP257" s="6"/>
      <c r="HQ257" s="6"/>
      <c r="HR257" s="6"/>
      <c r="HS257" s="6"/>
      <c r="HT257" s="6"/>
      <c r="HU257" s="6"/>
      <c r="HV257" s="6"/>
      <c r="HW257" s="6"/>
      <c r="HX257" s="6"/>
    </row>
    <row r="258" ht="12.75" customHeight="1" hidden="1" spans="36:232" x14ac:dyDescent="0.25">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c r="HI258" s="6"/>
      <c r="HJ258" s="6"/>
      <c r="HK258" s="6"/>
      <c r="HL258" s="6"/>
      <c r="HM258" s="6"/>
      <c r="HN258" s="6"/>
      <c r="HO258" s="6"/>
      <c r="HP258" s="6"/>
      <c r="HQ258" s="6"/>
      <c r="HR258" s="6"/>
      <c r="HS258" s="6"/>
      <c r="HT258" s="6"/>
      <c r="HU258" s="6"/>
      <c r="HV258" s="6"/>
      <c r="HW258" s="6"/>
      <c r="HX258" s="6"/>
    </row>
    <row r="259" ht="12.75" customHeight="1" hidden="1" spans="36:232" x14ac:dyDescent="0.25">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c r="HI259" s="6"/>
      <c r="HJ259" s="6"/>
      <c r="HK259" s="6"/>
      <c r="HL259" s="6"/>
      <c r="HM259" s="6"/>
      <c r="HN259" s="6"/>
      <c r="HO259" s="6"/>
      <c r="HP259" s="6"/>
      <c r="HQ259" s="6"/>
      <c r="HR259" s="6"/>
      <c r="HS259" s="6"/>
      <c r="HT259" s="6"/>
      <c r="HU259" s="6"/>
      <c r="HV259" s="6"/>
      <c r="HW259" s="6"/>
      <c r="HX259" s="6"/>
    </row>
    <row r="260" ht="12.75" customHeight="1" hidden="1" spans="36:166" x14ac:dyDescent="0.25">
      <c r="AJ260" s="5"/>
      <c r="AK260" s="5"/>
      <c r="AL260" s="5"/>
      <c r="AM260" s="5"/>
      <c r="AN260" s="5"/>
      <c r="AO260" s="5"/>
      <c r="AP260" s="5"/>
      <c r="AQ260" s="305"/>
      <c r="AR260" s="305"/>
      <c r="AS260" s="305"/>
      <c r="AT260" s="305"/>
      <c r="AU260" s="305"/>
      <c r="AV260" s="305"/>
      <c r="AW260" s="305"/>
      <c r="AX260" s="305"/>
      <c r="AY260" s="305"/>
      <c r="AZ260" s="305"/>
      <c r="BA260" s="305"/>
      <c r="BB260" s="305"/>
      <c r="BC260" s="305"/>
      <c r="BD260" s="305"/>
      <c r="BE260" s="305"/>
      <c r="BF260" s="305"/>
      <c r="BG260" s="305"/>
      <c r="BH260" s="305"/>
      <c r="BI260" s="305"/>
      <c r="BJ260" s="305"/>
      <c r="BK260" s="305"/>
      <c r="BL260" s="305"/>
      <c r="BM260" s="305"/>
      <c r="BN260" s="305"/>
      <c r="BO260" s="305"/>
      <c r="BP260" s="305"/>
      <c r="BQ260" s="305"/>
      <c r="BR260" s="305"/>
      <c r="BS260" s="305"/>
      <c r="BT260" s="305"/>
      <c r="BU260" s="305"/>
      <c r="BV260" s="305"/>
      <c r="BW260" s="305"/>
      <c r="BX260" s="305"/>
      <c r="BY260" s="305"/>
      <c r="BZ260" s="305"/>
      <c r="CA260" s="305"/>
      <c r="CB260" s="305"/>
      <c r="CC260" s="305"/>
      <c r="CD260" s="305"/>
      <c r="CE260" s="305"/>
      <c r="CF260" s="305"/>
      <c r="CG260" s="305"/>
      <c r="CH260" s="305"/>
      <c r="CI260" s="305"/>
      <c r="CJ260" s="305"/>
      <c r="CK260" s="305"/>
      <c r="CL260" s="305"/>
      <c r="CM260" s="305"/>
      <c r="CN260" s="305"/>
      <c r="CO260" s="305"/>
      <c r="CP260" s="305"/>
      <c r="CQ260" s="305"/>
      <c r="CR260" s="305"/>
      <c r="CS260" s="305"/>
      <c r="CT260" s="305"/>
      <c r="CU260" s="305"/>
      <c r="CV260" s="305"/>
      <c r="CW260" s="305"/>
      <c r="CX260" s="305"/>
      <c r="CY260" s="305"/>
      <c r="CZ260" s="305"/>
      <c r="DA260" s="305"/>
      <c r="DB260" s="305"/>
      <c r="DC260" s="305"/>
      <c r="DD260" s="305"/>
      <c r="DE260" s="305"/>
      <c r="DF260" s="305"/>
      <c r="DG260" s="305"/>
      <c r="DH260" s="305"/>
      <c r="DI260" s="305"/>
      <c r="DJ260" s="305"/>
      <c r="DK260" s="305"/>
      <c r="DL260" s="305"/>
      <c r="DM260" s="305"/>
      <c r="DN260" s="305"/>
      <c r="DO260" s="305"/>
      <c r="DP260" s="305"/>
      <c r="DQ260" s="305"/>
      <c r="DR260" s="305"/>
      <c r="DS260" s="305"/>
      <c r="DT260" s="305"/>
      <c r="DU260" s="305"/>
      <c r="DV260" s="305"/>
      <c r="DW260" s="305"/>
      <c r="DX260" s="305"/>
      <c r="DY260" s="305"/>
      <c r="DZ260" s="305"/>
      <c r="EA260" s="305"/>
      <c r="EB260" s="305"/>
      <c r="EC260" s="305"/>
      <c r="ED260" s="305"/>
      <c r="EE260" s="305"/>
      <c r="EF260" s="305"/>
      <c r="EG260" s="305"/>
      <c r="EH260" s="305"/>
      <c r="EI260" s="305"/>
      <c r="EJ260" s="305"/>
      <c r="EK260" s="305"/>
      <c r="EL260" s="305"/>
      <c r="EM260" s="305"/>
      <c r="EN260" s="305"/>
      <c r="EO260" s="305"/>
      <c r="EP260" s="305"/>
      <c r="EQ260" s="305"/>
      <c r="ER260" s="305"/>
      <c r="ES260" s="305"/>
      <c r="ET260" s="305"/>
      <c r="EU260" s="305"/>
      <c r="EV260" s="305"/>
      <c r="EW260" s="305"/>
      <c r="EX260" s="305"/>
      <c r="EY260" s="305"/>
      <c r="EZ260" s="305"/>
      <c r="FA260" s="305"/>
      <c r="FB260" s="305"/>
      <c r="FC260" s="305"/>
      <c r="FD260" s="305"/>
      <c r="FE260" s="305"/>
      <c r="FF260" s="305"/>
      <c r="FG260" s="305"/>
      <c r="FH260" s="305"/>
      <c r="FI260" s="305"/>
      <c r="FJ260" s="305"/>
    </row>
    <row r="261" ht="12.75" customHeight="1" hidden="1" spans="36:166" x14ac:dyDescent="0.25">
      <c r="AJ261" s="5"/>
      <c r="AK261" s="5"/>
      <c r="AL261" s="5"/>
      <c r="AM261" s="5"/>
      <c r="AN261" s="5"/>
      <c r="AO261" s="5"/>
      <c r="AP261" s="5"/>
      <c r="AQ261" s="305"/>
      <c r="AR261" s="305"/>
      <c r="AS261" s="305"/>
      <c r="AT261" s="305"/>
      <c r="AU261" s="305"/>
      <c r="AV261" s="305"/>
      <c r="AW261" s="305"/>
      <c r="AX261" s="305"/>
      <c r="AY261" s="305"/>
      <c r="AZ261" s="305"/>
      <c r="BA261" s="305"/>
      <c r="BB261" s="305"/>
      <c r="BC261" s="305"/>
      <c r="BD261" s="305"/>
      <c r="BE261" s="305"/>
      <c r="BF261" s="305"/>
      <c r="BG261" s="305"/>
      <c r="BH261" s="305"/>
      <c r="BI261" s="305"/>
      <c r="BJ261" s="305"/>
      <c r="BK261" s="305"/>
      <c r="BL261" s="305"/>
      <c r="BM261" s="305"/>
      <c r="BN261" s="305"/>
      <c r="BO261" s="305"/>
      <c r="BP261" s="305"/>
      <c r="BQ261" s="305"/>
      <c r="BR261" s="305"/>
      <c r="BS261" s="305"/>
      <c r="BT261" s="305"/>
      <c r="BU261" s="305"/>
      <c r="BV261" s="305"/>
      <c r="BW261" s="305"/>
      <c r="BX261" s="305"/>
      <c r="BY261" s="305"/>
      <c r="BZ261" s="305"/>
      <c r="CA261" s="305"/>
      <c r="CB261" s="305"/>
      <c r="CC261" s="305"/>
      <c r="CD261" s="305"/>
      <c r="CE261" s="305"/>
      <c r="CF261" s="305"/>
      <c r="CG261" s="305"/>
      <c r="CH261" s="305"/>
      <c r="CI261" s="305"/>
      <c r="CJ261" s="305"/>
      <c r="CK261" s="305"/>
      <c r="CL261" s="305"/>
      <c r="CM261" s="305"/>
      <c r="CN261" s="305"/>
      <c r="CO261" s="305"/>
      <c r="CP261" s="305"/>
      <c r="CQ261" s="305"/>
      <c r="CR261" s="305"/>
      <c r="CS261" s="305"/>
      <c r="CT261" s="305"/>
      <c r="CU261" s="305"/>
      <c r="CV261" s="305"/>
      <c r="CW261" s="305"/>
      <c r="CX261" s="305"/>
      <c r="CY261" s="305"/>
      <c r="CZ261" s="305"/>
      <c r="DA261" s="305"/>
      <c r="DB261" s="305"/>
      <c r="DC261" s="305"/>
      <c r="DD261" s="305"/>
      <c r="DE261" s="305"/>
      <c r="DF261" s="305"/>
      <c r="DG261" s="305"/>
      <c r="DH261" s="305"/>
      <c r="DI261" s="305"/>
      <c r="DJ261" s="305"/>
      <c r="DK261" s="305"/>
      <c r="DL261" s="305"/>
      <c r="DM261" s="305"/>
      <c r="DN261" s="305"/>
      <c r="DO261" s="305"/>
      <c r="DP261" s="305"/>
      <c r="DQ261" s="305"/>
      <c r="DR261" s="305"/>
      <c r="DS261" s="305"/>
      <c r="DT261" s="305"/>
      <c r="DU261" s="305"/>
      <c r="DV261" s="305"/>
      <c r="DW261" s="305"/>
      <c r="DX261" s="305"/>
      <c r="DY261" s="305"/>
      <c r="DZ261" s="305"/>
      <c r="EA261" s="305"/>
      <c r="EB261" s="305"/>
      <c r="EC261" s="305"/>
      <c r="ED261" s="305"/>
      <c r="EE261" s="305"/>
      <c r="EF261" s="305"/>
      <c r="EG261" s="305"/>
      <c r="EH261" s="305"/>
      <c r="EI261" s="305"/>
      <c r="EJ261" s="305"/>
      <c r="EK261" s="305"/>
      <c r="EL261" s="305"/>
      <c r="EM261" s="305"/>
      <c r="EN261" s="305"/>
      <c r="EO261" s="305"/>
      <c r="EP261" s="305"/>
      <c r="EQ261" s="305"/>
      <c r="ER261" s="305"/>
      <c r="ES261" s="305"/>
      <c r="ET261" s="305"/>
      <c r="EU261" s="305"/>
      <c r="EV261" s="305"/>
      <c r="EW261" s="305"/>
      <c r="EX261" s="305"/>
      <c r="EY261" s="305"/>
      <c r="EZ261" s="305"/>
      <c r="FA261" s="305"/>
      <c r="FB261" s="305"/>
      <c r="FC261" s="305"/>
      <c r="FD261" s="305"/>
      <c r="FE261" s="305"/>
      <c r="FF261" s="305"/>
      <c r="FG261" s="305"/>
      <c r="FH261" s="305"/>
      <c r="FI261" s="305"/>
      <c r="FJ261" s="305"/>
    </row>
    <row r="262" ht="12.75" customHeight="1" hidden="1" spans="36:166" x14ac:dyDescent="0.25">
      <c r="AJ262" s="5"/>
      <c r="AK262" s="5"/>
      <c r="AL262" s="5"/>
      <c r="AM262" s="5"/>
      <c r="AN262" s="5"/>
      <c r="AO262" s="5"/>
      <c r="AP262" s="5"/>
      <c r="AQ262" s="305"/>
      <c r="AR262" s="305"/>
      <c r="AS262" s="305"/>
      <c r="AT262" s="305"/>
      <c r="AU262" s="305"/>
      <c r="AV262" s="305"/>
      <c r="AW262" s="305"/>
      <c r="AX262" s="305"/>
      <c r="AY262" s="305"/>
      <c r="AZ262" s="305"/>
      <c r="BA262" s="305"/>
      <c r="BB262" s="305"/>
      <c r="BC262" s="305"/>
      <c r="BD262" s="305"/>
      <c r="BE262" s="305"/>
      <c r="BF262" s="305"/>
      <c r="BG262" s="305"/>
      <c r="BH262" s="305"/>
      <c r="BI262" s="305"/>
      <c r="BJ262" s="305"/>
      <c r="BK262" s="305"/>
      <c r="BL262" s="305"/>
      <c r="BM262" s="305"/>
      <c r="BN262" s="305"/>
      <c r="BO262" s="305"/>
      <c r="BP262" s="305"/>
      <c r="BQ262" s="305"/>
      <c r="BR262" s="305"/>
      <c r="BS262" s="305"/>
      <c r="BT262" s="305"/>
      <c r="BU262" s="305"/>
      <c r="BV262" s="305"/>
      <c r="BW262" s="305"/>
      <c r="BX262" s="305"/>
      <c r="BY262" s="305"/>
      <c r="BZ262" s="305"/>
      <c r="CA262" s="305"/>
      <c r="CB262" s="305"/>
      <c r="CC262" s="305"/>
      <c r="CD262" s="305"/>
      <c r="CE262" s="305"/>
      <c r="CF262" s="305"/>
      <c r="CG262" s="305"/>
      <c r="CH262" s="305"/>
      <c r="CI262" s="305"/>
      <c r="CJ262" s="305"/>
      <c r="CK262" s="305"/>
      <c r="CL262" s="305"/>
      <c r="CM262" s="305"/>
      <c r="CN262" s="305"/>
      <c r="CO262" s="305"/>
      <c r="CP262" s="305"/>
      <c r="CQ262" s="305"/>
      <c r="CR262" s="305"/>
      <c r="CS262" s="305"/>
      <c r="CT262" s="305"/>
      <c r="CU262" s="305"/>
      <c r="CV262" s="305"/>
      <c r="CW262" s="305"/>
      <c r="CX262" s="305"/>
      <c r="CY262" s="305"/>
      <c r="CZ262" s="305"/>
      <c r="DA262" s="305"/>
      <c r="DB262" s="305"/>
      <c r="DC262" s="305"/>
      <c r="DD262" s="305"/>
      <c r="DE262" s="305"/>
      <c r="DF262" s="305"/>
      <c r="DG262" s="305"/>
      <c r="DH262" s="305"/>
      <c r="DI262" s="305"/>
      <c r="DJ262" s="305"/>
      <c r="DK262" s="305"/>
      <c r="DL262" s="305"/>
      <c r="DM262" s="305"/>
      <c r="DN262" s="305"/>
      <c r="DO262" s="305"/>
      <c r="DP262" s="305"/>
      <c r="DQ262" s="305"/>
      <c r="DR262" s="305"/>
      <c r="DS262" s="305"/>
      <c r="DT262" s="305"/>
      <c r="DU262" s="305"/>
      <c r="DV262" s="305"/>
      <c r="DW262" s="305"/>
      <c r="DX262" s="305"/>
      <c r="DY262" s="305"/>
      <c r="DZ262" s="305"/>
      <c r="EA262" s="305"/>
      <c r="EB262" s="305"/>
      <c r="EC262" s="305"/>
      <c r="ED262" s="305"/>
      <c r="EE262" s="305"/>
      <c r="EF262" s="305"/>
      <c r="EG262" s="305"/>
      <c r="EH262" s="305"/>
      <c r="EI262" s="305"/>
      <c r="EJ262" s="305"/>
      <c r="EK262" s="305"/>
      <c r="EL262" s="305"/>
      <c r="EM262" s="305"/>
      <c r="EN262" s="305"/>
      <c r="EO262" s="305"/>
      <c r="EP262" s="305"/>
      <c r="EQ262" s="305"/>
      <c r="ER262" s="305"/>
      <c r="ES262" s="305"/>
      <c r="ET262" s="305"/>
      <c r="EU262" s="305"/>
      <c r="EV262" s="305"/>
      <c r="EW262" s="305"/>
      <c r="EX262" s="305"/>
      <c r="EY262" s="305"/>
      <c r="EZ262" s="305"/>
      <c r="FA262" s="305"/>
      <c r="FB262" s="305"/>
      <c r="FC262" s="305"/>
      <c r="FD262" s="305"/>
      <c r="FE262" s="305"/>
      <c r="FF262" s="305"/>
      <c r="FG262" s="305"/>
      <c r="FH262" s="305"/>
      <c r="FI262" s="305"/>
      <c r="FJ262" s="305"/>
    </row>
    <row r="263" ht="12.75" customHeight="1" hidden="1" spans="36:166" x14ac:dyDescent="0.25">
      <c r="AJ263" s="5"/>
      <c r="AK263" s="5"/>
      <c r="AL263" s="5"/>
      <c r="AM263" s="5"/>
      <c r="AN263" s="5"/>
      <c r="AO263" s="5"/>
      <c r="AP263" s="5"/>
      <c r="AQ263" s="305"/>
      <c r="AR263" s="305"/>
      <c r="AS263" s="305"/>
      <c r="AT263" s="305"/>
      <c r="AU263" s="305"/>
      <c r="AV263" s="305"/>
      <c r="AW263" s="305"/>
      <c r="AX263" s="305"/>
      <c r="AY263" s="305"/>
      <c r="AZ263" s="305"/>
      <c r="BA263" s="305"/>
      <c r="BB263" s="305"/>
      <c r="BC263" s="305"/>
      <c r="BD263" s="305"/>
      <c r="BE263" s="305"/>
      <c r="BF263" s="305"/>
      <c r="BG263" s="305"/>
      <c r="BH263" s="305"/>
      <c r="BI263" s="305"/>
      <c r="BJ263" s="305"/>
      <c r="BK263" s="305"/>
      <c r="BL263" s="305"/>
      <c r="BM263" s="305"/>
      <c r="BN263" s="305"/>
      <c r="BO263" s="305"/>
      <c r="BP263" s="305"/>
      <c r="BQ263" s="305"/>
      <c r="BR263" s="305"/>
      <c r="BS263" s="305"/>
      <c r="BT263" s="305"/>
      <c r="BU263" s="305"/>
      <c r="BV263" s="305"/>
      <c r="BW263" s="305"/>
      <c r="BX263" s="305"/>
      <c r="BY263" s="305"/>
      <c r="BZ263" s="305"/>
      <c r="CA263" s="305"/>
      <c r="CB263" s="305"/>
      <c r="CC263" s="305"/>
      <c r="CD263" s="305"/>
      <c r="CE263" s="305"/>
      <c r="CF263" s="305"/>
      <c r="CG263" s="305"/>
      <c r="CH263" s="305"/>
      <c r="CI263" s="305"/>
      <c r="CJ263" s="305"/>
      <c r="CK263" s="305"/>
      <c r="CL263" s="305"/>
      <c r="CM263" s="305"/>
      <c r="CN263" s="305"/>
      <c r="CO263" s="305"/>
      <c r="CP263" s="305"/>
      <c r="CQ263" s="305"/>
      <c r="CR263" s="305"/>
      <c r="CS263" s="305"/>
      <c r="CT263" s="305"/>
      <c r="CU263" s="305"/>
      <c r="CV263" s="305"/>
      <c r="CW263" s="305"/>
      <c r="CX263" s="305"/>
      <c r="CY263" s="305"/>
      <c r="CZ263" s="305"/>
      <c r="DA263" s="305"/>
      <c r="DB263" s="305"/>
      <c r="DC263" s="305"/>
      <c r="DD263" s="305"/>
      <c r="DE263" s="305"/>
      <c r="DF263" s="305"/>
      <c r="DG263" s="305"/>
      <c r="DH263" s="305"/>
      <c r="DI263" s="305"/>
      <c r="DJ263" s="305"/>
      <c r="DK263" s="305"/>
      <c r="DL263" s="305"/>
      <c r="DM263" s="305"/>
      <c r="DN263" s="305"/>
      <c r="DO263" s="305"/>
      <c r="DP263" s="305"/>
      <c r="DQ263" s="305"/>
      <c r="DR263" s="305"/>
      <c r="DS263" s="305"/>
      <c r="DT263" s="305"/>
      <c r="DU263" s="305"/>
      <c r="DV263" s="305"/>
      <c r="DW263" s="305"/>
      <c r="DX263" s="305"/>
      <c r="DY263" s="305"/>
      <c r="DZ263" s="305"/>
      <c r="EA263" s="305"/>
      <c r="EB263" s="305"/>
      <c r="EC263" s="305"/>
      <c r="ED263" s="305"/>
      <c r="EE263" s="305"/>
      <c r="EF263" s="305"/>
      <c r="EG263" s="305"/>
      <c r="EH263" s="305"/>
      <c r="EI263" s="305"/>
      <c r="EJ263" s="305"/>
      <c r="EK263" s="305"/>
      <c r="EL263" s="305"/>
      <c r="EM263" s="305"/>
      <c r="EN263" s="305"/>
      <c r="EO263" s="305"/>
      <c r="EP263" s="305"/>
      <c r="EQ263" s="305"/>
      <c r="ER263" s="305"/>
      <c r="ES263" s="305"/>
      <c r="ET263" s="305"/>
      <c r="EU263" s="305"/>
      <c r="EV263" s="305"/>
      <c r="EW263" s="305"/>
      <c r="EX263" s="305"/>
      <c r="EY263" s="305"/>
      <c r="EZ263" s="305"/>
      <c r="FA263" s="305"/>
      <c r="FB263" s="305"/>
      <c r="FC263" s="305"/>
      <c r="FD263" s="305"/>
      <c r="FE263" s="305"/>
      <c r="FF263" s="305"/>
      <c r="FG263" s="305"/>
      <c r="FH263" s="305"/>
      <c r="FI263" s="305"/>
      <c r="FJ263" s="305"/>
    </row>
    <row r="264" ht="12.75" customHeight="1" hidden="1" spans="36:166" x14ac:dyDescent="0.25">
      <c r="AJ264" s="5"/>
      <c r="AK264" s="5"/>
      <c r="AL264" s="5"/>
      <c r="AM264" s="5"/>
      <c r="AN264" s="5"/>
      <c r="AO264" s="5"/>
      <c r="AP264" s="5"/>
      <c r="AQ264" s="305"/>
      <c r="AR264" s="305"/>
      <c r="AS264" s="305"/>
      <c r="AT264" s="305"/>
      <c r="AU264" s="305"/>
      <c r="AV264" s="305"/>
      <c r="AW264" s="305"/>
      <c r="AX264" s="305"/>
      <c r="AY264" s="305"/>
      <c r="AZ264" s="305"/>
      <c r="BA264" s="305"/>
      <c r="BB264" s="305"/>
      <c r="BC264" s="305"/>
      <c r="BD264" s="305"/>
      <c r="BE264" s="305"/>
      <c r="BF264" s="305"/>
      <c r="BG264" s="305"/>
      <c r="BH264" s="305"/>
      <c r="BI264" s="305"/>
      <c r="BJ264" s="305"/>
      <c r="BK264" s="305"/>
      <c r="BL264" s="305"/>
      <c r="BM264" s="305"/>
      <c r="BN264" s="305"/>
      <c r="BO264" s="305"/>
      <c r="BP264" s="305"/>
      <c r="BQ264" s="305"/>
      <c r="BR264" s="305"/>
      <c r="BS264" s="305"/>
      <c r="BT264" s="305"/>
      <c r="BU264" s="305"/>
      <c r="BV264" s="305"/>
      <c r="BW264" s="305"/>
      <c r="BX264" s="305"/>
      <c r="BY264" s="305"/>
      <c r="BZ264" s="305"/>
      <c r="CA264" s="305"/>
      <c r="CB264" s="305"/>
      <c r="CC264" s="305"/>
      <c r="CD264" s="305"/>
      <c r="CE264" s="305"/>
      <c r="CF264" s="305"/>
      <c r="CG264" s="305"/>
      <c r="CH264" s="305"/>
      <c r="CI264" s="305"/>
      <c r="CJ264" s="305"/>
      <c r="CK264" s="305"/>
      <c r="CL264" s="305"/>
      <c r="CM264" s="305"/>
      <c r="CN264" s="305"/>
      <c r="CO264" s="305"/>
      <c r="CP264" s="305"/>
      <c r="CQ264" s="305"/>
      <c r="CR264" s="305"/>
      <c r="CS264" s="305"/>
      <c r="CT264" s="305"/>
      <c r="CU264" s="305"/>
      <c r="CV264" s="305"/>
      <c r="CW264" s="305"/>
      <c r="CX264" s="305"/>
      <c r="CY264" s="305"/>
      <c r="CZ264" s="305"/>
      <c r="DA264" s="305"/>
      <c r="DB264" s="305"/>
      <c r="DC264" s="305"/>
      <c r="DD264" s="305"/>
      <c r="DE264" s="305"/>
      <c r="DF264" s="305"/>
      <c r="DG264" s="305"/>
      <c r="DH264" s="305"/>
      <c r="DI264" s="305"/>
      <c r="DJ264" s="305"/>
      <c r="DK264" s="305"/>
      <c r="DL264" s="305"/>
      <c r="DM264" s="305"/>
      <c r="DN264" s="305"/>
      <c r="DO264" s="305"/>
      <c r="DP264" s="305"/>
      <c r="DQ264" s="305"/>
      <c r="DR264" s="305"/>
      <c r="DS264" s="305"/>
      <c r="DT264" s="305"/>
      <c r="DU264" s="305"/>
      <c r="DV264" s="305"/>
      <c r="DW264" s="305"/>
      <c r="DX264" s="305"/>
      <c r="DY264" s="305"/>
      <c r="DZ264" s="305"/>
      <c r="EA264" s="305"/>
      <c r="EB264" s="305"/>
      <c r="EC264" s="305"/>
      <c r="ED264" s="305"/>
      <c r="EE264" s="305"/>
      <c r="EF264" s="305"/>
      <c r="EG264" s="305"/>
      <c r="EH264" s="305"/>
      <c r="EI264" s="305"/>
      <c r="EJ264" s="305"/>
      <c r="EK264" s="305"/>
      <c r="EL264" s="305"/>
      <c r="EM264" s="305"/>
      <c r="EN264" s="305"/>
      <c r="EO264" s="305"/>
      <c r="EP264" s="305"/>
      <c r="EQ264" s="305"/>
      <c r="ER264" s="305"/>
      <c r="ES264" s="305"/>
      <c r="ET264" s="305"/>
      <c r="EU264" s="305"/>
      <c r="EV264" s="305"/>
      <c r="EW264" s="305"/>
      <c r="EX264" s="305"/>
      <c r="EY264" s="305"/>
      <c r="EZ264" s="305"/>
      <c r="FA264" s="305"/>
      <c r="FB264" s="305"/>
      <c r="FC264" s="305"/>
      <c r="FD264" s="305"/>
      <c r="FE264" s="305"/>
      <c r="FF264" s="305"/>
      <c r="FG264" s="305"/>
      <c r="FH264" s="305"/>
      <c r="FI264" s="305"/>
      <c r="FJ264" s="305"/>
    </row>
    <row r="265" ht="12.75" customHeight="1" hidden="1" spans="36:166" x14ac:dyDescent="0.25">
      <c r="AJ265" s="5"/>
      <c r="AK265" s="5"/>
      <c r="AL265" s="5"/>
      <c r="AM265" s="5"/>
      <c r="AN265" s="5"/>
      <c r="AO265" s="5"/>
      <c r="AP265" s="5"/>
      <c r="AQ265" s="305"/>
      <c r="AR265" s="305"/>
      <c r="AS265" s="305"/>
      <c r="AT265" s="305"/>
      <c r="AU265" s="305"/>
      <c r="AV265" s="305"/>
      <c r="AW265" s="305"/>
      <c r="AX265" s="305"/>
      <c r="AY265" s="305"/>
      <c r="AZ265" s="305"/>
      <c r="BA265" s="305"/>
      <c r="BB265" s="305"/>
      <c r="BC265" s="305"/>
      <c r="BD265" s="305"/>
      <c r="BE265" s="305"/>
      <c r="BF265" s="305"/>
      <c r="BG265" s="305"/>
      <c r="BH265" s="305"/>
      <c r="BI265" s="305"/>
      <c r="BJ265" s="305"/>
      <c r="BK265" s="305"/>
      <c r="BL265" s="305"/>
      <c r="BM265" s="305"/>
      <c r="BN265" s="305"/>
      <c r="BO265" s="305"/>
      <c r="BP265" s="305"/>
      <c r="BQ265" s="305"/>
      <c r="BR265" s="305"/>
      <c r="BS265" s="305"/>
      <c r="BT265" s="305"/>
      <c r="BU265" s="305"/>
      <c r="BV265" s="305"/>
      <c r="BW265" s="305"/>
      <c r="BX265" s="305"/>
      <c r="BY265" s="305"/>
      <c r="BZ265" s="305"/>
      <c r="CA265" s="305"/>
      <c r="CB265" s="305"/>
      <c r="CC265" s="305"/>
      <c r="CD265" s="305"/>
      <c r="CE265" s="305"/>
      <c r="CF265" s="305"/>
      <c r="CG265" s="305"/>
      <c r="CH265" s="305"/>
      <c r="CI265" s="305"/>
      <c r="CJ265" s="305"/>
      <c r="CK265" s="305"/>
      <c r="CL265" s="305"/>
      <c r="CM265" s="305"/>
      <c r="CN265" s="305"/>
      <c r="CO265" s="305"/>
      <c r="CP265" s="305"/>
      <c r="CQ265" s="305"/>
      <c r="CR265" s="305"/>
      <c r="CS265" s="305"/>
      <c r="CT265" s="305"/>
      <c r="CU265" s="305"/>
      <c r="CV265" s="305"/>
      <c r="CW265" s="305"/>
      <c r="CX265" s="305"/>
      <c r="CY265" s="305"/>
      <c r="CZ265" s="305"/>
      <c r="DA265" s="305"/>
      <c r="DB265" s="305"/>
      <c r="DC265" s="305"/>
      <c r="DD265" s="305"/>
      <c r="DE265" s="305"/>
      <c r="DF265" s="305"/>
      <c r="DG265" s="305"/>
      <c r="DH265" s="305"/>
      <c r="DI265" s="305"/>
      <c r="DJ265" s="305"/>
      <c r="DK265" s="305"/>
      <c r="DL265" s="305"/>
      <c r="DM265" s="305"/>
      <c r="DN265" s="305"/>
      <c r="DO265" s="305"/>
      <c r="DP265" s="305"/>
      <c r="DQ265" s="305"/>
      <c r="DR265" s="305"/>
      <c r="DS265" s="305"/>
      <c r="DT265" s="305"/>
      <c r="DU265" s="305"/>
      <c r="DV265" s="305"/>
      <c r="DW265" s="305"/>
      <c r="DX265" s="305"/>
      <c r="DY265" s="305"/>
      <c r="DZ265" s="305"/>
      <c r="EA265" s="305"/>
      <c r="EB265" s="305"/>
      <c r="EC265" s="305"/>
      <c r="ED265" s="305"/>
      <c r="EE265" s="305"/>
      <c r="EF265" s="305"/>
      <c r="EG265" s="305"/>
      <c r="EH265" s="305"/>
      <c r="EI265" s="305"/>
      <c r="EJ265" s="305"/>
      <c r="EK265" s="305"/>
      <c r="EL265" s="305"/>
      <c r="EM265" s="305"/>
      <c r="EN265" s="305"/>
      <c r="EO265" s="305"/>
      <c r="EP265" s="305"/>
      <c r="EQ265" s="305"/>
      <c r="ER265" s="305"/>
      <c r="ES265" s="305"/>
      <c r="ET265" s="305"/>
      <c r="EU265" s="305"/>
      <c r="EV265" s="305"/>
      <c r="EW265" s="305"/>
      <c r="EX265" s="305"/>
      <c r="EY265" s="305"/>
      <c r="EZ265" s="305"/>
      <c r="FA265" s="305"/>
      <c r="FB265" s="305"/>
      <c r="FC265" s="305"/>
      <c r="FD265" s="305"/>
      <c r="FE265" s="305"/>
      <c r="FF265" s="305"/>
      <c r="FG265" s="305"/>
      <c r="FH265" s="305"/>
      <c r="FI265" s="305"/>
      <c r="FJ265" s="305"/>
    </row>
    <row r="266" ht="12.75" customHeight="1" hidden="1" spans="36:166" x14ac:dyDescent="0.25">
      <c r="AJ266" s="5"/>
      <c r="AK266" s="5"/>
      <c r="AL266" s="5"/>
      <c r="AM266" s="5"/>
      <c r="AN266" s="5"/>
      <c r="AO266" s="5"/>
      <c r="AP266" s="5"/>
      <c r="AQ266" s="305"/>
      <c r="AR266" s="305"/>
      <c r="AS266" s="305"/>
      <c r="AT266" s="305"/>
      <c r="AU266" s="305"/>
      <c r="AV266" s="305"/>
      <c r="AW266" s="305"/>
      <c r="AX266" s="305"/>
      <c r="AY266" s="305"/>
      <c r="AZ266" s="305"/>
      <c r="BA266" s="305"/>
      <c r="BB266" s="305"/>
      <c r="BC266" s="305"/>
      <c r="BD266" s="305"/>
      <c r="BE266" s="305"/>
      <c r="BF266" s="305"/>
      <c r="BG266" s="305"/>
      <c r="BH266" s="305"/>
      <c r="BI266" s="305"/>
      <c r="BJ266" s="305"/>
      <c r="BK266" s="305"/>
      <c r="BL266" s="305"/>
      <c r="BM266" s="305"/>
      <c r="BN266" s="305"/>
      <c r="BO266" s="305"/>
      <c r="BP266" s="305"/>
      <c r="BQ266" s="305"/>
      <c r="BR266" s="305"/>
      <c r="BS266" s="305"/>
      <c r="BT266" s="305"/>
      <c r="BU266" s="305"/>
      <c r="BV266" s="305"/>
      <c r="BW266" s="305"/>
      <c r="BX266" s="305"/>
      <c r="BY266" s="305"/>
      <c r="BZ266" s="305"/>
      <c r="CA266" s="305"/>
      <c r="CB266" s="305"/>
      <c r="CC266" s="305"/>
      <c r="CD266" s="305"/>
      <c r="CE266" s="305"/>
      <c r="CF266" s="305"/>
      <c r="CG266" s="305"/>
      <c r="CH266" s="305"/>
      <c r="CI266" s="305"/>
      <c r="CJ266" s="305"/>
      <c r="CK266" s="305"/>
      <c r="CL266" s="305"/>
      <c r="CM266" s="305"/>
      <c r="CN266" s="305"/>
      <c r="CO266" s="305"/>
      <c r="CP266" s="305"/>
      <c r="CQ266" s="305"/>
      <c r="CR266" s="305"/>
      <c r="CS266" s="305"/>
      <c r="CT266" s="305"/>
      <c r="CU266" s="305"/>
      <c r="CV266" s="305"/>
      <c r="CW266" s="305"/>
      <c r="CX266" s="305"/>
      <c r="CY266" s="305"/>
      <c r="CZ266" s="305"/>
      <c r="DA266" s="305"/>
      <c r="DB266" s="305"/>
      <c r="DC266" s="305"/>
      <c r="DD266" s="305"/>
      <c r="DE266" s="305"/>
      <c r="DF266" s="305"/>
      <c r="DG266" s="305"/>
      <c r="DH266" s="305"/>
      <c r="DI266" s="305"/>
      <c r="DJ266" s="305"/>
      <c r="DK266" s="305"/>
      <c r="DL266" s="305"/>
      <c r="DM266" s="305"/>
      <c r="DN266" s="305"/>
      <c r="DO266" s="305"/>
      <c r="DP266" s="305"/>
      <c r="DQ266" s="305"/>
      <c r="DR266" s="305"/>
      <c r="DS266" s="305"/>
      <c r="DT266" s="305"/>
      <c r="DU266" s="305"/>
      <c r="DV266" s="305"/>
      <c r="DW266" s="305"/>
      <c r="DX266" s="305"/>
      <c r="DY266" s="305"/>
      <c r="DZ266" s="305"/>
      <c r="EA266" s="305"/>
      <c r="EB266" s="305"/>
      <c r="EC266" s="305"/>
      <c r="ED266" s="305"/>
      <c r="EE266" s="305"/>
      <c r="EF266" s="305"/>
      <c r="EG266" s="305"/>
      <c r="EH266" s="305"/>
      <c r="EI266" s="305"/>
      <c r="EJ266" s="305"/>
      <c r="EK266" s="305"/>
      <c r="EL266" s="305"/>
      <c r="EM266" s="305"/>
      <c r="EN266" s="305"/>
      <c r="EO266" s="305"/>
      <c r="EP266" s="305"/>
      <c r="EQ266" s="305"/>
      <c r="ER266" s="305"/>
      <c r="ES266" s="305"/>
      <c r="ET266" s="305"/>
      <c r="EU266" s="305"/>
      <c r="EV266" s="305"/>
      <c r="EW266" s="305"/>
      <c r="EX266" s="305"/>
      <c r="EY266" s="305"/>
      <c r="EZ266" s="305"/>
      <c r="FA266" s="305"/>
      <c r="FB266" s="305"/>
      <c r="FC266" s="305"/>
      <c r="FD266" s="305"/>
      <c r="FE266" s="305"/>
      <c r="FF266" s="305"/>
      <c r="FG266" s="305"/>
      <c r="FH266" s="305"/>
      <c r="FI266" s="305"/>
      <c r="FJ266" s="305"/>
    </row>
    <row r="267" ht="12.75" customHeight="1" hidden="1" spans="36:166" x14ac:dyDescent="0.25">
      <c r="AJ267" s="5"/>
      <c r="AK267" s="5"/>
      <c r="AL267" s="5"/>
      <c r="AM267" s="5"/>
      <c r="AN267" s="5"/>
      <c r="AO267" s="5"/>
      <c r="AP267" s="5"/>
      <c r="AQ267" s="305"/>
      <c r="AR267" s="305"/>
      <c r="AS267" s="305"/>
      <c r="AT267" s="305"/>
      <c r="AU267" s="305"/>
      <c r="AV267" s="305"/>
      <c r="AW267" s="305"/>
      <c r="AX267" s="305"/>
      <c r="AY267" s="305"/>
      <c r="AZ267" s="305"/>
      <c r="BA267" s="305"/>
      <c r="BB267" s="305"/>
      <c r="BC267" s="305"/>
      <c r="BD267" s="305"/>
      <c r="BE267" s="305"/>
      <c r="BF267" s="305"/>
      <c r="BG267" s="305"/>
      <c r="BH267" s="305"/>
      <c r="BI267" s="305"/>
      <c r="BJ267" s="305"/>
      <c r="BK267" s="305"/>
      <c r="BL267" s="305"/>
      <c r="BM267" s="305"/>
      <c r="BN267" s="305"/>
      <c r="BO267" s="305"/>
      <c r="BP267" s="305"/>
      <c r="BQ267" s="305"/>
      <c r="BR267" s="305"/>
      <c r="BS267" s="305"/>
      <c r="BT267" s="305"/>
      <c r="BU267" s="305"/>
      <c r="BV267" s="305"/>
      <c r="BW267" s="305"/>
      <c r="BX267" s="305"/>
      <c r="BY267" s="305"/>
      <c r="BZ267" s="305"/>
      <c r="CA267" s="305"/>
      <c r="CB267" s="305"/>
      <c r="CC267" s="305"/>
      <c r="CD267" s="305"/>
      <c r="CE267" s="305"/>
      <c r="CF267" s="305"/>
      <c r="CG267" s="305"/>
      <c r="CH267" s="305"/>
      <c r="CI267" s="305"/>
      <c r="CJ267" s="305"/>
      <c r="CK267" s="305"/>
      <c r="CL267" s="305"/>
      <c r="CM267" s="305"/>
      <c r="CN267" s="305"/>
      <c r="CO267" s="305"/>
      <c r="CP267" s="305"/>
      <c r="CQ267" s="305"/>
      <c r="CR267" s="305"/>
      <c r="CS267" s="305"/>
      <c r="CT267" s="305"/>
      <c r="CU267" s="305"/>
      <c r="CV267" s="305"/>
      <c r="CW267" s="305"/>
      <c r="CX267" s="305"/>
      <c r="CY267" s="305"/>
      <c r="CZ267" s="305"/>
      <c r="DA267" s="305"/>
      <c r="DB267" s="305"/>
      <c r="DC267" s="305"/>
      <c r="DD267" s="305"/>
      <c r="DE267" s="305"/>
      <c r="DF267" s="305"/>
      <c r="DG267" s="305"/>
      <c r="DH267" s="305"/>
      <c r="DI267" s="305"/>
      <c r="DJ267" s="305"/>
      <c r="DK267" s="305"/>
      <c r="DL267" s="305"/>
      <c r="DM267" s="305"/>
      <c r="DN267" s="305"/>
      <c r="DO267" s="305"/>
      <c r="DP267" s="305"/>
      <c r="DQ267" s="305"/>
      <c r="DR267" s="305"/>
      <c r="DS267" s="305"/>
      <c r="DT267" s="305"/>
      <c r="DU267" s="305"/>
      <c r="DV267" s="305"/>
      <c r="DW267" s="305"/>
      <c r="DX267" s="305"/>
      <c r="DY267" s="305"/>
      <c r="DZ267" s="305"/>
      <c r="EA267" s="305"/>
      <c r="EB267" s="305"/>
      <c r="EC267" s="305"/>
      <c r="ED267" s="305"/>
      <c r="EE267" s="305"/>
      <c r="EF267" s="305"/>
      <c r="EG267" s="305"/>
      <c r="EH267" s="305"/>
      <c r="EI267" s="305"/>
      <c r="EJ267" s="305"/>
      <c r="EK267" s="305"/>
      <c r="EL267" s="305"/>
      <c r="EM267" s="305"/>
      <c r="EN267" s="305"/>
      <c r="EO267" s="305"/>
      <c r="EP267" s="305"/>
      <c r="EQ267" s="305"/>
      <c r="ER267" s="305"/>
      <c r="ES267" s="305"/>
      <c r="ET267" s="305"/>
      <c r="EU267" s="305"/>
      <c r="EV267" s="305"/>
      <c r="EW267" s="305"/>
      <c r="EX267" s="305"/>
      <c r="EY267" s="305"/>
      <c r="EZ267" s="305"/>
      <c r="FA267" s="305"/>
      <c r="FB267" s="305"/>
      <c r="FC267" s="305"/>
      <c r="FD267" s="305"/>
      <c r="FE267" s="305"/>
      <c r="FF267" s="305"/>
      <c r="FG267" s="305"/>
      <c r="FH267" s="305"/>
      <c r="FI267" s="305"/>
      <c r="FJ267" s="305"/>
    </row>
    <row r="268" ht="12.75" customHeight="1" hidden="1" spans="36:166" x14ac:dyDescent="0.25">
      <c r="AJ268" s="5"/>
      <c r="AK268" s="5"/>
      <c r="AL268" s="5"/>
      <c r="AM268" s="5"/>
      <c r="AN268" s="5"/>
      <c r="AO268" s="5"/>
      <c r="AP268" s="5"/>
      <c r="AQ268" s="305"/>
      <c r="AR268" s="305"/>
      <c r="AS268" s="305"/>
      <c r="AT268" s="305"/>
      <c r="AU268" s="305"/>
      <c r="AV268" s="305"/>
      <c r="AW268" s="305"/>
      <c r="AX268" s="305"/>
      <c r="AY268" s="305"/>
      <c r="AZ268" s="305"/>
      <c r="BA268" s="305"/>
      <c r="BB268" s="305"/>
      <c r="BC268" s="305"/>
      <c r="BD268" s="305"/>
      <c r="BE268" s="305"/>
      <c r="BF268" s="305"/>
      <c r="BG268" s="305"/>
      <c r="BH268" s="305"/>
      <c r="BI268" s="305"/>
      <c r="BJ268" s="305"/>
      <c r="BK268" s="305"/>
      <c r="BL268" s="305"/>
      <c r="BM268" s="305"/>
      <c r="BN268" s="305"/>
      <c r="BO268" s="305"/>
      <c r="BP268" s="305"/>
      <c r="BQ268" s="305"/>
      <c r="BR268" s="305"/>
      <c r="BS268" s="305"/>
      <c r="BT268" s="305"/>
      <c r="BU268" s="305"/>
      <c r="BV268" s="305"/>
      <c r="BW268" s="305"/>
      <c r="BX268" s="305"/>
      <c r="BY268" s="305"/>
      <c r="BZ268" s="305"/>
      <c r="CA268" s="305"/>
      <c r="CB268" s="305"/>
      <c r="CC268" s="305"/>
      <c r="CD268" s="305"/>
      <c r="CE268" s="305"/>
      <c r="CF268" s="305"/>
      <c r="CG268" s="305"/>
      <c r="CH268" s="305"/>
      <c r="CI268" s="305"/>
      <c r="CJ268" s="305"/>
      <c r="CK268" s="305"/>
      <c r="CL268" s="305"/>
      <c r="CM268" s="305"/>
      <c r="CN268" s="305"/>
      <c r="CO268" s="305"/>
      <c r="CP268" s="305"/>
      <c r="CQ268" s="305"/>
      <c r="CR268" s="305"/>
      <c r="CS268" s="305"/>
      <c r="CT268" s="305"/>
      <c r="CU268" s="305"/>
      <c r="CV268" s="305"/>
      <c r="CW268" s="305"/>
      <c r="CX268" s="305"/>
      <c r="CY268" s="305"/>
      <c r="CZ268" s="305"/>
      <c r="DA268" s="305"/>
      <c r="DB268" s="305"/>
      <c r="DC268" s="305"/>
      <c r="DD268" s="305"/>
      <c r="DE268" s="305"/>
      <c r="DF268" s="305"/>
      <c r="DG268" s="305"/>
      <c r="DH268" s="305"/>
      <c r="DI268" s="305"/>
      <c r="DJ268" s="305"/>
      <c r="DK268" s="305"/>
      <c r="DL268" s="305"/>
      <c r="DM268" s="305"/>
      <c r="DN268" s="305"/>
      <c r="DO268" s="305"/>
      <c r="DP268" s="305"/>
      <c r="DQ268" s="305"/>
      <c r="DR268" s="305"/>
      <c r="DS268" s="305"/>
      <c r="DT268" s="305"/>
      <c r="DU268" s="305"/>
      <c r="DV268" s="305"/>
      <c r="DW268" s="305"/>
      <c r="DX268" s="305"/>
      <c r="DY268" s="305"/>
      <c r="DZ268" s="305"/>
      <c r="EA268" s="305"/>
      <c r="EB268" s="305"/>
      <c r="EC268" s="305"/>
      <c r="ED268" s="305"/>
      <c r="EE268" s="305"/>
      <c r="EF268" s="305"/>
      <c r="EG268" s="305"/>
      <c r="EH268" s="305"/>
      <c r="EI268" s="305"/>
      <c r="EJ268" s="305"/>
      <c r="EK268" s="305"/>
      <c r="EL268" s="305"/>
      <c r="EM268" s="305"/>
      <c r="EN268" s="305"/>
      <c r="EO268" s="305"/>
      <c r="EP268" s="305"/>
      <c r="EQ268" s="305"/>
      <c r="ER268" s="305"/>
      <c r="ES268" s="305"/>
      <c r="ET268" s="305"/>
      <c r="EU268" s="305"/>
      <c r="EV268" s="305"/>
      <c r="EW268" s="305"/>
      <c r="EX268" s="305"/>
      <c r="EY268" s="305"/>
      <c r="EZ268" s="305"/>
      <c r="FA268" s="305"/>
      <c r="FB268" s="305"/>
      <c r="FC268" s="305"/>
      <c r="FD268" s="305"/>
      <c r="FE268" s="305"/>
      <c r="FF268" s="305"/>
      <c r="FG268" s="305"/>
      <c r="FH268" s="305"/>
      <c r="FI268" s="305"/>
      <c r="FJ268" s="305"/>
    </row>
    <row r="269" ht="12.75" customHeight="1" hidden="1" spans="36:166" x14ac:dyDescent="0.25">
      <c r="AJ269" s="5"/>
      <c r="AK269" s="5"/>
      <c r="AL269" s="5"/>
      <c r="AM269" s="5"/>
      <c r="AN269" s="5"/>
      <c r="AO269" s="5"/>
      <c r="AP269" s="5"/>
      <c r="AQ269" s="305"/>
      <c r="AR269" s="305"/>
      <c r="AS269" s="305"/>
      <c r="AT269" s="305"/>
      <c r="AU269" s="305"/>
      <c r="AV269" s="305"/>
      <c r="AW269" s="305"/>
      <c r="AX269" s="305"/>
      <c r="AY269" s="305"/>
      <c r="AZ269" s="305"/>
      <c r="BA269" s="305"/>
      <c r="BB269" s="305"/>
      <c r="BC269" s="305"/>
      <c r="BD269" s="305"/>
      <c r="BE269" s="305"/>
      <c r="BF269" s="305"/>
      <c r="BG269" s="305"/>
      <c r="BH269" s="305"/>
      <c r="BI269" s="305"/>
      <c r="BJ269" s="305"/>
      <c r="BK269" s="305"/>
      <c r="BL269" s="305"/>
      <c r="BM269" s="305"/>
      <c r="BN269" s="305"/>
      <c r="BO269" s="305"/>
      <c r="BP269" s="305"/>
      <c r="BQ269" s="305"/>
      <c r="BR269" s="305"/>
      <c r="BS269" s="305"/>
      <c r="BT269" s="305"/>
      <c r="BU269" s="305"/>
      <c r="BV269" s="305"/>
      <c r="BW269" s="305"/>
      <c r="BX269" s="305"/>
      <c r="BY269" s="305"/>
      <c r="BZ269" s="305"/>
      <c r="CA269" s="305"/>
      <c r="CB269" s="305"/>
      <c r="CC269" s="305"/>
      <c r="CD269" s="305"/>
      <c r="CE269" s="305"/>
      <c r="CF269" s="305"/>
      <c r="CG269" s="305"/>
      <c r="CH269" s="305"/>
      <c r="CI269" s="305"/>
      <c r="CJ269" s="305"/>
      <c r="CK269" s="305"/>
      <c r="CL269" s="305"/>
      <c r="CM269" s="305"/>
      <c r="CN269" s="305"/>
      <c r="CO269" s="305"/>
      <c r="CP269" s="305"/>
      <c r="CQ269" s="305"/>
      <c r="CR269" s="305"/>
      <c r="CS269" s="305"/>
      <c r="CT269" s="305"/>
      <c r="CU269" s="305"/>
      <c r="CV269" s="305"/>
      <c r="CW269" s="305"/>
      <c r="CX269" s="305"/>
      <c r="CY269" s="305"/>
      <c r="CZ269" s="305"/>
      <c r="DA269" s="305"/>
      <c r="DB269" s="305"/>
      <c r="DC269" s="305"/>
      <c r="DD269" s="305"/>
      <c r="DE269" s="305"/>
      <c r="DF269" s="305"/>
      <c r="DG269" s="305"/>
      <c r="DH269" s="305"/>
      <c r="DI269" s="305"/>
      <c r="DJ269" s="305"/>
      <c r="DK269" s="305"/>
      <c r="DL269" s="305"/>
      <c r="DM269" s="305"/>
      <c r="DN269" s="305"/>
      <c r="DO269" s="305"/>
      <c r="DP269" s="305"/>
      <c r="DQ269" s="305"/>
      <c r="DR269" s="305"/>
      <c r="DS269" s="305"/>
      <c r="DT269" s="305"/>
      <c r="DU269" s="305"/>
      <c r="DV269" s="305"/>
      <c r="DW269" s="305"/>
      <c r="DX269" s="305"/>
      <c r="DY269" s="305"/>
      <c r="DZ269" s="305"/>
      <c r="EA269" s="305"/>
      <c r="EB269" s="305"/>
      <c r="EC269" s="305"/>
      <c r="ED269" s="305"/>
      <c r="EE269" s="305"/>
      <c r="EF269" s="305"/>
      <c r="EG269" s="305"/>
      <c r="EH269" s="305"/>
      <c r="EI269" s="305"/>
      <c r="EJ269" s="305"/>
      <c r="EK269" s="305"/>
      <c r="EL269" s="305"/>
      <c r="EM269" s="305"/>
      <c r="EN269" s="305"/>
      <c r="EO269" s="305"/>
      <c r="EP269" s="305"/>
      <c r="EQ269" s="305"/>
      <c r="ER269" s="305"/>
      <c r="ES269" s="305"/>
      <c r="ET269" s="305"/>
      <c r="EU269" s="305"/>
      <c r="EV269" s="305"/>
      <c r="EW269" s="305"/>
      <c r="EX269" s="305"/>
      <c r="EY269" s="305"/>
      <c r="EZ269" s="305"/>
      <c r="FA269" s="305"/>
      <c r="FB269" s="305"/>
      <c r="FC269" s="305"/>
      <c r="FD269" s="305"/>
      <c r="FE269" s="305"/>
      <c r="FF269" s="305"/>
      <c r="FG269" s="305"/>
      <c r="FH269" s="305"/>
      <c r="FI269" s="305"/>
      <c r="FJ269" s="305"/>
    </row>
    <row r="270" ht="12.75" customHeight="1" hidden="1" spans="36:166" x14ac:dyDescent="0.25">
      <c r="AJ270" s="5"/>
      <c r="AK270" s="5"/>
      <c r="AL270" s="5"/>
      <c r="AM270" s="5"/>
      <c r="AN270" s="5"/>
      <c r="AO270" s="5"/>
      <c r="AP270" s="5"/>
      <c r="AQ270" s="305"/>
      <c r="AR270" s="305"/>
      <c r="AS270" s="305"/>
      <c r="AT270" s="305"/>
      <c r="AU270" s="305"/>
      <c r="AV270" s="305"/>
      <c r="AW270" s="305"/>
      <c r="AX270" s="305"/>
      <c r="AY270" s="305"/>
      <c r="AZ270" s="305"/>
      <c r="BA270" s="305"/>
      <c r="BB270" s="305"/>
      <c r="BC270" s="305"/>
      <c r="BD270" s="305"/>
      <c r="BE270" s="305"/>
      <c r="BF270" s="305"/>
      <c r="BG270" s="305"/>
      <c r="BH270" s="305"/>
      <c r="BI270" s="305"/>
      <c r="BJ270" s="305"/>
      <c r="BK270" s="305"/>
      <c r="BL270" s="305"/>
      <c r="BM270" s="305"/>
      <c r="BN270" s="305"/>
      <c r="BO270" s="305"/>
      <c r="BP270" s="305"/>
      <c r="BQ270" s="305"/>
      <c r="BR270" s="305"/>
      <c r="BS270" s="305"/>
      <c r="BT270" s="305"/>
      <c r="BU270" s="305"/>
      <c r="BV270" s="305"/>
      <c r="BW270" s="305"/>
      <c r="BX270" s="305"/>
      <c r="BY270" s="305"/>
      <c r="BZ270" s="305"/>
      <c r="CA270" s="305"/>
      <c r="CB270" s="305"/>
      <c r="CC270" s="305"/>
      <c r="CD270" s="305"/>
      <c r="CE270" s="305"/>
      <c r="CF270" s="305"/>
      <c r="CG270" s="305"/>
      <c r="CH270" s="305"/>
      <c r="CI270" s="305"/>
      <c r="CJ270" s="305"/>
      <c r="CK270" s="305"/>
      <c r="CL270" s="305"/>
      <c r="CM270" s="305"/>
      <c r="CN270" s="305"/>
      <c r="CO270" s="305"/>
      <c r="CP270" s="305"/>
      <c r="CQ270" s="305"/>
      <c r="CR270" s="305"/>
      <c r="CS270" s="305"/>
      <c r="CT270" s="305"/>
      <c r="CU270" s="305"/>
      <c r="CV270" s="305"/>
      <c r="CW270" s="305"/>
      <c r="CX270" s="305"/>
      <c r="CY270" s="305"/>
      <c r="CZ270" s="305"/>
      <c r="DA270" s="305"/>
      <c r="DB270" s="305"/>
      <c r="DC270" s="305"/>
      <c r="DD270" s="305"/>
      <c r="DE270" s="305"/>
      <c r="DF270" s="305"/>
      <c r="DG270" s="305"/>
      <c r="DH270" s="305"/>
      <c r="DI270" s="305"/>
      <c r="DJ270" s="305"/>
      <c r="DK270" s="305"/>
      <c r="DL270" s="305"/>
      <c r="DM270" s="305"/>
      <c r="DN270" s="305"/>
      <c r="DO270" s="305"/>
      <c r="DP270" s="305"/>
      <c r="DQ270" s="305"/>
      <c r="DR270" s="305"/>
      <c r="DS270" s="305"/>
      <c r="DT270" s="305"/>
      <c r="DU270" s="305"/>
      <c r="DV270" s="305"/>
      <c r="DW270" s="305"/>
      <c r="DX270" s="305"/>
      <c r="DY270" s="305"/>
      <c r="DZ270" s="305"/>
      <c r="EA270" s="305"/>
      <c r="EB270" s="305"/>
      <c r="EC270" s="305"/>
      <c r="ED270" s="305"/>
      <c r="EE270" s="305"/>
      <c r="EF270" s="305"/>
      <c r="EG270" s="305"/>
      <c r="EH270" s="305"/>
      <c r="EI270" s="305"/>
      <c r="EJ270" s="305"/>
      <c r="EK270" s="305"/>
      <c r="EL270" s="305"/>
      <c r="EM270" s="305"/>
      <c r="EN270" s="305"/>
      <c r="EO270" s="305"/>
      <c r="EP270" s="305"/>
      <c r="EQ270" s="305"/>
      <c r="ER270" s="305"/>
      <c r="ES270" s="305"/>
      <c r="ET270" s="305"/>
      <c r="EU270" s="305"/>
      <c r="EV270" s="305"/>
      <c r="EW270" s="305"/>
      <c r="EX270" s="305"/>
      <c r="EY270" s="305"/>
      <c r="EZ270" s="305"/>
      <c r="FA270" s="305"/>
      <c r="FB270" s="305"/>
      <c r="FC270" s="305"/>
      <c r="FD270" s="305"/>
      <c r="FE270" s="305"/>
      <c r="FF270" s="305"/>
      <c r="FG270" s="305"/>
      <c r="FH270" s="305"/>
      <c r="FI270" s="305"/>
      <c r="FJ270" s="305"/>
    </row>
    <row r="271" ht="12.75" customHeight="1" hidden="1" spans="36:166" x14ac:dyDescent="0.25">
      <c r="AJ271" s="5"/>
      <c r="AK271" s="5"/>
      <c r="AL271" s="5"/>
      <c r="AM271" s="5"/>
      <c r="AN271" s="5"/>
      <c r="AO271" s="5"/>
      <c r="AP271" s="5"/>
      <c r="AQ271" s="305"/>
      <c r="AR271" s="305"/>
      <c r="AS271" s="305"/>
      <c r="AT271" s="305"/>
      <c r="AU271" s="305"/>
      <c r="AV271" s="305"/>
      <c r="AW271" s="305"/>
      <c r="AX271" s="305"/>
      <c r="AY271" s="305"/>
      <c r="AZ271" s="305"/>
      <c r="BA271" s="305"/>
      <c r="BB271" s="305"/>
      <c r="BC271" s="305"/>
      <c r="BD271" s="305"/>
      <c r="BE271" s="305"/>
      <c r="BF271" s="305"/>
      <c r="BG271" s="305"/>
      <c r="BH271" s="305"/>
      <c r="BI271" s="305"/>
      <c r="BJ271" s="305"/>
      <c r="BK271" s="305"/>
      <c r="BL271" s="305"/>
      <c r="BM271" s="305"/>
      <c r="BN271" s="305"/>
      <c r="BO271" s="305"/>
      <c r="BP271" s="305"/>
      <c r="BQ271" s="305"/>
      <c r="BR271" s="305"/>
      <c r="BS271" s="305"/>
      <c r="BT271" s="305"/>
      <c r="BU271" s="305"/>
      <c r="BV271" s="305"/>
      <c r="BW271" s="305"/>
      <c r="BX271" s="305"/>
      <c r="BY271" s="305"/>
      <c r="BZ271" s="305"/>
      <c r="CA271" s="305"/>
      <c r="CB271" s="305"/>
      <c r="CC271" s="305"/>
      <c r="CD271" s="305"/>
      <c r="CE271" s="305"/>
      <c r="CF271" s="305"/>
      <c r="CG271" s="305"/>
      <c r="CH271" s="305"/>
      <c r="CI271" s="305"/>
      <c r="CJ271" s="305"/>
      <c r="CK271" s="305"/>
      <c r="CL271" s="305"/>
      <c r="CM271" s="305"/>
      <c r="CN271" s="305"/>
      <c r="CO271" s="305"/>
      <c r="CP271" s="305"/>
      <c r="CQ271" s="305"/>
      <c r="CR271" s="305"/>
      <c r="CS271" s="305"/>
      <c r="CT271" s="305"/>
      <c r="CU271" s="305"/>
      <c r="CV271" s="305"/>
      <c r="CW271" s="305"/>
      <c r="CX271" s="305"/>
      <c r="CY271" s="305"/>
      <c r="CZ271" s="305"/>
      <c r="DA271" s="305"/>
      <c r="DB271" s="305"/>
      <c r="DC271" s="305"/>
      <c r="DD271" s="305"/>
      <c r="DE271" s="305"/>
      <c r="DF271" s="305"/>
      <c r="DG271" s="305"/>
      <c r="DH271" s="305"/>
      <c r="DI271" s="305"/>
      <c r="DJ271" s="305"/>
      <c r="DK271" s="305"/>
      <c r="DL271" s="305"/>
      <c r="DM271" s="305"/>
      <c r="DN271" s="305"/>
      <c r="DO271" s="305"/>
      <c r="DP271" s="305"/>
      <c r="DQ271" s="305"/>
      <c r="DR271" s="305"/>
      <c r="DS271" s="305"/>
      <c r="DT271" s="305"/>
      <c r="DU271" s="305"/>
      <c r="DV271" s="305"/>
      <c r="DW271" s="305"/>
      <c r="DX271" s="305"/>
      <c r="DY271" s="305"/>
      <c r="DZ271" s="305"/>
      <c r="EA271" s="305"/>
      <c r="EB271" s="305"/>
      <c r="EC271" s="305"/>
      <c r="ED271" s="305"/>
      <c r="EE271" s="305"/>
      <c r="EF271" s="305"/>
      <c r="EG271" s="305"/>
      <c r="EH271" s="305"/>
      <c r="EI271" s="305"/>
      <c r="EJ271" s="305"/>
      <c r="EK271" s="305"/>
      <c r="EL271" s="305"/>
      <c r="EM271" s="305"/>
      <c r="EN271" s="305"/>
      <c r="EO271" s="305"/>
      <c r="EP271" s="305"/>
      <c r="EQ271" s="305"/>
      <c r="ER271" s="305"/>
      <c r="ES271" s="305"/>
      <c r="ET271" s="305"/>
      <c r="EU271" s="305"/>
      <c r="EV271" s="305"/>
      <c r="EW271" s="305"/>
      <c r="EX271" s="305"/>
      <c r="EY271" s="305"/>
      <c r="EZ271" s="305"/>
      <c r="FA271" s="305"/>
      <c r="FB271" s="305"/>
      <c r="FC271" s="305"/>
      <c r="FD271" s="305"/>
      <c r="FE271" s="305"/>
      <c r="FF271" s="305"/>
      <c r="FG271" s="305"/>
      <c r="FH271" s="305"/>
      <c r="FI271" s="305"/>
      <c r="FJ271" s="305"/>
    </row>
    <row r="272" ht="12.75" customHeight="1" hidden="1" spans="36:166" x14ac:dyDescent="0.25">
      <c r="AJ272" s="5"/>
      <c r="AK272" s="5"/>
      <c r="AL272" s="5"/>
      <c r="AM272" s="5"/>
      <c r="AN272" s="5"/>
      <c r="AO272" s="5"/>
      <c r="AP272" s="5"/>
      <c r="AQ272" s="305"/>
      <c r="AR272" s="305"/>
      <c r="AS272" s="305"/>
      <c r="AT272" s="305"/>
      <c r="AU272" s="305"/>
      <c r="AV272" s="305"/>
      <c r="AW272" s="305"/>
      <c r="AX272" s="305"/>
      <c r="AY272" s="305"/>
      <c r="AZ272" s="305"/>
      <c r="BA272" s="305"/>
      <c r="BB272" s="305"/>
      <c r="BC272" s="305"/>
      <c r="BD272" s="305"/>
      <c r="BE272" s="305"/>
      <c r="BF272" s="305"/>
      <c r="BG272" s="305"/>
      <c r="BH272" s="305"/>
      <c r="BI272" s="305"/>
      <c r="BJ272" s="305"/>
      <c r="BK272" s="305"/>
      <c r="BL272" s="305"/>
      <c r="BM272" s="305"/>
      <c r="BN272" s="305"/>
      <c r="BO272" s="305"/>
      <c r="BP272" s="305"/>
      <c r="BQ272" s="305"/>
      <c r="BR272" s="305"/>
      <c r="BS272" s="305"/>
      <c r="BT272" s="305"/>
      <c r="BU272" s="305"/>
      <c r="BV272" s="305"/>
      <c r="BW272" s="305"/>
      <c r="BX272" s="305"/>
      <c r="BY272" s="305"/>
      <c r="BZ272" s="305"/>
      <c r="CA272" s="305"/>
      <c r="CB272" s="305"/>
      <c r="CC272" s="305"/>
      <c r="CD272" s="305"/>
      <c r="CE272" s="305"/>
      <c r="CF272" s="305"/>
      <c r="CG272" s="305"/>
      <c r="CH272" s="305"/>
      <c r="CI272" s="305"/>
      <c r="CJ272" s="305"/>
      <c r="CK272" s="305"/>
      <c r="CL272" s="305"/>
      <c r="CM272" s="305"/>
      <c r="CN272" s="305"/>
      <c r="CO272" s="305"/>
      <c r="CP272" s="305"/>
      <c r="CQ272" s="305"/>
      <c r="CR272" s="305"/>
      <c r="CS272" s="305"/>
      <c r="CT272" s="305"/>
      <c r="CU272" s="305"/>
      <c r="CV272" s="305"/>
      <c r="CW272" s="305"/>
      <c r="CX272" s="305"/>
      <c r="CY272" s="305"/>
      <c r="CZ272" s="305"/>
      <c r="DA272" s="305"/>
      <c r="DB272" s="305"/>
      <c r="DC272" s="305"/>
      <c r="DD272" s="305"/>
      <c r="DE272" s="305"/>
      <c r="DF272" s="305"/>
      <c r="DG272" s="305"/>
      <c r="DH272" s="305"/>
      <c r="DI272" s="305"/>
      <c r="DJ272" s="305"/>
      <c r="DK272" s="305"/>
      <c r="DL272" s="305"/>
      <c r="DM272" s="305"/>
      <c r="DN272" s="305"/>
      <c r="DO272" s="305"/>
      <c r="DP272" s="305"/>
      <c r="DQ272" s="305"/>
      <c r="DR272" s="305"/>
      <c r="DS272" s="305"/>
      <c r="DT272" s="305"/>
      <c r="DU272" s="305"/>
      <c r="DV272" s="305"/>
      <c r="DW272" s="305"/>
      <c r="DX272" s="305"/>
      <c r="DY272" s="305"/>
      <c r="DZ272" s="305"/>
      <c r="EA272" s="305"/>
      <c r="EB272" s="305"/>
      <c r="EC272" s="305"/>
      <c r="ED272" s="305"/>
      <c r="EE272" s="305"/>
      <c r="EF272" s="305"/>
      <c r="EG272" s="305"/>
      <c r="EH272" s="305"/>
      <c r="EI272" s="305"/>
      <c r="EJ272" s="305"/>
      <c r="EK272" s="305"/>
      <c r="EL272" s="305"/>
      <c r="EM272" s="305"/>
      <c r="EN272" s="305"/>
      <c r="EO272" s="305"/>
      <c r="EP272" s="305"/>
      <c r="EQ272" s="305"/>
      <c r="ER272" s="305"/>
      <c r="ES272" s="305"/>
      <c r="ET272" s="305"/>
      <c r="EU272" s="305"/>
      <c r="EV272" s="305"/>
      <c r="EW272" s="305"/>
      <c r="EX272" s="305"/>
      <c r="EY272" s="305"/>
      <c r="EZ272" s="305"/>
      <c r="FA272" s="305"/>
      <c r="FB272" s="305"/>
      <c r="FC272" s="305"/>
      <c r="FD272" s="305"/>
      <c r="FE272" s="305"/>
      <c r="FF272" s="305"/>
      <c r="FG272" s="305"/>
      <c r="FH272" s="305"/>
      <c r="FI272" s="305"/>
      <c r="FJ272" s="305"/>
    </row>
    <row r="273" ht="12.75" customHeight="1" hidden="1" spans="36:166" x14ac:dyDescent="0.25">
      <c r="AJ273" s="5"/>
      <c r="AK273" s="5"/>
      <c r="AL273" s="5"/>
      <c r="AM273" s="5"/>
      <c r="AN273" s="5"/>
      <c r="AO273" s="5"/>
      <c r="AP273" s="5"/>
      <c r="AQ273" s="305"/>
      <c r="AR273" s="305"/>
      <c r="AS273" s="305"/>
      <c r="AT273" s="305"/>
      <c r="AU273" s="305"/>
      <c r="AV273" s="305"/>
      <c r="AW273" s="305"/>
      <c r="AX273" s="305"/>
      <c r="AY273" s="305"/>
      <c r="AZ273" s="305"/>
      <c r="BA273" s="305"/>
      <c r="BB273" s="305"/>
      <c r="BC273" s="305"/>
      <c r="BD273" s="305"/>
      <c r="BE273" s="305"/>
      <c r="BF273" s="305"/>
      <c r="BG273" s="305"/>
      <c r="BH273" s="305"/>
      <c r="BI273" s="305"/>
      <c r="BJ273" s="305"/>
      <c r="BK273" s="305"/>
      <c r="BL273" s="305"/>
      <c r="BM273" s="305"/>
      <c r="BN273" s="305"/>
      <c r="BO273" s="305"/>
      <c r="BP273" s="305"/>
      <c r="BQ273" s="305"/>
      <c r="BR273" s="305"/>
      <c r="BS273" s="305"/>
      <c r="BT273" s="305"/>
      <c r="BU273" s="305"/>
      <c r="BV273" s="305"/>
      <c r="BW273" s="305"/>
      <c r="BX273" s="305"/>
      <c r="BY273" s="305"/>
      <c r="BZ273" s="305"/>
      <c r="CA273" s="305"/>
      <c r="CB273" s="305"/>
      <c r="CC273" s="305"/>
      <c r="CD273" s="305"/>
      <c r="CE273" s="305"/>
      <c r="CF273" s="305"/>
      <c r="CG273" s="305"/>
      <c r="CH273" s="305"/>
      <c r="CI273" s="305"/>
      <c r="CJ273" s="305"/>
      <c r="CK273" s="305"/>
      <c r="CL273" s="305"/>
      <c r="CM273" s="305"/>
      <c r="CN273" s="305"/>
      <c r="CO273" s="305"/>
      <c r="CP273" s="305"/>
      <c r="CQ273" s="305"/>
      <c r="CR273" s="305"/>
      <c r="CS273" s="305"/>
      <c r="CT273" s="305"/>
      <c r="CU273" s="305"/>
      <c r="CV273" s="305"/>
      <c r="CW273" s="305"/>
      <c r="CX273" s="305"/>
      <c r="CY273" s="305"/>
      <c r="CZ273" s="305"/>
      <c r="DA273" s="305"/>
      <c r="DB273" s="305"/>
      <c r="DC273" s="305"/>
      <c r="DD273" s="305"/>
      <c r="DE273" s="305"/>
      <c r="DF273" s="305"/>
      <c r="DG273" s="305"/>
      <c r="DH273" s="305"/>
      <c r="DI273" s="305"/>
      <c r="DJ273" s="305"/>
      <c r="DK273" s="305"/>
      <c r="DL273" s="305"/>
      <c r="DM273" s="305"/>
      <c r="DN273" s="305"/>
      <c r="DO273" s="305"/>
      <c r="DP273" s="305"/>
      <c r="DQ273" s="305"/>
      <c r="DR273" s="305"/>
      <c r="DS273" s="305"/>
      <c r="DT273" s="305"/>
      <c r="DU273" s="305"/>
      <c r="DV273" s="305"/>
      <c r="DW273" s="305"/>
      <c r="DX273" s="305"/>
      <c r="DY273" s="305"/>
      <c r="DZ273" s="305"/>
      <c r="EA273" s="305"/>
      <c r="EB273" s="305"/>
      <c r="EC273" s="305"/>
      <c r="ED273" s="305"/>
      <c r="EE273" s="305"/>
      <c r="EF273" s="305"/>
      <c r="EG273" s="305"/>
      <c r="EH273" s="305"/>
      <c r="EI273" s="305"/>
      <c r="EJ273" s="305"/>
      <c r="EK273" s="305"/>
      <c r="EL273" s="305"/>
      <c r="EM273" s="305"/>
      <c r="EN273" s="305"/>
      <c r="EO273" s="305"/>
      <c r="EP273" s="305"/>
      <c r="EQ273" s="305"/>
      <c r="ER273" s="305"/>
      <c r="ES273" s="305"/>
      <c r="ET273" s="305"/>
      <c r="EU273" s="305"/>
      <c r="EV273" s="305"/>
      <c r="EW273" s="305"/>
      <c r="EX273" s="305"/>
      <c r="EY273" s="305"/>
      <c r="EZ273" s="305"/>
      <c r="FA273" s="305"/>
      <c r="FB273" s="305"/>
      <c r="FC273" s="305"/>
      <c r="FD273" s="305"/>
      <c r="FE273" s="305"/>
      <c r="FF273" s="305"/>
      <c r="FG273" s="305"/>
      <c r="FH273" s="305"/>
      <c r="FI273" s="305"/>
      <c r="FJ273" s="305"/>
    </row>
    <row r="274" ht="12.75" customHeight="1" hidden="1" spans="36:166" x14ac:dyDescent="0.25">
      <c r="AJ274" s="5"/>
      <c r="AK274" s="5"/>
      <c r="AL274" s="5"/>
      <c r="AM274" s="5"/>
      <c r="AN274" s="5"/>
      <c r="AO274" s="5"/>
      <c r="AP274" s="5"/>
      <c r="AQ274" s="305"/>
      <c r="AR274" s="305"/>
      <c r="AS274" s="305"/>
      <c r="AT274" s="305"/>
      <c r="AU274" s="305"/>
      <c r="AV274" s="305"/>
      <c r="AW274" s="305"/>
      <c r="AX274" s="305"/>
      <c r="AY274" s="305"/>
      <c r="AZ274" s="305"/>
      <c r="BA274" s="305"/>
      <c r="BB274" s="305"/>
      <c r="BC274" s="305"/>
      <c r="BD274" s="305"/>
      <c r="BE274" s="305"/>
      <c r="BF274" s="305"/>
      <c r="BG274" s="305"/>
      <c r="BH274" s="305"/>
      <c r="BI274" s="305"/>
      <c r="BJ274" s="305"/>
      <c r="BK274" s="305"/>
      <c r="BL274" s="305"/>
      <c r="BM274" s="305"/>
      <c r="BN274" s="305"/>
      <c r="BO274" s="305"/>
      <c r="BP274" s="305"/>
      <c r="BQ274" s="305"/>
      <c r="BR274" s="305"/>
      <c r="BS274" s="305"/>
      <c r="BT274" s="305"/>
      <c r="BU274" s="305"/>
      <c r="BV274" s="305"/>
      <c r="BW274" s="305"/>
      <c r="BX274" s="305"/>
      <c r="BY274" s="305"/>
      <c r="BZ274" s="305"/>
      <c r="CA274" s="305"/>
      <c r="CB274" s="305"/>
      <c r="CC274" s="305"/>
      <c r="CD274" s="305"/>
      <c r="CE274" s="305"/>
      <c r="CF274" s="305"/>
      <c r="CG274" s="305"/>
      <c r="CH274" s="305"/>
      <c r="CI274" s="305"/>
      <c r="CJ274" s="305"/>
      <c r="CK274" s="305"/>
      <c r="CL274" s="305"/>
      <c r="CM274" s="305"/>
      <c r="CN274" s="305"/>
      <c r="CO274" s="305"/>
      <c r="CP274" s="305"/>
      <c r="CQ274" s="305"/>
      <c r="CR274" s="305"/>
      <c r="CS274" s="305"/>
      <c r="CT274" s="305"/>
      <c r="CU274" s="305"/>
      <c r="CV274" s="305"/>
      <c r="CW274" s="305"/>
      <c r="CX274" s="305"/>
      <c r="CY274" s="305"/>
      <c r="CZ274" s="305"/>
      <c r="DA274" s="305"/>
      <c r="DB274" s="305"/>
      <c r="DC274" s="305"/>
      <c r="DD274" s="305"/>
      <c r="DE274" s="305"/>
      <c r="DF274" s="305"/>
      <c r="DG274" s="305"/>
      <c r="DH274" s="305"/>
      <c r="DI274" s="305"/>
      <c r="DJ274" s="305"/>
      <c r="DK274" s="305"/>
      <c r="DL274" s="305"/>
      <c r="DM274" s="305"/>
      <c r="DN274" s="305"/>
      <c r="DO274" s="305"/>
      <c r="DP274" s="305"/>
      <c r="DQ274" s="305"/>
      <c r="DR274" s="305"/>
      <c r="DS274" s="305"/>
      <c r="DT274" s="305"/>
      <c r="DU274" s="305"/>
      <c r="DV274" s="305"/>
      <c r="DW274" s="305"/>
      <c r="DX274" s="305"/>
      <c r="DY274" s="305"/>
      <c r="DZ274" s="305"/>
      <c r="EA274" s="305"/>
      <c r="EB274" s="305"/>
      <c r="EC274" s="305"/>
      <c r="ED274" s="305"/>
      <c r="EE274" s="305"/>
      <c r="EF274" s="305"/>
      <c r="EG274" s="305"/>
      <c r="EH274" s="305"/>
      <c r="EI274" s="305"/>
      <c r="EJ274" s="305"/>
      <c r="EK274" s="305"/>
      <c r="EL274" s="305"/>
      <c r="EM274" s="305"/>
      <c r="EN274" s="305"/>
      <c r="EO274" s="305"/>
      <c r="EP274" s="305"/>
      <c r="EQ274" s="305"/>
      <c r="ER274" s="305"/>
      <c r="ES274" s="305"/>
      <c r="ET274" s="305"/>
      <c r="EU274" s="305"/>
      <c r="EV274" s="305"/>
      <c r="EW274" s="305"/>
      <c r="EX274" s="305"/>
      <c r="EY274" s="305"/>
      <c r="EZ274" s="305"/>
      <c r="FA274" s="305"/>
      <c r="FB274" s="305"/>
      <c r="FC274" s="305"/>
      <c r="FD274" s="305"/>
      <c r="FE274" s="305"/>
      <c r="FF274" s="305"/>
      <c r="FG274" s="305"/>
      <c r="FH274" s="305"/>
      <c r="FI274" s="305"/>
      <c r="FJ274" s="305"/>
    </row>
    <row r="275" ht="12.75" customHeight="1" hidden="1" spans="36:166" x14ac:dyDescent="0.25">
      <c r="AJ275" s="5"/>
      <c r="AK275" s="5"/>
      <c r="AL275" s="5"/>
      <c r="AM275" s="5"/>
      <c r="AN275" s="5"/>
      <c r="AO275" s="5"/>
      <c r="AP275" s="5"/>
      <c r="AQ275" s="305"/>
      <c r="AR275" s="305"/>
      <c r="AS275" s="305"/>
      <c r="AT275" s="305"/>
      <c r="AU275" s="305"/>
      <c r="AV275" s="305"/>
      <c r="AW275" s="305"/>
      <c r="AX275" s="305"/>
      <c r="AY275" s="305"/>
      <c r="AZ275" s="305"/>
      <c r="BA275" s="305"/>
      <c r="BB275" s="305"/>
      <c r="BC275" s="305"/>
      <c r="BD275" s="305"/>
      <c r="BE275" s="305"/>
      <c r="BF275" s="305"/>
      <c r="BG275" s="305"/>
      <c r="BH275" s="305"/>
      <c r="BI275" s="305"/>
      <c r="BJ275" s="305"/>
      <c r="BK275" s="305"/>
      <c r="BL275" s="305"/>
      <c r="BM275" s="305"/>
      <c r="BN275" s="305"/>
      <c r="BO275" s="305"/>
      <c r="BP275" s="305"/>
      <c r="BQ275" s="305"/>
      <c r="BR275" s="305"/>
      <c r="BS275" s="305"/>
      <c r="BT275" s="305"/>
      <c r="BU275" s="305"/>
      <c r="BV275" s="305"/>
      <c r="BW275" s="305"/>
      <c r="BX275" s="305"/>
      <c r="BY275" s="305"/>
      <c r="BZ275" s="305"/>
      <c r="CA275" s="305"/>
      <c r="CB275" s="305"/>
      <c r="CC275" s="305"/>
      <c r="CD275" s="305"/>
      <c r="CE275" s="305"/>
      <c r="CF275" s="305"/>
      <c r="CG275" s="305"/>
      <c r="CH275" s="305"/>
      <c r="CI275" s="305"/>
      <c r="CJ275" s="305"/>
      <c r="CK275" s="305"/>
      <c r="CL275" s="305"/>
      <c r="CM275" s="305"/>
      <c r="CN275" s="305"/>
      <c r="CO275" s="305"/>
      <c r="CP275" s="305"/>
      <c r="CQ275" s="305"/>
      <c r="CR275" s="305"/>
      <c r="CS275" s="305"/>
      <c r="CT275" s="305"/>
      <c r="CU275" s="305"/>
      <c r="CV275" s="305"/>
      <c r="CW275" s="305"/>
      <c r="CX275" s="305"/>
      <c r="CY275" s="305"/>
      <c r="CZ275" s="305"/>
      <c r="DA275" s="305"/>
      <c r="DB275" s="305"/>
      <c r="DC275" s="305"/>
      <c r="DD275" s="305"/>
      <c r="DE275" s="305"/>
      <c r="DF275" s="305"/>
      <c r="DG275" s="305"/>
      <c r="DH275" s="305"/>
      <c r="DI275" s="305"/>
      <c r="DJ275" s="305"/>
      <c r="DK275" s="305"/>
      <c r="DL275" s="305"/>
      <c r="DM275" s="305"/>
      <c r="DN275" s="305"/>
      <c r="DO275" s="305"/>
      <c r="DP275" s="305"/>
      <c r="DQ275" s="305"/>
      <c r="DR275" s="305"/>
      <c r="DS275" s="305"/>
      <c r="DT275" s="305"/>
      <c r="DU275" s="305"/>
      <c r="DV275" s="305"/>
      <c r="DW275" s="305"/>
      <c r="DX275" s="305"/>
      <c r="DY275" s="305"/>
      <c r="DZ275" s="305"/>
      <c r="EA275" s="305"/>
      <c r="EB275" s="305"/>
      <c r="EC275" s="305"/>
      <c r="ED275" s="305"/>
      <c r="EE275" s="305"/>
      <c r="EF275" s="305"/>
      <c r="EG275" s="305"/>
      <c r="EH275" s="305"/>
      <c r="EI275" s="305"/>
      <c r="EJ275" s="305"/>
      <c r="EK275" s="305"/>
      <c r="EL275" s="305"/>
      <c r="EM275" s="305"/>
      <c r="EN275" s="305"/>
      <c r="EO275" s="305"/>
      <c r="EP275" s="305"/>
      <c r="EQ275" s="305"/>
      <c r="ER275" s="305"/>
      <c r="ES275" s="305"/>
      <c r="ET275" s="305"/>
      <c r="EU275" s="305"/>
      <c r="EV275" s="305"/>
      <c r="EW275" s="305"/>
      <c r="EX275" s="305"/>
      <c r="EY275" s="305"/>
      <c r="EZ275" s="305"/>
      <c r="FA275" s="305"/>
      <c r="FB275" s="305"/>
      <c r="FC275" s="305"/>
      <c r="FD275" s="305"/>
      <c r="FE275" s="305"/>
      <c r="FF275" s="305"/>
      <c r="FG275" s="305"/>
      <c r="FH275" s="305"/>
      <c r="FI275" s="305"/>
      <c r="FJ275" s="305"/>
    </row>
    <row r="276" ht="12.75" customHeight="1" hidden="1" spans="36:166" x14ac:dyDescent="0.25">
      <c r="AJ276" s="5"/>
      <c r="AK276" s="5"/>
      <c r="AL276" s="5"/>
      <c r="AM276" s="5"/>
      <c r="AN276" s="5"/>
      <c r="AO276" s="5"/>
      <c r="AP276" s="5"/>
      <c r="AQ276" s="305"/>
      <c r="AR276" s="305"/>
      <c r="AS276" s="305"/>
      <c r="AT276" s="305"/>
      <c r="AU276" s="305"/>
      <c r="AV276" s="305"/>
      <c r="AW276" s="305"/>
      <c r="AX276" s="305"/>
      <c r="AY276" s="305"/>
      <c r="AZ276" s="305"/>
      <c r="BA276" s="305"/>
      <c r="BB276" s="305"/>
      <c r="BC276" s="305"/>
      <c r="BD276" s="305"/>
      <c r="BE276" s="305"/>
      <c r="BF276" s="305"/>
      <c r="BG276" s="305"/>
      <c r="BH276" s="305"/>
      <c r="BI276" s="305"/>
      <c r="BJ276" s="305"/>
      <c r="BK276" s="305"/>
      <c r="BL276" s="305"/>
      <c r="BM276" s="305"/>
      <c r="BN276" s="305"/>
      <c r="BO276" s="305"/>
      <c r="BP276" s="305"/>
      <c r="BQ276" s="305"/>
      <c r="BR276" s="305"/>
      <c r="BS276" s="305"/>
      <c r="BT276" s="305"/>
      <c r="BU276" s="305"/>
      <c r="BV276" s="305"/>
      <c r="BW276" s="305"/>
      <c r="BX276" s="305"/>
      <c r="BY276" s="305"/>
      <c r="BZ276" s="305"/>
      <c r="CA276" s="305"/>
      <c r="CB276" s="305"/>
      <c r="CC276" s="305"/>
      <c r="CD276" s="305"/>
      <c r="CE276" s="305"/>
      <c r="CF276" s="305"/>
      <c r="CG276" s="305"/>
      <c r="CH276" s="305"/>
      <c r="CI276" s="305"/>
      <c r="CJ276" s="305"/>
      <c r="CK276" s="305"/>
      <c r="CL276" s="305"/>
      <c r="CM276" s="305"/>
      <c r="CN276" s="305"/>
      <c r="CO276" s="305"/>
      <c r="CP276" s="305"/>
      <c r="CQ276" s="305"/>
      <c r="CR276" s="305"/>
      <c r="CS276" s="305"/>
      <c r="CT276" s="305"/>
      <c r="CU276" s="305"/>
      <c r="CV276" s="305"/>
      <c r="CW276" s="305"/>
      <c r="CX276" s="305"/>
      <c r="CY276" s="305"/>
      <c r="CZ276" s="305"/>
      <c r="DA276" s="305"/>
      <c r="DB276" s="305"/>
      <c r="DC276" s="305"/>
      <c r="DD276" s="305"/>
      <c r="DE276" s="305"/>
      <c r="DF276" s="305"/>
      <c r="DG276" s="305"/>
      <c r="DH276" s="305"/>
      <c r="DI276" s="305"/>
      <c r="DJ276" s="305"/>
      <c r="DK276" s="305"/>
      <c r="DL276" s="305"/>
      <c r="DM276" s="305"/>
      <c r="DN276" s="305"/>
      <c r="DO276" s="305"/>
      <c r="DP276" s="305"/>
      <c r="DQ276" s="305"/>
      <c r="DR276" s="305"/>
      <c r="DS276" s="305"/>
      <c r="DT276" s="305"/>
      <c r="DU276" s="305"/>
      <c r="DV276" s="305"/>
      <c r="DW276" s="305"/>
      <c r="DX276" s="305"/>
      <c r="DY276" s="305"/>
      <c r="DZ276" s="305"/>
      <c r="EA276" s="305"/>
      <c r="EB276" s="305"/>
      <c r="EC276" s="305"/>
      <c r="ED276" s="305"/>
      <c r="EE276" s="305"/>
      <c r="EF276" s="305"/>
      <c r="EG276" s="305"/>
      <c r="EH276" s="305"/>
      <c r="EI276" s="305"/>
      <c r="EJ276" s="305"/>
      <c r="EK276" s="305"/>
      <c r="EL276" s="305"/>
      <c r="EM276" s="305"/>
      <c r="EN276" s="305"/>
      <c r="EO276" s="305"/>
      <c r="EP276" s="305"/>
      <c r="EQ276" s="305"/>
      <c r="ER276" s="305"/>
      <c r="ES276" s="305"/>
      <c r="ET276" s="305"/>
      <c r="EU276" s="305"/>
      <c r="EV276" s="305"/>
      <c r="EW276" s="305"/>
      <c r="EX276" s="305"/>
      <c r="EY276" s="305"/>
      <c r="EZ276" s="305"/>
      <c r="FA276" s="305"/>
      <c r="FB276" s="305"/>
      <c r="FC276" s="305"/>
      <c r="FD276" s="305"/>
      <c r="FE276" s="305"/>
      <c r="FF276" s="305"/>
      <c r="FG276" s="305"/>
      <c r="FH276" s="305"/>
      <c r="FI276" s="305"/>
      <c r="FJ276" s="305"/>
    </row>
    <row r="277" ht="12.75" customHeight="1" hidden="1" spans="36:166" x14ac:dyDescent="0.25">
      <c r="AJ277" s="5"/>
      <c r="AK277" s="5"/>
      <c r="AL277" s="5"/>
      <c r="AM277" s="5"/>
      <c r="AN277" s="5"/>
      <c r="AO277" s="5"/>
      <c r="AP277" s="5"/>
      <c r="AQ277" s="305"/>
      <c r="AR277" s="305"/>
      <c r="AS277" s="305"/>
      <c r="AT277" s="305"/>
      <c r="AU277" s="305"/>
      <c r="AV277" s="305"/>
      <c r="AW277" s="305"/>
      <c r="AX277" s="305"/>
      <c r="AY277" s="305"/>
      <c r="AZ277" s="305"/>
      <c r="BA277" s="305"/>
      <c r="BB277" s="305"/>
      <c r="BC277" s="305"/>
      <c r="BD277" s="305"/>
      <c r="BE277" s="305"/>
      <c r="BF277" s="305"/>
      <c r="BG277" s="305"/>
      <c r="BH277" s="305"/>
      <c r="BI277" s="305"/>
      <c r="BJ277" s="305"/>
      <c r="BK277" s="305"/>
      <c r="BL277" s="305"/>
      <c r="BM277" s="305"/>
      <c r="BN277" s="305"/>
      <c r="BO277" s="305"/>
      <c r="BP277" s="305"/>
      <c r="BQ277" s="305"/>
      <c r="BR277" s="305"/>
      <c r="BS277" s="305"/>
      <c r="BT277" s="305"/>
      <c r="BU277" s="305"/>
      <c r="BV277" s="305"/>
      <c r="BW277" s="305"/>
      <c r="BX277" s="305"/>
      <c r="BY277" s="305"/>
      <c r="BZ277" s="305"/>
      <c r="CA277" s="305"/>
      <c r="CB277" s="305"/>
      <c r="CC277" s="305"/>
      <c r="CD277" s="305"/>
      <c r="CE277" s="305"/>
      <c r="CF277" s="305"/>
      <c r="CG277" s="305"/>
      <c r="CH277" s="305"/>
      <c r="CI277" s="305"/>
      <c r="CJ277" s="305"/>
      <c r="CK277" s="305"/>
      <c r="CL277" s="305"/>
      <c r="CM277" s="305"/>
      <c r="CN277" s="305"/>
      <c r="CO277" s="305"/>
      <c r="CP277" s="305"/>
      <c r="CQ277" s="305"/>
      <c r="CR277" s="305"/>
      <c r="CS277" s="305"/>
      <c r="CT277" s="305"/>
      <c r="CU277" s="305"/>
      <c r="CV277" s="305"/>
      <c r="CW277" s="305"/>
      <c r="CX277" s="305"/>
      <c r="CY277" s="305"/>
      <c r="CZ277" s="305"/>
      <c r="DA277" s="305"/>
      <c r="DB277" s="305"/>
      <c r="DC277" s="305"/>
      <c r="DD277" s="305"/>
      <c r="DE277" s="305"/>
      <c r="DF277" s="305"/>
      <c r="DG277" s="305"/>
      <c r="DH277" s="305"/>
      <c r="DI277" s="305"/>
      <c r="DJ277" s="305"/>
      <c r="DK277" s="305"/>
      <c r="DL277" s="305"/>
      <c r="DM277" s="305"/>
      <c r="DN277" s="305"/>
      <c r="DO277" s="305"/>
      <c r="DP277" s="305"/>
      <c r="DQ277" s="305"/>
      <c r="DR277" s="305"/>
      <c r="DS277" s="305"/>
      <c r="DT277" s="305"/>
      <c r="DU277" s="305"/>
      <c r="DV277" s="305"/>
      <c r="DW277" s="305"/>
      <c r="DX277" s="305"/>
      <c r="DY277" s="305"/>
      <c r="DZ277" s="305"/>
      <c r="EA277" s="305"/>
      <c r="EB277" s="305"/>
      <c r="EC277" s="305"/>
      <c r="ED277" s="305"/>
      <c r="EE277" s="305"/>
      <c r="EF277" s="305"/>
      <c r="EG277" s="305"/>
      <c r="EH277" s="305"/>
      <c r="EI277" s="305"/>
      <c r="EJ277" s="305"/>
      <c r="EK277" s="305"/>
      <c r="EL277" s="305"/>
      <c r="EM277" s="305"/>
      <c r="EN277" s="305"/>
      <c r="EO277" s="305"/>
      <c r="EP277" s="305"/>
      <c r="EQ277" s="305"/>
      <c r="ER277" s="305"/>
      <c r="ES277" s="305"/>
      <c r="ET277" s="305"/>
      <c r="EU277" s="305"/>
      <c r="EV277" s="305"/>
      <c r="EW277" s="305"/>
      <c r="EX277" s="305"/>
      <c r="EY277" s="305"/>
      <c r="EZ277" s="305"/>
      <c r="FA277" s="305"/>
      <c r="FB277" s="305"/>
      <c r="FC277" s="305"/>
      <c r="FD277" s="305"/>
      <c r="FE277" s="305"/>
      <c r="FF277" s="305"/>
      <c r="FG277" s="305"/>
      <c r="FH277" s="305"/>
      <c r="FI277" s="305"/>
      <c r="FJ277" s="305"/>
    </row>
    <row r="278" ht="12.75" customHeight="1" hidden="1" spans="36:166" x14ac:dyDescent="0.25">
      <c r="AJ278" s="5"/>
      <c r="AK278" s="5"/>
      <c r="AL278" s="5"/>
      <c r="AM278" s="5"/>
      <c r="AN278" s="5"/>
      <c r="AO278" s="5"/>
      <c r="AP278" s="5"/>
      <c r="AQ278" s="305"/>
      <c r="AR278" s="305"/>
      <c r="AS278" s="305"/>
      <c r="AT278" s="305"/>
      <c r="AU278" s="305"/>
      <c r="AV278" s="305"/>
      <c r="AW278" s="305"/>
      <c r="AX278" s="305"/>
      <c r="AY278" s="305"/>
      <c r="AZ278" s="305"/>
      <c r="BA278" s="305"/>
      <c r="BB278" s="305"/>
      <c r="BC278" s="305"/>
      <c r="BD278" s="305"/>
      <c r="BE278" s="305"/>
      <c r="BF278" s="305"/>
      <c r="BG278" s="305"/>
      <c r="BH278" s="305"/>
      <c r="BI278" s="305"/>
      <c r="BJ278" s="305"/>
      <c r="BK278" s="305"/>
      <c r="BL278" s="305"/>
      <c r="BM278" s="305"/>
      <c r="BN278" s="305"/>
      <c r="BO278" s="305"/>
      <c r="BP278" s="305"/>
      <c r="BQ278" s="305"/>
      <c r="BR278" s="305"/>
      <c r="BS278" s="305"/>
      <c r="BT278" s="305"/>
      <c r="BU278" s="305"/>
      <c r="BV278" s="305"/>
      <c r="BW278" s="305"/>
      <c r="BX278" s="305"/>
      <c r="BY278" s="305"/>
      <c r="BZ278" s="305"/>
      <c r="CA278" s="305"/>
      <c r="CB278" s="305"/>
      <c r="CC278" s="305"/>
      <c r="CD278" s="305"/>
      <c r="CE278" s="305"/>
      <c r="CF278" s="305"/>
      <c r="CG278" s="305"/>
      <c r="CH278" s="305"/>
      <c r="CI278" s="305"/>
      <c r="CJ278" s="305"/>
      <c r="CK278" s="305"/>
      <c r="CL278" s="305"/>
      <c r="CM278" s="305"/>
      <c r="CN278" s="305"/>
      <c r="CO278" s="305"/>
      <c r="CP278" s="305"/>
      <c r="CQ278" s="305"/>
      <c r="CR278" s="305"/>
      <c r="CS278" s="305"/>
      <c r="CT278" s="305"/>
      <c r="CU278" s="305"/>
      <c r="CV278" s="305"/>
      <c r="CW278" s="305"/>
      <c r="CX278" s="305"/>
      <c r="CY278" s="305"/>
      <c r="CZ278" s="305"/>
      <c r="DA278" s="305"/>
      <c r="DB278" s="305"/>
      <c r="DC278" s="305"/>
      <c r="DD278" s="305"/>
      <c r="DE278" s="305"/>
      <c r="DF278" s="305"/>
      <c r="DG278" s="305"/>
      <c r="DH278" s="305"/>
      <c r="DI278" s="305"/>
      <c r="DJ278" s="305"/>
      <c r="DK278" s="305"/>
      <c r="DL278" s="305"/>
      <c r="DM278" s="305"/>
      <c r="DN278" s="305"/>
      <c r="DO278" s="305"/>
      <c r="DP278" s="305"/>
      <c r="DQ278" s="305"/>
      <c r="DR278" s="305"/>
      <c r="DS278" s="305"/>
      <c r="DT278" s="305"/>
      <c r="DU278" s="305"/>
      <c r="DV278" s="305"/>
      <c r="DW278" s="305"/>
      <c r="DX278" s="305"/>
      <c r="DY278" s="305"/>
      <c r="DZ278" s="305"/>
      <c r="EA278" s="305"/>
      <c r="EB278" s="305"/>
      <c r="EC278" s="305"/>
      <c r="ED278" s="305"/>
      <c r="EE278" s="305"/>
      <c r="EF278" s="305"/>
      <c r="EG278" s="305"/>
      <c r="EH278" s="305"/>
      <c r="EI278" s="305"/>
      <c r="EJ278" s="305"/>
      <c r="EK278" s="305"/>
      <c r="EL278" s="305"/>
      <c r="EM278" s="305"/>
      <c r="EN278" s="305"/>
      <c r="EO278" s="305"/>
      <c r="EP278" s="305"/>
      <c r="EQ278" s="305"/>
      <c r="ER278" s="305"/>
      <c r="ES278" s="305"/>
      <c r="ET278" s="305"/>
      <c r="EU278" s="305"/>
      <c r="EV278" s="305"/>
      <c r="EW278" s="305"/>
      <c r="EX278" s="305"/>
      <c r="EY278" s="305"/>
      <c r="EZ278" s="305"/>
      <c r="FA278" s="305"/>
      <c r="FB278" s="305"/>
      <c r="FC278" s="305"/>
      <c r="FD278" s="305"/>
      <c r="FE278" s="305"/>
      <c r="FF278" s="305"/>
      <c r="FG278" s="305"/>
      <c r="FH278" s="305"/>
      <c r="FI278" s="305"/>
      <c r="FJ278" s="305"/>
    </row>
    <row r="279" ht="12.75" customHeight="1" hidden="1" spans="36:166" x14ac:dyDescent="0.25">
      <c r="AJ279" s="5"/>
      <c r="AK279" s="5"/>
      <c r="AL279" s="5"/>
      <c r="AM279" s="5"/>
      <c r="AN279" s="5"/>
      <c r="AO279" s="5"/>
      <c r="AP279" s="5"/>
      <c r="AQ279" s="305"/>
      <c r="AR279" s="305"/>
      <c r="AS279" s="305"/>
      <c r="AT279" s="305"/>
      <c r="AU279" s="305"/>
      <c r="AV279" s="305"/>
      <c r="AW279" s="305"/>
      <c r="AX279" s="305"/>
      <c r="AY279" s="305"/>
      <c r="AZ279" s="305"/>
      <c r="BA279" s="305"/>
      <c r="BB279" s="305"/>
      <c r="BC279" s="305"/>
      <c r="BD279" s="305"/>
      <c r="BE279" s="305"/>
      <c r="BF279" s="305"/>
      <c r="BG279" s="305"/>
      <c r="BH279" s="305"/>
      <c r="BI279" s="305"/>
      <c r="BJ279" s="305"/>
      <c r="BK279" s="305"/>
      <c r="BL279" s="305"/>
      <c r="BM279" s="305"/>
      <c r="BN279" s="305"/>
      <c r="BO279" s="305"/>
      <c r="BP279" s="305"/>
      <c r="BQ279" s="305"/>
      <c r="BR279" s="305"/>
      <c r="BS279" s="305"/>
      <c r="BT279" s="305"/>
      <c r="BU279" s="305"/>
      <c r="BV279" s="305"/>
      <c r="BW279" s="305"/>
      <c r="BX279" s="305"/>
      <c r="BY279" s="305"/>
      <c r="BZ279" s="305"/>
      <c r="CA279" s="305"/>
      <c r="CB279" s="305"/>
      <c r="CC279" s="305"/>
      <c r="CD279" s="305"/>
      <c r="CE279" s="305"/>
      <c r="CF279" s="305"/>
      <c r="CG279" s="305"/>
      <c r="CH279" s="305"/>
      <c r="CI279" s="305"/>
      <c r="CJ279" s="305"/>
      <c r="CK279" s="305"/>
      <c r="CL279" s="305"/>
      <c r="CM279" s="305"/>
      <c r="CN279" s="305"/>
      <c r="CO279" s="305"/>
      <c r="CP279" s="305"/>
      <c r="CQ279" s="305"/>
      <c r="CR279" s="305"/>
      <c r="CS279" s="305"/>
      <c r="CT279" s="305"/>
      <c r="CU279" s="305"/>
      <c r="CV279" s="305"/>
      <c r="CW279" s="305"/>
      <c r="CX279" s="305"/>
      <c r="CY279" s="305"/>
      <c r="CZ279" s="305"/>
      <c r="DA279" s="305"/>
      <c r="DB279" s="305"/>
      <c r="DC279" s="305"/>
      <c r="DD279" s="305"/>
      <c r="DE279" s="305"/>
      <c r="DF279" s="305"/>
      <c r="DG279" s="305"/>
      <c r="DH279" s="305"/>
      <c r="DI279" s="305"/>
      <c r="DJ279" s="305"/>
      <c r="DK279" s="305"/>
      <c r="DL279" s="305"/>
      <c r="DM279" s="305"/>
      <c r="DN279" s="305"/>
      <c r="DO279" s="305"/>
      <c r="DP279" s="305"/>
      <c r="DQ279" s="305"/>
      <c r="DR279" s="305"/>
      <c r="DS279" s="305"/>
      <c r="DT279" s="305"/>
      <c r="DU279" s="305"/>
      <c r="DV279" s="305"/>
      <c r="DW279" s="305"/>
      <c r="DX279" s="305"/>
      <c r="DY279" s="305"/>
      <c r="DZ279" s="305"/>
      <c r="EA279" s="305"/>
      <c r="EB279" s="305"/>
      <c r="EC279" s="305"/>
      <c r="ED279" s="305"/>
      <c r="EE279" s="305"/>
      <c r="EF279" s="305"/>
      <c r="EG279" s="305"/>
      <c r="EH279" s="305"/>
      <c r="EI279" s="305"/>
      <c r="EJ279" s="305"/>
      <c r="EK279" s="305"/>
      <c r="EL279" s="305"/>
      <c r="EM279" s="305"/>
      <c r="EN279" s="305"/>
      <c r="EO279" s="305"/>
      <c r="EP279" s="305"/>
      <c r="EQ279" s="305"/>
      <c r="ER279" s="305"/>
      <c r="ES279" s="305"/>
      <c r="ET279" s="305"/>
      <c r="EU279" s="305"/>
      <c r="EV279" s="305"/>
      <c r="EW279" s="305"/>
      <c r="EX279" s="305"/>
      <c r="EY279" s="305"/>
      <c r="EZ279" s="305"/>
      <c r="FA279" s="305"/>
      <c r="FB279" s="305"/>
      <c r="FC279" s="305"/>
      <c r="FD279" s="305"/>
      <c r="FE279" s="305"/>
      <c r="FF279" s="305"/>
      <c r="FG279" s="305"/>
      <c r="FH279" s="305"/>
      <c r="FI279" s="305"/>
      <c r="FJ279" s="305"/>
    </row>
    <row r="280" ht="12.75" customHeight="1" hidden="1" spans="36:166" x14ac:dyDescent="0.25">
      <c r="AJ280" s="5"/>
      <c r="AK280" s="5"/>
      <c r="AL280" s="5"/>
      <c r="AM280" s="5"/>
      <c r="AN280" s="5"/>
      <c r="AO280" s="5"/>
      <c r="AP280" s="5"/>
      <c r="AQ280" s="305"/>
      <c r="AR280" s="305"/>
      <c r="AS280" s="305"/>
      <c r="AT280" s="305"/>
      <c r="AU280" s="305"/>
      <c r="AV280" s="305"/>
      <c r="AW280" s="305"/>
      <c r="AX280" s="305"/>
      <c r="AY280" s="305"/>
      <c r="AZ280" s="305"/>
      <c r="BA280" s="305"/>
      <c r="BB280" s="305"/>
      <c r="BC280" s="305"/>
      <c r="BD280" s="305"/>
      <c r="BE280" s="305"/>
      <c r="BF280" s="305"/>
      <c r="BG280" s="305"/>
      <c r="BH280" s="305"/>
      <c r="BI280" s="305"/>
      <c r="BJ280" s="305"/>
      <c r="BK280" s="305"/>
      <c r="BL280" s="305"/>
      <c r="BM280" s="305"/>
      <c r="BN280" s="305"/>
      <c r="BO280" s="305"/>
      <c r="BP280" s="305"/>
      <c r="BQ280" s="305"/>
      <c r="BR280" s="305"/>
      <c r="BS280" s="305"/>
      <c r="BT280" s="305"/>
      <c r="BU280" s="305"/>
      <c r="BV280" s="305"/>
      <c r="BW280" s="305"/>
      <c r="BX280" s="305"/>
      <c r="BY280" s="305"/>
      <c r="BZ280" s="305"/>
      <c r="CA280" s="305"/>
      <c r="CB280" s="305"/>
      <c r="CC280" s="305"/>
      <c r="CD280" s="305"/>
      <c r="CE280" s="305"/>
      <c r="CF280" s="305"/>
      <c r="CG280" s="305"/>
      <c r="CH280" s="305"/>
      <c r="CI280" s="305"/>
      <c r="CJ280" s="305"/>
      <c r="CK280" s="305"/>
      <c r="CL280" s="305"/>
      <c r="CM280" s="305"/>
      <c r="CN280" s="305"/>
      <c r="CO280" s="305"/>
      <c r="CP280" s="305"/>
      <c r="CQ280" s="305"/>
      <c r="CR280" s="305"/>
      <c r="CS280" s="305"/>
      <c r="CT280" s="305"/>
      <c r="CU280" s="305"/>
      <c r="CV280" s="305"/>
      <c r="CW280" s="305"/>
      <c r="CX280" s="305"/>
      <c r="CY280" s="305"/>
      <c r="CZ280" s="305"/>
      <c r="DA280" s="305"/>
      <c r="DB280" s="305"/>
      <c r="DC280" s="305"/>
      <c r="DD280" s="305"/>
      <c r="DE280" s="305"/>
      <c r="DF280" s="305"/>
      <c r="DG280" s="305"/>
      <c r="DH280" s="305"/>
      <c r="DI280" s="305"/>
      <c r="DJ280" s="305"/>
      <c r="DK280" s="305"/>
      <c r="DL280" s="305"/>
      <c r="DM280" s="305"/>
      <c r="DN280" s="305"/>
      <c r="DO280" s="305"/>
      <c r="DP280" s="305"/>
      <c r="DQ280" s="305"/>
      <c r="DR280" s="305"/>
      <c r="DS280" s="305"/>
      <c r="DT280" s="305"/>
      <c r="DU280" s="305"/>
      <c r="DV280" s="305"/>
      <c r="DW280" s="305"/>
      <c r="DX280" s="305"/>
      <c r="DY280" s="305"/>
      <c r="DZ280" s="305"/>
      <c r="EA280" s="305"/>
      <c r="EB280" s="305"/>
      <c r="EC280" s="305"/>
      <c r="ED280" s="305"/>
      <c r="EE280" s="305"/>
      <c r="EF280" s="305"/>
      <c r="EG280" s="305"/>
      <c r="EH280" s="305"/>
      <c r="EI280" s="305"/>
      <c r="EJ280" s="305"/>
      <c r="EK280" s="305"/>
      <c r="EL280" s="305"/>
      <c r="EM280" s="305"/>
      <c r="EN280" s="305"/>
      <c r="EO280" s="305"/>
      <c r="EP280" s="305"/>
      <c r="EQ280" s="305"/>
      <c r="ER280" s="305"/>
      <c r="ES280" s="305"/>
      <c r="ET280" s="305"/>
      <c r="EU280" s="305"/>
      <c r="EV280" s="305"/>
      <c r="EW280" s="305"/>
      <c r="EX280" s="305"/>
      <c r="EY280" s="305"/>
      <c r="EZ280" s="305"/>
      <c r="FA280" s="305"/>
      <c r="FB280" s="305"/>
      <c r="FC280" s="305"/>
      <c r="FD280" s="305"/>
      <c r="FE280" s="305"/>
      <c r="FF280" s="305"/>
      <c r="FG280" s="305"/>
      <c r="FH280" s="305"/>
      <c r="FI280" s="305"/>
      <c r="FJ280" s="305"/>
    </row>
    <row r="281" ht="12.75" customHeight="1" hidden="1" spans="36:166" x14ac:dyDescent="0.25">
      <c r="AJ281" s="5"/>
      <c r="AK281" s="5"/>
      <c r="AL281" s="5"/>
      <c r="AM281" s="5"/>
      <c r="AN281" s="5"/>
      <c r="AO281" s="5"/>
      <c r="AP281" s="5"/>
      <c r="AQ281" s="305"/>
      <c r="AR281" s="305"/>
      <c r="AS281" s="305"/>
      <c r="AT281" s="305"/>
      <c r="AU281" s="305"/>
      <c r="AV281" s="305"/>
      <c r="AW281" s="305"/>
      <c r="AX281" s="305"/>
      <c r="AY281" s="305"/>
      <c r="AZ281" s="305"/>
      <c r="BA281" s="305"/>
      <c r="BB281" s="305"/>
      <c r="BC281" s="305"/>
      <c r="BD281" s="305"/>
      <c r="BE281" s="305"/>
      <c r="BF281" s="305"/>
      <c r="BG281" s="305"/>
      <c r="BH281" s="305"/>
      <c r="BI281" s="305"/>
      <c r="BJ281" s="305"/>
      <c r="BK281" s="305"/>
      <c r="BL281" s="305"/>
      <c r="BM281" s="305"/>
      <c r="BN281" s="305"/>
      <c r="BO281" s="305"/>
      <c r="BP281" s="305"/>
      <c r="BQ281" s="305"/>
      <c r="BR281" s="305"/>
      <c r="BS281" s="305"/>
      <c r="BT281" s="305"/>
      <c r="BU281" s="305"/>
      <c r="BV281" s="305"/>
      <c r="BW281" s="305"/>
      <c r="BX281" s="305"/>
      <c r="BY281" s="305"/>
      <c r="BZ281" s="305"/>
      <c r="CA281" s="305"/>
      <c r="CB281" s="305"/>
      <c r="CC281" s="305"/>
      <c r="CD281" s="305"/>
      <c r="CE281" s="305"/>
      <c r="CF281" s="305"/>
      <c r="CG281" s="305"/>
      <c r="CH281" s="305"/>
      <c r="CI281" s="305"/>
      <c r="CJ281" s="305"/>
      <c r="CK281" s="305"/>
      <c r="CL281" s="305"/>
      <c r="CM281" s="305"/>
      <c r="CN281" s="305"/>
      <c r="CO281" s="305"/>
      <c r="CP281" s="305"/>
      <c r="CQ281" s="305"/>
      <c r="CR281" s="305"/>
      <c r="CS281" s="305"/>
      <c r="CT281" s="305"/>
      <c r="CU281" s="305"/>
      <c r="CV281" s="305"/>
      <c r="CW281" s="305"/>
      <c r="CX281" s="305"/>
      <c r="CY281" s="305"/>
      <c r="CZ281" s="305"/>
      <c r="DA281" s="305"/>
      <c r="DB281" s="305"/>
      <c r="DC281" s="305"/>
      <c r="DD281" s="305"/>
      <c r="DE281" s="305"/>
      <c r="DF281" s="305"/>
      <c r="DG281" s="305"/>
      <c r="DH281" s="305"/>
      <c r="DI281" s="305"/>
      <c r="DJ281" s="305"/>
      <c r="DK281" s="305"/>
      <c r="DL281" s="305"/>
      <c r="DM281" s="305"/>
      <c r="DN281" s="305"/>
      <c r="DO281" s="305"/>
      <c r="DP281" s="305"/>
      <c r="DQ281" s="305"/>
      <c r="DR281" s="305"/>
      <c r="DS281" s="305"/>
      <c r="DT281" s="305"/>
      <c r="DU281" s="305"/>
      <c r="DV281" s="305"/>
      <c r="DW281" s="305"/>
      <c r="DX281" s="305"/>
      <c r="DY281" s="305"/>
      <c r="DZ281" s="305"/>
      <c r="EA281" s="305"/>
      <c r="EB281" s="305"/>
      <c r="EC281" s="305"/>
      <c r="ED281" s="305"/>
      <c r="EE281" s="305"/>
      <c r="EF281" s="305"/>
      <c r="EG281" s="305"/>
      <c r="EH281" s="305"/>
      <c r="EI281" s="305"/>
      <c r="EJ281" s="305"/>
      <c r="EK281" s="305"/>
      <c r="EL281" s="305"/>
      <c r="EM281" s="305"/>
      <c r="EN281" s="305"/>
      <c r="EO281" s="305"/>
      <c r="EP281" s="305"/>
      <c r="EQ281" s="305"/>
      <c r="ER281" s="305"/>
      <c r="ES281" s="305"/>
      <c r="ET281" s="305"/>
      <c r="EU281" s="305"/>
      <c r="EV281" s="305"/>
      <c r="EW281" s="305"/>
      <c r="EX281" s="305"/>
      <c r="EY281" s="305"/>
      <c r="EZ281" s="305"/>
      <c r="FA281" s="305"/>
      <c r="FB281" s="305"/>
      <c r="FC281" s="305"/>
      <c r="FD281" s="305"/>
      <c r="FE281" s="305"/>
      <c r="FF281" s="305"/>
      <c r="FG281" s="305"/>
      <c r="FH281" s="305"/>
      <c r="FI281" s="305"/>
      <c r="FJ281" s="305"/>
    </row>
    <row r="282" ht="12.75" customHeight="1" hidden="1" spans="36:166" x14ac:dyDescent="0.25">
      <c r="AJ282" s="5"/>
      <c r="AK282" s="5"/>
      <c r="AL282" s="5"/>
      <c r="AM282" s="5"/>
      <c r="AN282" s="5"/>
      <c r="AO282" s="5"/>
      <c r="AP282" s="5"/>
      <c r="AQ282" s="305"/>
      <c r="AR282" s="305"/>
      <c r="AS282" s="305"/>
      <c r="AT282" s="305"/>
      <c r="AU282" s="305"/>
      <c r="AV282" s="305"/>
      <c r="AW282" s="305"/>
      <c r="AX282" s="305"/>
      <c r="AY282" s="305"/>
      <c r="AZ282" s="305"/>
      <c r="BA282" s="305"/>
      <c r="BB282" s="305"/>
      <c r="BC282" s="305"/>
      <c r="BD282" s="305"/>
      <c r="BE282" s="305"/>
      <c r="BF282" s="305"/>
      <c r="BG282" s="305"/>
      <c r="BH282" s="305"/>
      <c r="BI282" s="305"/>
      <c r="BJ282" s="305"/>
      <c r="BK282" s="305"/>
      <c r="BL282" s="305"/>
      <c r="BM282" s="305"/>
      <c r="BN282" s="305"/>
      <c r="BO282" s="305"/>
      <c r="BP282" s="305"/>
      <c r="BQ282" s="305"/>
      <c r="BR282" s="305"/>
      <c r="BS282" s="305"/>
      <c r="BT282" s="305"/>
      <c r="BU282" s="305"/>
      <c r="BV282" s="305"/>
      <c r="BW282" s="305"/>
      <c r="BX282" s="305"/>
      <c r="BY282" s="305"/>
      <c r="BZ282" s="305"/>
      <c r="CA282" s="305"/>
      <c r="CB282" s="305"/>
      <c r="CC282" s="305"/>
      <c r="CD282" s="305"/>
      <c r="CE282" s="305"/>
      <c r="CF282" s="305"/>
      <c r="CG282" s="305"/>
      <c r="CH282" s="305"/>
      <c r="CI282" s="305"/>
      <c r="CJ282" s="305"/>
      <c r="CK282" s="305"/>
      <c r="CL282" s="305"/>
      <c r="CM282" s="305"/>
      <c r="CN282" s="305"/>
      <c r="CO282" s="305"/>
      <c r="CP282" s="305"/>
      <c r="CQ282" s="305"/>
      <c r="CR282" s="305"/>
      <c r="CS282" s="305"/>
      <c r="CT282" s="305"/>
      <c r="CU282" s="305"/>
      <c r="CV282" s="305"/>
      <c r="CW282" s="305"/>
      <c r="CX282" s="305"/>
      <c r="CY282" s="305"/>
      <c r="CZ282" s="305"/>
      <c r="DA282" s="305"/>
      <c r="DB282" s="305"/>
      <c r="DC282" s="305"/>
      <c r="DD282" s="305"/>
      <c r="DE282" s="305"/>
      <c r="DF282" s="305"/>
      <c r="DG282" s="305"/>
      <c r="DH282" s="305"/>
      <c r="DI282" s="305"/>
      <c r="DJ282" s="305"/>
      <c r="DK282" s="305"/>
      <c r="DL282" s="305"/>
      <c r="DM282" s="305"/>
      <c r="DN282" s="305"/>
      <c r="DO282" s="305"/>
      <c r="DP282" s="305"/>
      <c r="DQ282" s="305"/>
      <c r="DR282" s="305"/>
      <c r="DS282" s="305"/>
      <c r="DT282" s="305"/>
      <c r="DU282" s="305"/>
      <c r="DV282" s="305"/>
      <c r="DW282" s="305"/>
      <c r="DX282" s="305"/>
      <c r="DY282" s="305"/>
      <c r="DZ282" s="305"/>
      <c r="EA282" s="305"/>
      <c r="EB282" s="305"/>
      <c r="EC282" s="305"/>
      <c r="ED282" s="305"/>
      <c r="EE282" s="305"/>
      <c r="EF282" s="305"/>
      <c r="EG282" s="305"/>
      <c r="EH282" s="305"/>
      <c r="EI282" s="305"/>
      <c r="EJ282" s="305"/>
      <c r="EK282" s="305"/>
      <c r="EL282" s="305"/>
      <c r="EM282" s="305"/>
      <c r="EN282" s="305"/>
      <c r="EO282" s="305"/>
      <c r="EP282" s="305"/>
      <c r="EQ282" s="305"/>
      <c r="ER282" s="305"/>
      <c r="ES282" s="305"/>
      <c r="ET282" s="305"/>
      <c r="EU282" s="305"/>
      <c r="EV282" s="305"/>
      <c r="EW282" s="305"/>
      <c r="EX282" s="305"/>
      <c r="EY282" s="305"/>
      <c r="EZ282" s="305"/>
      <c r="FA282" s="305"/>
      <c r="FB282" s="305"/>
      <c r="FC282" s="305"/>
      <c r="FD282" s="305"/>
      <c r="FE282" s="305"/>
      <c r="FF282" s="305"/>
      <c r="FG282" s="305"/>
      <c r="FH282" s="305"/>
      <c r="FI282" s="305"/>
      <c r="FJ282" s="305"/>
    </row>
    <row r="283" ht="12.75" customHeight="1" hidden="1" spans="36:166" x14ac:dyDescent="0.25">
      <c r="AJ283" s="5"/>
      <c r="AK283" s="5"/>
      <c r="AL283" s="5"/>
      <c r="AM283" s="5"/>
      <c r="AN283" s="5"/>
      <c r="AO283" s="5"/>
      <c r="AP283" s="5"/>
      <c r="AQ283" s="305"/>
      <c r="AR283" s="305"/>
      <c r="AS283" s="305"/>
      <c r="AT283" s="305"/>
      <c r="AU283" s="305"/>
      <c r="AV283" s="305"/>
      <c r="AW283" s="305"/>
      <c r="AX283" s="305"/>
      <c r="AY283" s="305"/>
      <c r="AZ283" s="305"/>
      <c r="BA283" s="305"/>
      <c r="BB283" s="305"/>
      <c r="BC283" s="305"/>
      <c r="BD283" s="305"/>
      <c r="BE283" s="305"/>
      <c r="BF283" s="305"/>
      <c r="BG283" s="305"/>
      <c r="BH283" s="305"/>
      <c r="BI283" s="305"/>
      <c r="BJ283" s="305"/>
      <c r="BK283" s="305"/>
      <c r="BL283" s="305"/>
      <c r="BM283" s="305"/>
      <c r="BN283" s="305"/>
      <c r="BO283" s="305"/>
      <c r="BP283" s="305"/>
      <c r="BQ283" s="305"/>
      <c r="BR283" s="305"/>
      <c r="BS283" s="305"/>
      <c r="BT283" s="305"/>
      <c r="BU283" s="305"/>
      <c r="BV283" s="305"/>
      <c r="BW283" s="305"/>
      <c r="BX283" s="305"/>
      <c r="BY283" s="305"/>
      <c r="BZ283" s="305"/>
      <c r="CA283" s="305"/>
      <c r="CB283" s="305"/>
      <c r="CC283" s="305"/>
      <c r="CD283" s="305"/>
      <c r="CE283" s="305"/>
      <c r="CF283" s="305"/>
      <c r="CG283" s="305"/>
      <c r="CH283" s="305"/>
      <c r="CI283" s="305"/>
      <c r="CJ283" s="305"/>
      <c r="CK283" s="305"/>
      <c r="CL283" s="305"/>
      <c r="CM283" s="305"/>
      <c r="CN283" s="305"/>
      <c r="CO283" s="305"/>
      <c r="CP283" s="305"/>
      <c r="CQ283" s="305"/>
      <c r="CR283" s="305"/>
      <c r="CS283" s="305"/>
      <c r="CT283" s="305"/>
      <c r="CU283" s="305"/>
      <c r="CV283" s="305"/>
      <c r="CW283" s="305"/>
      <c r="CX283" s="305"/>
      <c r="CY283" s="305"/>
      <c r="CZ283" s="305"/>
      <c r="DA283" s="305"/>
      <c r="DB283" s="305"/>
      <c r="DC283" s="305"/>
      <c r="DD283" s="305"/>
      <c r="DE283" s="305"/>
      <c r="DF283" s="305"/>
      <c r="DG283" s="305"/>
      <c r="DH283" s="305"/>
      <c r="DI283" s="305"/>
      <c r="DJ283" s="305"/>
      <c r="DK283" s="305"/>
      <c r="DL283" s="305"/>
      <c r="DM283" s="305"/>
      <c r="DN283" s="305"/>
      <c r="DO283" s="305"/>
      <c r="DP283" s="305"/>
      <c r="DQ283" s="305"/>
      <c r="DR283" s="305"/>
      <c r="DS283" s="305"/>
      <c r="DT283" s="305"/>
      <c r="DU283" s="305"/>
      <c r="DV283" s="305"/>
      <c r="DW283" s="305"/>
      <c r="DX283" s="305"/>
      <c r="DY283" s="305"/>
      <c r="DZ283" s="305"/>
      <c r="EA283" s="305"/>
      <c r="EB283" s="305"/>
      <c r="EC283" s="305"/>
      <c r="ED283" s="305"/>
      <c r="EE283" s="305"/>
      <c r="EF283" s="305"/>
      <c r="EG283" s="305"/>
      <c r="EH283" s="305"/>
      <c r="EI283" s="305"/>
      <c r="EJ283" s="305"/>
      <c r="EK283" s="305"/>
      <c r="EL283" s="305"/>
      <c r="EM283" s="305"/>
      <c r="EN283" s="305"/>
      <c r="EO283" s="305"/>
      <c r="EP283" s="305"/>
      <c r="EQ283" s="305"/>
      <c r="ER283" s="305"/>
      <c r="ES283" s="305"/>
      <c r="ET283" s="305"/>
      <c r="EU283" s="305"/>
      <c r="EV283" s="305"/>
      <c r="EW283" s="305"/>
      <c r="EX283" s="305"/>
      <c r="EY283" s="305"/>
      <c r="EZ283" s="305"/>
      <c r="FA283" s="305"/>
      <c r="FB283" s="305"/>
      <c r="FC283" s="305"/>
      <c r="FD283" s="305"/>
      <c r="FE283" s="305"/>
      <c r="FF283" s="305"/>
      <c r="FG283" s="305"/>
      <c r="FH283" s="305"/>
      <c r="FI283" s="305"/>
      <c r="FJ283" s="305"/>
    </row>
    <row r="284" ht="12.75" customHeight="1" hidden="1" spans="36:166" x14ac:dyDescent="0.25">
      <c r="AJ284" s="5"/>
      <c r="AK284" s="5"/>
      <c r="AL284" s="5"/>
      <c r="AM284" s="5"/>
      <c r="AN284" s="5"/>
      <c r="AO284" s="5"/>
      <c r="AP284" s="5"/>
      <c r="AQ284" s="305"/>
      <c r="AR284" s="305"/>
      <c r="AS284" s="305"/>
      <c r="AT284" s="305"/>
      <c r="AU284" s="305"/>
      <c r="AV284" s="305"/>
      <c r="AW284" s="305"/>
      <c r="AX284" s="305"/>
      <c r="AY284" s="305"/>
      <c r="AZ284" s="305"/>
      <c r="BA284" s="305"/>
      <c r="BB284" s="305"/>
      <c r="BC284" s="305"/>
      <c r="BD284" s="305"/>
      <c r="BE284" s="305"/>
      <c r="BF284" s="305"/>
      <c r="BG284" s="305"/>
      <c r="BH284" s="305"/>
      <c r="BI284" s="305"/>
      <c r="BJ284" s="305"/>
      <c r="BK284" s="305"/>
      <c r="BL284" s="305"/>
      <c r="BM284" s="305"/>
      <c r="BN284" s="305"/>
      <c r="BO284" s="305"/>
      <c r="BP284" s="305"/>
      <c r="BQ284" s="305"/>
      <c r="BR284" s="305"/>
      <c r="BS284" s="305"/>
      <c r="BT284" s="305"/>
      <c r="BU284" s="305"/>
      <c r="BV284" s="305"/>
      <c r="BW284" s="305"/>
      <c r="BX284" s="305"/>
      <c r="BY284" s="305"/>
      <c r="BZ284" s="305"/>
      <c r="CA284" s="305"/>
      <c r="CB284" s="305"/>
      <c r="CC284" s="305"/>
      <c r="CD284" s="305"/>
      <c r="CE284" s="305"/>
      <c r="CF284" s="305"/>
      <c r="CG284" s="305"/>
      <c r="CH284" s="305"/>
      <c r="CI284" s="305"/>
      <c r="CJ284" s="305"/>
      <c r="CK284" s="305"/>
      <c r="CL284" s="305"/>
      <c r="CM284" s="305"/>
      <c r="CN284" s="305"/>
      <c r="CO284" s="305"/>
      <c r="CP284" s="305"/>
      <c r="CQ284" s="305"/>
      <c r="CR284" s="305"/>
      <c r="CS284" s="305"/>
      <c r="CT284" s="305"/>
      <c r="CU284" s="305"/>
      <c r="CV284" s="305"/>
      <c r="CW284" s="305"/>
      <c r="CX284" s="305"/>
      <c r="CY284" s="305"/>
      <c r="CZ284" s="305"/>
      <c r="DA284" s="305"/>
      <c r="DB284" s="305"/>
      <c r="DC284" s="305"/>
      <c r="DD284" s="305"/>
      <c r="DE284" s="305"/>
      <c r="DF284" s="305"/>
      <c r="DG284" s="305"/>
      <c r="DH284" s="305"/>
      <c r="DI284" s="305"/>
      <c r="DJ284" s="305"/>
      <c r="DK284" s="305"/>
      <c r="DL284" s="305"/>
      <c r="DM284" s="305"/>
      <c r="DN284" s="305"/>
      <c r="DO284" s="305"/>
      <c r="DP284" s="305"/>
      <c r="DQ284" s="305"/>
      <c r="DR284" s="305"/>
      <c r="DS284" s="305"/>
      <c r="DT284" s="305"/>
      <c r="DU284" s="305"/>
      <c r="DV284" s="305"/>
      <c r="DW284" s="305"/>
      <c r="DX284" s="305"/>
      <c r="DY284" s="305"/>
      <c r="DZ284" s="305"/>
      <c r="EA284" s="305"/>
      <c r="EB284" s="305"/>
      <c r="EC284" s="305"/>
      <c r="ED284" s="305"/>
      <c r="EE284" s="305"/>
      <c r="EF284" s="305"/>
      <c r="EG284" s="305"/>
      <c r="EH284" s="305"/>
      <c r="EI284" s="305"/>
      <c r="EJ284" s="305"/>
      <c r="EK284" s="305"/>
      <c r="EL284" s="305"/>
      <c r="EM284" s="305"/>
      <c r="EN284" s="305"/>
      <c r="EO284" s="305"/>
      <c r="EP284" s="305"/>
      <c r="EQ284" s="305"/>
      <c r="ER284" s="305"/>
      <c r="ES284" s="305"/>
      <c r="ET284" s="305"/>
      <c r="EU284" s="305"/>
      <c r="EV284" s="305"/>
      <c r="EW284" s="305"/>
      <c r="EX284" s="305"/>
      <c r="EY284" s="305"/>
      <c r="EZ284" s="305"/>
      <c r="FA284" s="305"/>
      <c r="FB284" s="305"/>
      <c r="FC284" s="305"/>
      <c r="FD284" s="305"/>
      <c r="FE284" s="305"/>
      <c r="FF284" s="305"/>
      <c r="FG284" s="305"/>
      <c r="FH284" s="305"/>
      <c r="FI284" s="305"/>
      <c r="FJ284" s="305"/>
    </row>
    <row r="285" ht="12.75" customHeight="1" hidden="1" spans="36:166" x14ac:dyDescent="0.25">
      <c r="AJ285" s="5"/>
      <c r="AK285" s="5"/>
      <c r="AL285" s="5"/>
      <c r="AM285" s="5"/>
      <c r="AN285" s="5"/>
      <c r="AO285" s="5"/>
      <c r="AP285" s="5"/>
      <c r="AQ285" s="305"/>
      <c r="AR285" s="305"/>
      <c r="AS285" s="305"/>
      <c r="AT285" s="305"/>
      <c r="AU285" s="305"/>
      <c r="AV285" s="305"/>
      <c r="AW285" s="305"/>
      <c r="AX285" s="305"/>
      <c r="AY285" s="305"/>
      <c r="AZ285" s="305"/>
      <c r="BA285" s="305"/>
      <c r="BB285" s="305"/>
      <c r="BC285" s="305"/>
      <c r="BD285" s="305"/>
      <c r="BE285" s="305"/>
      <c r="BF285" s="305"/>
      <c r="BG285" s="305"/>
      <c r="BH285" s="305"/>
      <c r="BI285" s="305"/>
      <c r="BJ285" s="305"/>
      <c r="BK285" s="305"/>
      <c r="BL285" s="305"/>
      <c r="BM285" s="305"/>
      <c r="BN285" s="305"/>
      <c r="BO285" s="305"/>
      <c r="BP285" s="305"/>
      <c r="BQ285" s="305"/>
      <c r="BR285" s="305"/>
      <c r="BS285" s="305"/>
      <c r="BT285" s="305"/>
      <c r="BU285" s="305"/>
      <c r="BV285" s="305"/>
      <c r="BW285" s="305"/>
      <c r="BX285" s="305"/>
      <c r="BY285" s="305"/>
      <c r="BZ285" s="305"/>
      <c r="CA285" s="305"/>
      <c r="CB285" s="305"/>
      <c r="CC285" s="305"/>
      <c r="CD285" s="305"/>
      <c r="CE285" s="305"/>
      <c r="CF285" s="305"/>
      <c r="CG285" s="305"/>
      <c r="CH285" s="305"/>
      <c r="CI285" s="305"/>
      <c r="CJ285" s="305"/>
      <c r="CK285" s="305"/>
      <c r="CL285" s="305"/>
      <c r="CM285" s="305"/>
      <c r="CN285" s="305"/>
      <c r="CO285" s="305"/>
      <c r="CP285" s="305"/>
      <c r="CQ285" s="305"/>
      <c r="CR285" s="305"/>
      <c r="CS285" s="305"/>
      <c r="CT285" s="305"/>
      <c r="CU285" s="305"/>
      <c r="CV285" s="305"/>
      <c r="CW285" s="305"/>
      <c r="CX285" s="305"/>
      <c r="CY285" s="305"/>
      <c r="CZ285" s="305"/>
      <c r="DA285" s="305"/>
      <c r="DB285" s="305"/>
      <c r="DC285" s="305"/>
      <c r="DD285" s="305"/>
      <c r="DE285" s="305"/>
      <c r="DF285" s="305"/>
      <c r="DG285" s="305"/>
      <c r="DH285" s="305"/>
      <c r="DI285" s="305"/>
      <c r="DJ285" s="305"/>
      <c r="DK285" s="305"/>
      <c r="DL285" s="305"/>
      <c r="DM285" s="305"/>
      <c r="DN285" s="305"/>
      <c r="DO285" s="305"/>
      <c r="DP285" s="305"/>
      <c r="DQ285" s="305"/>
      <c r="DR285" s="305"/>
      <c r="DS285" s="305"/>
      <c r="DT285" s="305"/>
      <c r="DU285" s="305"/>
      <c r="DV285" s="305"/>
      <c r="DW285" s="305"/>
      <c r="DX285" s="305"/>
      <c r="DY285" s="305"/>
      <c r="DZ285" s="305"/>
      <c r="EA285" s="305"/>
      <c r="EB285" s="305"/>
      <c r="EC285" s="305"/>
      <c r="ED285" s="305"/>
      <c r="EE285" s="305"/>
      <c r="EF285" s="305"/>
      <c r="EG285" s="305"/>
      <c r="EH285" s="305"/>
      <c r="EI285" s="305"/>
      <c r="EJ285" s="305"/>
      <c r="EK285" s="305"/>
      <c r="EL285" s="305"/>
      <c r="EM285" s="305"/>
      <c r="EN285" s="305"/>
      <c r="EO285" s="305"/>
      <c r="EP285" s="305"/>
      <c r="EQ285" s="305"/>
      <c r="ER285" s="305"/>
      <c r="ES285" s="305"/>
      <c r="ET285" s="305"/>
      <c r="EU285" s="305"/>
      <c r="EV285" s="305"/>
      <c r="EW285" s="305"/>
      <c r="EX285" s="305"/>
      <c r="EY285" s="305"/>
      <c r="EZ285" s="305"/>
      <c r="FA285" s="305"/>
      <c r="FB285" s="305"/>
      <c r="FC285" s="305"/>
      <c r="FD285" s="305"/>
      <c r="FE285" s="305"/>
      <c r="FF285" s="305"/>
      <c r="FG285" s="305"/>
      <c r="FH285" s="305"/>
      <c r="FI285" s="305"/>
      <c r="FJ285" s="305"/>
    </row>
    <row r="286" ht="12.75" customHeight="1" hidden="1" spans="36:166" x14ac:dyDescent="0.25">
      <c r="AJ286" s="5"/>
      <c r="AK286" s="5"/>
      <c r="AL286" s="5"/>
      <c r="AM286" s="5"/>
      <c r="AN286" s="5"/>
      <c r="AO286" s="5"/>
      <c r="AP286" s="5"/>
      <c r="AQ286" s="305"/>
      <c r="AR286" s="305"/>
      <c r="AS286" s="305"/>
      <c r="AT286" s="305"/>
      <c r="AU286" s="305"/>
      <c r="AV286" s="305"/>
      <c r="AW286" s="305"/>
      <c r="AX286" s="305"/>
      <c r="AY286" s="305"/>
      <c r="AZ286" s="305"/>
      <c r="BA286" s="305"/>
      <c r="BB286" s="305"/>
      <c r="BC286" s="305"/>
      <c r="BD286" s="305"/>
      <c r="BE286" s="305"/>
      <c r="BF286" s="305"/>
      <c r="BG286" s="305"/>
      <c r="BH286" s="305"/>
      <c r="BI286" s="305"/>
      <c r="BJ286" s="305"/>
      <c r="BK286" s="305"/>
      <c r="BL286" s="305"/>
      <c r="BM286" s="305"/>
      <c r="BN286" s="305"/>
      <c r="BO286" s="305"/>
      <c r="BP286" s="305"/>
      <c r="BQ286" s="305"/>
      <c r="BR286" s="305"/>
      <c r="BS286" s="305"/>
      <c r="BT286" s="305"/>
      <c r="BU286" s="305"/>
      <c r="BV286" s="305"/>
      <c r="BW286" s="305"/>
      <c r="BX286" s="305"/>
      <c r="BY286" s="305"/>
      <c r="BZ286" s="305"/>
      <c r="CA286" s="305"/>
      <c r="CB286" s="305"/>
      <c r="CC286" s="305"/>
      <c r="CD286" s="305"/>
      <c r="CE286" s="305"/>
      <c r="CF286" s="305"/>
      <c r="CG286" s="305"/>
      <c r="CH286" s="305"/>
      <c r="CI286" s="305"/>
      <c r="CJ286" s="305"/>
      <c r="CK286" s="305"/>
      <c r="CL286" s="305"/>
      <c r="CM286" s="305"/>
      <c r="CN286" s="305"/>
      <c r="CO286" s="305"/>
      <c r="CP286" s="305"/>
      <c r="CQ286" s="305"/>
      <c r="CR286" s="305"/>
      <c r="CS286" s="305"/>
      <c r="CT286" s="305"/>
      <c r="CU286" s="305"/>
      <c r="CV286" s="305"/>
      <c r="CW286" s="305"/>
      <c r="CX286" s="305"/>
      <c r="CY286" s="305"/>
      <c r="CZ286" s="305"/>
      <c r="DA286" s="305"/>
      <c r="DB286" s="305"/>
      <c r="DC286" s="305"/>
      <c r="DD286" s="305"/>
      <c r="DE286" s="305"/>
      <c r="DF286" s="305"/>
      <c r="DG286" s="305"/>
      <c r="DH286" s="305"/>
      <c r="DI286" s="305"/>
      <c r="DJ286" s="305"/>
      <c r="DK286" s="305"/>
      <c r="DL286" s="305"/>
      <c r="DM286" s="305"/>
      <c r="DN286" s="305"/>
      <c r="DO286" s="305"/>
      <c r="DP286" s="305"/>
      <c r="DQ286" s="305"/>
      <c r="DR286" s="305"/>
      <c r="DS286" s="305"/>
      <c r="DT286" s="305"/>
      <c r="DU286" s="305"/>
      <c r="DV286" s="305"/>
      <c r="DW286" s="305"/>
      <c r="DX286" s="305"/>
      <c r="DY286" s="305"/>
      <c r="DZ286" s="305"/>
      <c r="EA286" s="305"/>
      <c r="EB286" s="305"/>
      <c r="EC286" s="305"/>
      <c r="ED286" s="305"/>
      <c r="EE286" s="305"/>
      <c r="EF286" s="305"/>
      <c r="EG286" s="305"/>
      <c r="EH286" s="305"/>
      <c r="EI286" s="305"/>
      <c r="EJ286" s="305"/>
      <c r="EK286" s="305"/>
      <c r="EL286" s="305"/>
      <c r="EM286" s="305"/>
      <c r="EN286" s="305"/>
      <c r="EO286" s="305"/>
      <c r="EP286" s="305"/>
      <c r="EQ286" s="305"/>
      <c r="ER286" s="305"/>
      <c r="ES286" s="305"/>
      <c r="ET286" s="305"/>
      <c r="EU286" s="305"/>
      <c r="EV286" s="305"/>
      <c r="EW286" s="305"/>
      <c r="EX286" s="305"/>
      <c r="EY286" s="305"/>
      <c r="EZ286" s="305"/>
      <c r="FA286" s="305"/>
      <c r="FB286" s="305"/>
      <c r="FC286" s="305"/>
      <c r="FD286" s="305"/>
      <c r="FE286" s="305"/>
      <c r="FF286" s="305"/>
      <c r="FG286" s="305"/>
      <c r="FH286" s="305"/>
      <c r="FI286" s="305"/>
      <c r="FJ286" s="305"/>
    </row>
    <row r="287" ht="12.75" customHeight="1" hidden="1" spans="36:166" x14ac:dyDescent="0.25">
      <c r="AJ287" s="5"/>
      <c r="AK287" s="5"/>
      <c r="AL287" s="5"/>
      <c r="AM287" s="5"/>
      <c r="AN287" s="5"/>
      <c r="AO287" s="5"/>
      <c r="AP287" s="5"/>
      <c r="AQ287" s="305"/>
      <c r="AR287" s="305"/>
      <c r="AS287" s="305"/>
      <c r="AT287" s="305"/>
      <c r="AU287" s="305"/>
      <c r="AV287" s="305"/>
      <c r="AW287" s="305"/>
      <c r="AX287" s="305"/>
      <c r="AY287" s="305"/>
      <c r="AZ287" s="305"/>
      <c r="BA287" s="305"/>
      <c r="BB287" s="305"/>
      <c r="BC287" s="305"/>
      <c r="BD287" s="305"/>
      <c r="BE287" s="305"/>
      <c r="BF287" s="305"/>
      <c r="BG287" s="305"/>
      <c r="BH287" s="305"/>
      <c r="BI287" s="305"/>
      <c r="BJ287" s="305"/>
      <c r="BK287" s="305"/>
      <c r="BL287" s="305"/>
      <c r="BM287" s="305"/>
      <c r="BN287" s="305"/>
      <c r="BO287" s="305"/>
      <c r="BP287" s="305"/>
      <c r="BQ287" s="305"/>
      <c r="BR287" s="305"/>
      <c r="BS287" s="305"/>
      <c r="BT287" s="305"/>
      <c r="BU287" s="305"/>
      <c r="BV287" s="305"/>
      <c r="BW287" s="305"/>
      <c r="BX287" s="305"/>
      <c r="BY287" s="305"/>
      <c r="BZ287" s="305"/>
      <c r="CA287" s="305"/>
      <c r="CB287" s="305"/>
      <c r="CC287" s="305"/>
      <c r="CD287" s="305"/>
      <c r="CE287" s="305"/>
      <c r="CF287" s="305"/>
      <c r="CG287" s="305"/>
      <c r="CH287" s="305"/>
      <c r="CI287" s="305"/>
      <c r="CJ287" s="305"/>
      <c r="CK287" s="305"/>
      <c r="CL287" s="305"/>
      <c r="CM287" s="305"/>
      <c r="CN287" s="305"/>
      <c r="CO287" s="305"/>
      <c r="CP287" s="305"/>
      <c r="CQ287" s="305"/>
      <c r="CR287" s="305"/>
      <c r="CS287" s="305"/>
      <c r="CT287" s="305"/>
      <c r="CU287" s="305"/>
      <c r="CV287" s="305"/>
      <c r="CW287" s="305"/>
      <c r="CX287" s="305"/>
      <c r="CY287" s="305"/>
      <c r="CZ287" s="305"/>
      <c r="DA287" s="305"/>
      <c r="DB287" s="305"/>
      <c r="DC287" s="305"/>
      <c r="DD287" s="305"/>
      <c r="DE287" s="305"/>
      <c r="DF287" s="305"/>
      <c r="DG287" s="305"/>
      <c r="DH287" s="305"/>
      <c r="DI287" s="305"/>
      <c r="DJ287" s="305"/>
      <c r="DK287" s="305"/>
      <c r="DL287" s="305"/>
      <c r="DM287" s="305"/>
      <c r="DN287" s="305"/>
      <c r="DO287" s="305"/>
      <c r="DP287" s="305"/>
      <c r="DQ287" s="305"/>
      <c r="DR287" s="305"/>
      <c r="DS287" s="305"/>
      <c r="DT287" s="305"/>
      <c r="DU287" s="305"/>
      <c r="DV287" s="305"/>
      <c r="DW287" s="305"/>
      <c r="DX287" s="305"/>
      <c r="DY287" s="305"/>
      <c r="DZ287" s="305"/>
      <c r="EA287" s="305"/>
      <c r="EB287" s="305"/>
      <c r="EC287" s="305"/>
      <c r="ED287" s="305"/>
      <c r="EE287" s="305"/>
      <c r="EF287" s="305"/>
      <c r="EG287" s="305"/>
      <c r="EH287" s="305"/>
      <c r="EI287" s="305"/>
      <c r="EJ287" s="305"/>
      <c r="EK287" s="305"/>
      <c r="EL287" s="305"/>
      <c r="EM287" s="305"/>
      <c r="EN287" s="305"/>
      <c r="EO287" s="305"/>
      <c r="EP287" s="305"/>
      <c r="EQ287" s="305"/>
      <c r="ER287" s="305"/>
      <c r="ES287" s="305"/>
      <c r="ET287" s="305"/>
      <c r="EU287" s="305"/>
      <c r="EV287" s="305"/>
      <c r="EW287" s="305"/>
      <c r="EX287" s="305"/>
      <c r="EY287" s="305"/>
      <c r="EZ287" s="305"/>
      <c r="FA287" s="305"/>
      <c r="FB287" s="305"/>
      <c r="FC287" s="305"/>
      <c r="FD287" s="305"/>
      <c r="FE287" s="305"/>
      <c r="FF287" s="305"/>
      <c r="FG287" s="305"/>
      <c r="FH287" s="305"/>
      <c r="FI287" s="305"/>
      <c r="FJ287" s="305"/>
    </row>
    <row r="288" ht="12.75" customHeight="1" hidden="1" spans="36:166" x14ac:dyDescent="0.25">
      <c r="AJ288" s="5"/>
      <c r="AK288" s="5"/>
      <c r="AL288" s="5"/>
      <c r="AM288" s="5"/>
      <c r="AN288" s="5"/>
      <c r="AO288" s="5"/>
      <c r="AP288" s="5"/>
      <c r="AQ288" s="305"/>
      <c r="AR288" s="305"/>
      <c r="AS288" s="305"/>
      <c r="AT288" s="305"/>
      <c r="AU288" s="305"/>
      <c r="AV288" s="305"/>
      <c r="AW288" s="305"/>
      <c r="AX288" s="305"/>
      <c r="AY288" s="305"/>
      <c r="AZ288" s="305"/>
      <c r="BA288" s="305"/>
      <c r="BB288" s="305"/>
      <c r="BC288" s="305"/>
      <c r="BD288" s="305"/>
      <c r="BE288" s="305"/>
      <c r="BF288" s="305"/>
      <c r="BG288" s="305"/>
      <c r="BH288" s="305"/>
      <c r="BI288" s="305"/>
      <c r="BJ288" s="305"/>
      <c r="BK288" s="305"/>
      <c r="BL288" s="305"/>
      <c r="BM288" s="305"/>
      <c r="BN288" s="305"/>
      <c r="BO288" s="305"/>
      <c r="BP288" s="305"/>
      <c r="BQ288" s="305"/>
      <c r="BR288" s="305"/>
      <c r="BS288" s="305"/>
      <c r="BT288" s="305"/>
      <c r="BU288" s="305"/>
      <c r="BV288" s="305"/>
      <c r="BW288" s="305"/>
      <c r="BX288" s="305"/>
      <c r="BY288" s="305"/>
      <c r="BZ288" s="305"/>
      <c r="CA288" s="305"/>
      <c r="CB288" s="305"/>
      <c r="CC288" s="305"/>
      <c r="CD288" s="305"/>
      <c r="CE288" s="305"/>
      <c r="CF288" s="305"/>
      <c r="CG288" s="305"/>
      <c r="CH288" s="305"/>
      <c r="CI288" s="305"/>
      <c r="CJ288" s="305"/>
      <c r="CK288" s="305"/>
      <c r="CL288" s="305"/>
      <c r="CM288" s="305"/>
      <c r="CN288" s="305"/>
      <c r="CO288" s="305"/>
      <c r="CP288" s="305"/>
      <c r="CQ288" s="305"/>
      <c r="CR288" s="305"/>
      <c r="CS288" s="305"/>
      <c r="CT288" s="305"/>
      <c r="CU288" s="305"/>
      <c r="CV288" s="305"/>
      <c r="CW288" s="305"/>
      <c r="CX288" s="305"/>
      <c r="CY288" s="305"/>
      <c r="CZ288" s="305"/>
      <c r="DA288" s="305"/>
      <c r="DB288" s="305"/>
      <c r="DC288" s="305"/>
      <c r="DD288" s="305"/>
      <c r="DE288" s="305"/>
      <c r="DF288" s="305"/>
      <c r="DG288" s="305"/>
      <c r="DH288" s="305"/>
      <c r="DI288" s="305"/>
      <c r="DJ288" s="305"/>
      <c r="DK288" s="305"/>
      <c r="DL288" s="305"/>
      <c r="DM288" s="305"/>
      <c r="DN288" s="305"/>
      <c r="DO288" s="305"/>
      <c r="DP288" s="305"/>
      <c r="DQ288" s="305"/>
      <c r="DR288" s="305"/>
      <c r="DS288" s="305"/>
      <c r="DT288" s="305"/>
      <c r="DU288" s="305"/>
      <c r="DV288" s="305"/>
      <c r="DW288" s="305"/>
      <c r="DX288" s="305"/>
      <c r="DY288" s="305"/>
      <c r="DZ288" s="305"/>
      <c r="EA288" s="305"/>
      <c r="EB288" s="305"/>
      <c r="EC288" s="305"/>
      <c r="ED288" s="305"/>
      <c r="EE288" s="305"/>
      <c r="EF288" s="305"/>
      <c r="EG288" s="305"/>
      <c r="EH288" s="305"/>
      <c r="EI288" s="305"/>
      <c r="EJ288" s="305"/>
      <c r="EK288" s="305"/>
      <c r="EL288" s="305"/>
      <c r="EM288" s="305"/>
      <c r="EN288" s="305"/>
      <c r="EO288" s="305"/>
      <c r="EP288" s="305"/>
      <c r="EQ288" s="305"/>
      <c r="ER288" s="305"/>
      <c r="ES288" s="305"/>
      <c r="ET288" s="305"/>
      <c r="EU288" s="305"/>
      <c r="EV288" s="305"/>
      <c r="EW288" s="305"/>
      <c r="EX288" s="305"/>
      <c r="EY288" s="305"/>
      <c r="EZ288" s="305"/>
      <c r="FA288" s="305"/>
      <c r="FB288" s="305"/>
      <c r="FC288" s="305"/>
      <c r="FD288" s="305"/>
      <c r="FE288" s="305"/>
      <c r="FF288" s="305"/>
      <c r="FG288" s="305"/>
      <c r="FH288" s="305"/>
      <c r="FI288" s="305"/>
      <c r="FJ288" s="305"/>
    </row>
    <row r="289" ht="12.75" customHeight="1" hidden="1" spans="36:166" x14ac:dyDescent="0.25">
      <c r="AJ289" s="5"/>
      <c r="AK289" s="5"/>
      <c r="AL289" s="5"/>
      <c r="AM289" s="5"/>
      <c r="AN289" s="5"/>
      <c r="AO289" s="5"/>
      <c r="AP289" s="5"/>
      <c r="AQ289" s="305"/>
      <c r="AR289" s="305"/>
      <c r="AS289" s="305"/>
      <c r="AT289" s="305"/>
      <c r="AU289" s="305"/>
      <c r="AV289" s="305"/>
      <c r="AW289" s="305"/>
      <c r="AX289" s="305"/>
      <c r="AY289" s="305"/>
      <c r="AZ289" s="305"/>
      <c r="BA289" s="305"/>
      <c r="BB289" s="305"/>
      <c r="BC289" s="305"/>
      <c r="BD289" s="305"/>
      <c r="BE289" s="305"/>
      <c r="BF289" s="305"/>
      <c r="BG289" s="305"/>
      <c r="BH289" s="305"/>
      <c r="BI289" s="305"/>
      <c r="BJ289" s="305"/>
      <c r="BK289" s="305"/>
      <c r="BL289" s="305"/>
      <c r="BM289" s="305"/>
      <c r="BN289" s="305"/>
      <c r="BO289" s="305"/>
      <c r="BP289" s="305"/>
      <c r="BQ289" s="305"/>
      <c r="BR289" s="305"/>
      <c r="BS289" s="305"/>
      <c r="BT289" s="305"/>
      <c r="BU289" s="305"/>
      <c r="BV289" s="305"/>
      <c r="BW289" s="305"/>
      <c r="BX289" s="305"/>
      <c r="BY289" s="305"/>
      <c r="BZ289" s="305"/>
      <c r="CA289" s="305"/>
      <c r="CB289" s="305"/>
      <c r="CC289" s="305"/>
      <c r="CD289" s="305"/>
      <c r="CE289" s="305"/>
      <c r="CF289" s="305"/>
      <c r="CG289" s="305"/>
      <c r="CH289" s="305"/>
      <c r="CI289" s="305"/>
      <c r="CJ289" s="305"/>
      <c r="CK289" s="305"/>
      <c r="CL289" s="305"/>
      <c r="CM289" s="305"/>
      <c r="CN289" s="305"/>
      <c r="CO289" s="305"/>
      <c r="CP289" s="305"/>
      <c r="CQ289" s="305"/>
      <c r="CR289" s="305"/>
      <c r="CS289" s="305"/>
      <c r="CT289" s="305"/>
      <c r="CU289" s="305"/>
      <c r="CV289" s="305"/>
      <c r="CW289" s="305"/>
      <c r="CX289" s="305"/>
      <c r="CY289" s="305"/>
      <c r="CZ289" s="305"/>
      <c r="DA289" s="305"/>
      <c r="DB289" s="305"/>
      <c r="DC289" s="305"/>
      <c r="DD289" s="305"/>
      <c r="DE289" s="305"/>
      <c r="DF289" s="305"/>
      <c r="DG289" s="305"/>
      <c r="DH289" s="305"/>
      <c r="DI289" s="305"/>
      <c r="DJ289" s="305"/>
      <c r="DK289" s="305"/>
      <c r="DL289" s="305"/>
      <c r="DM289" s="305"/>
      <c r="DN289" s="305"/>
      <c r="DO289" s="305"/>
      <c r="DP289" s="305"/>
      <c r="DQ289" s="305"/>
      <c r="DR289" s="305"/>
      <c r="DS289" s="305"/>
      <c r="DT289" s="305"/>
      <c r="DU289" s="305"/>
      <c r="DV289" s="305"/>
      <c r="DW289" s="305"/>
      <c r="DX289" s="305"/>
      <c r="DY289" s="305"/>
      <c r="DZ289" s="305"/>
      <c r="EA289" s="305"/>
      <c r="EB289" s="305"/>
      <c r="EC289" s="305"/>
      <c r="ED289" s="305"/>
      <c r="EE289" s="305"/>
      <c r="EF289" s="305"/>
      <c r="EG289" s="305"/>
      <c r="EH289" s="305"/>
      <c r="EI289" s="305"/>
      <c r="EJ289" s="305"/>
      <c r="EK289" s="305"/>
      <c r="EL289" s="305"/>
      <c r="EM289" s="305"/>
      <c r="EN289" s="305"/>
      <c r="EO289" s="305"/>
      <c r="EP289" s="305"/>
      <c r="EQ289" s="305"/>
      <c r="ER289" s="305"/>
      <c r="ES289" s="305"/>
      <c r="ET289" s="305"/>
      <c r="EU289" s="305"/>
      <c r="EV289" s="305"/>
      <c r="EW289" s="305"/>
      <c r="EX289" s="305"/>
      <c r="EY289" s="305"/>
      <c r="EZ289" s="305"/>
      <c r="FA289" s="305"/>
      <c r="FB289" s="305"/>
      <c r="FC289" s="305"/>
      <c r="FD289" s="305"/>
      <c r="FE289" s="305"/>
      <c r="FF289" s="305"/>
      <c r="FG289" s="305"/>
      <c r="FH289" s="305"/>
      <c r="FI289" s="305"/>
      <c r="FJ289" s="305"/>
    </row>
    <row r="290" ht="12.75" customHeight="1" hidden="1" spans="36:166" x14ac:dyDescent="0.25">
      <c r="AJ290" s="5"/>
      <c r="AK290" s="5"/>
      <c r="AL290" s="5"/>
      <c r="AM290" s="5"/>
      <c r="AN290" s="5"/>
      <c r="AO290" s="5"/>
      <c r="AP290" s="5"/>
      <c r="AQ290" s="305"/>
      <c r="AR290" s="305"/>
      <c r="AS290" s="305"/>
      <c r="AT290" s="305"/>
      <c r="AU290" s="305"/>
      <c r="AV290" s="305"/>
      <c r="AW290" s="305"/>
      <c r="AX290" s="305"/>
      <c r="AY290" s="305"/>
      <c r="AZ290" s="305"/>
      <c r="BA290" s="305"/>
      <c r="BB290" s="305"/>
      <c r="BC290" s="305"/>
      <c r="BD290" s="305"/>
      <c r="BE290" s="305"/>
      <c r="BF290" s="305"/>
      <c r="BG290" s="305"/>
      <c r="BH290" s="305"/>
      <c r="BI290" s="305"/>
      <c r="BJ290" s="305"/>
      <c r="BK290" s="305"/>
      <c r="BL290" s="305"/>
      <c r="BM290" s="305"/>
      <c r="BN290" s="305"/>
      <c r="BO290" s="305"/>
      <c r="BP290" s="305"/>
      <c r="BQ290" s="305"/>
      <c r="BR290" s="305"/>
      <c r="BS290" s="305"/>
      <c r="BT290" s="305"/>
      <c r="BU290" s="305"/>
      <c r="BV290" s="305"/>
      <c r="BW290" s="305"/>
      <c r="BX290" s="305"/>
      <c r="BY290" s="305"/>
      <c r="BZ290" s="305"/>
      <c r="CA290" s="305"/>
      <c r="CB290" s="305"/>
      <c r="CC290" s="305"/>
      <c r="CD290" s="305"/>
      <c r="CE290" s="305"/>
      <c r="CF290" s="305"/>
      <c r="CG290" s="305"/>
      <c r="CH290" s="305"/>
      <c r="CI290" s="305"/>
      <c r="CJ290" s="305"/>
      <c r="CK290" s="305"/>
      <c r="CL290" s="305"/>
      <c r="CM290" s="305"/>
      <c r="CN290" s="305"/>
      <c r="CO290" s="305"/>
      <c r="CP290" s="305"/>
      <c r="CQ290" s="305"/>
      <c r="CR290" s="305"/>
      <c r="CS290" s="305"/>
      <c r="CT290" s="305"/>
      <c r="CU290" s="305"/>
      <c r="CV290" s="305"/>
      <c r="CW290" s="305"/>
      <c r="CX290" s="305"/>
      <c r="CY290" s="305"/>
      <c r="CZ290" s="305"/>
      <c r="DA290" s="305"/>
      <c r="DB290" s="305"/>
      <c r="DC290" s="305"/>
      <c r="DD290" s="305"/>
      <c r="DE290" s="305"/>
      <c r="DF290" s="305"/>
      <c r="DG290" s="305"/>
      <c r="DH290" s="305"/>
      <c r="DI290" s="305"/>
      <c r="DJ290" s="305"/>
      <c r="DK290" s="305"/>
      <c r="DL290" s="305"/>
      <c r="DM290" s="305"/>
      <c r="DN290" s="305"/>
      <c r="DO290" s="305"/>
      <c r="DP290" s="305"/>
      <c r="DQ290" s="305"/>
      <c r="DR290" s="305"/>
      <c r="DS290" s="305"/>
      <c r="DT290" s="305"/>
      <c r="DU290" s="305"/>
      <c r="DV290" s="305"/>
      <c r="DW290" s="305"/>
      <c r="DX290" s="305"/>
      <c r="DY290" s="305"/>
      <c r="DZ290" s="305"/>
      <c r="EA290" s="305"/>
      <c r="EB290" s="305"/>
      <c r="EC290" s="305"/>
      <c r="ED290" s="305"/>
      <c r="EE290" s="305"/>
      <c r="EF290" s="305"/>
      <c r="EG290" s="305"/>
      <c r="EH290" s="305"/>
      <c r="EI290" s="305"/>
      <c r="EJ290" s="305"/>
      <c r="EK290" s="305"/>
      <c r="EL290" s="305"/>
      <c r="EM290" s="305"/>
      <c r="EN290" s="305"/>
      <c r="EO290" s="305"/>
      <c r="EP290" s="305"/>
      <c r="EQ290" s="305"/>
      <c r="ER290" s="305"/>
      <c r="ES290" s="305"/>
      <c r="ET290" s="305"/>
      <c r="EU290" s="305"/>
      <c r="EV290" s="305"/>
      <c r="EW290" s="305"/>
      <c r="EX290" s="305"/>
      <c r="EY290" s="305"/>
      <c r="EZ290" s="305"/>
      <c r="FA290" s="305"/>
      <c r="FB290" s="305"/>
      <c r="FC290" s="305"/>
      <c r="FD290" s="305"/>
      <c r="FE290" s="305"/>
      <c r="FF290" s="305"/>
      <c r="FG290" s="305"/>
      <c r="FH290" s="305"/>
      <c r="FI290" s="305"/>
      <c r="FJ290" s="305"/>
    </row>
    <row r="291" ht="12.75" customHeight="1" hidden="1" spans="36:166" x14ac:dyDescent="0.25">
      <c r="AJ291" s="5"/>
      <c r="AK291" s="5"/>
      <c r="AL291" s="5"/>
      <c r="AM291" s="5"/>
      <c r="AN291" s="5"/>
      <c r="AO291" s="5"/>
      <c r="AP291" s="5"/>
      <c r="AQ291" s="305"/>
      <c r="AR291" s="305"/>
      <c r="AS291" s="305"/>
      <c r="AT291" s="305"/>
      <c r="AU291" s="305"/>
      <c r="AV291" s="305"/>
      <c r="AW291" s="305"/>
      <c r="AX291" s="305"/>
      <c r="AY291" s="305"/>
      <c r="AZ291" s="305"/>
      <c r="BA291" s="305"/>
      <c r="BB291" s="305"/>
      <c r="BC291" s="305"/>
      <c r="BD291" s="305"/>
      <c r="BE291" s="305"/>
      <c r="BF291" s="305"/>
      <c r="BG291" s="305"/>
      <c r="BH291" s="305"/>
      <c r="BI291" s="305"/>
      <c r="BJ291" s="305"/>
      <c r="BK291" s="305"/>
      <c r="BL291" s="305"/>
      <c r="BM291" s="305"/>
      <c r="BN291" s="305"/>
      <c r="BO291" s="305"/>
      <c r="BP291" s="305"/>
      <c r="BQ291" s="305"/>
      <c r="BR291" s="305"/>
      <c r="BS291" s="305"/>
      <c r="BT291" s="305"/>
      <c r="BU291" s="305"/>
      <c r="BV291" s="305"/>
      <c r="BW291" s="305"/>
      <c r="BX291" s="305"/>
      <c r="BY291" s="305"/>
      <c r="BZ291" s="305"/>
      <c r="CA291" s="305"/>
      <c r="CB291" s="305"/>
      <c r="CC291" s="305"/>
      <c r="CD291" s="305"/>
      <c r="CE291" s="305"/>
      <c r="CF291" s="305"/>
      <c r="CG291" s="305"/>
      <c r="CH291" s="305"/>
      <c r="CI291" s="305"/>
      <c r="CJ291" s="305"/>
      <c r="CK291" s="305"/>
      <c r="CL291" s="305"/>
      <c r="CM291" s="305"/>
      <c r="CN291" s="305"/>
      <c r="CO291" s="305"/>
      <c r="CP291" s="305"/>
      <c r="CQ291" s="305"/>
      <c r="CR291" s="305"/>
      <c r="CS291" s="305"/>
      <c r="CT291" s="305"/>
      <c r="CU291" s="305"/>
      <c r="CV291" s="305"/>
      <c r="CW291" s="305"/>
      <c r="CX291" s="305"/>
      <c r="CY291" s="305"/>
      <c r="CZ291" s="305"/>
      <c r="DA291" s="305"/>
      <c r="DB291" s="305"/>
      <c r="DC291" s="305"/>
      <c r="DD291" s="305"/>
      <c r="DE291" s="305"/>
      <c r="DF291" s="305"/>
      <c r="DG291" s="305"/>
      <c r="DH291" s="305"/>
      <c r="DI291" s="305"/>
      <c r="DJ291" s="305"/>
      <c r="DK291" s="305"/>
      <c r="DL291" s="305"/>
      <c r="DM291" s="305"/>
      <c r="DN291" s="305"/>
      <c r="DO291" s="305"/>
      <c r="DP291" s="305"/>
      <c r="DQ291" s="305"/>
      <c r="DR291" s="305"/>
      <c r="DS291" s="305"/>
      <c r="DT291" s="305"/>
      <c r="DU291" s="305"/>
      <c r="DV291" s="305"/>
      <c r="DW291" s="305"/>
      <c r="DX291" s="305"/>
      <c r="DY291" s="305"/>
      <c r="DZ291" s="305"/>
      <c r="EA291" s="305"/>
      <c r="EB291" s="305"/>
      <c r="EC291" s="305"/>
      <c r="ED291" s="305"/>
      <c r="EE291" s="305"/>
      <c r="EF291" s="305"/>
      <c r="EG291" s="305"/>
      <c r="EH291" s="305"/>
      <c r="EI291" s="305"/>
      <c r="EJ291" s="305"/>
      <c r="EK291" s="305"/>
      <c r="EL291" s="305"/>
      <c r="EM291" s="305"/>
      <c r="EN291" s="305"/>
      <c r="EO291" s="305"/>
      <c r="EP291" s="305"/>
      <c r="EQ291" s="305"/>
      <c r="ER291" s="305"/>
      <c r="ES291" s="305"/>
      <c r="ET291" s="305"/>
      <c r="EU291" s="305"/>
      <c r="EV291" s="305"/>
      <c r="EW291" s="305"/>
      <c r="EX291" s="305"/>
      <c r="EY291" s="305"/>
      <c r="EZ291" s="305"/>
      <c r="FA291" s="305"/>
      <c r="FB291" s="305"/>
      <c r="FC291" s="305"/>
      <c r="FD291" s="305"/>
      <c r="FE291" s="305"/>
      <c r="FF291" s="305"/>
      <c r="FG291" s="305"/>
      <c r="FH291" s="305"/>
      <c r="FI291" s="305"/>
      <c r="FJ291" s="305"/>
    </row>
    <row r="292" ht="12.75" customHeight="1" hidden="1" spans="36:166" x14ac:dyDescent="0.25">
      <c r="AJ292" s="5"/>
      <c r="AK292" s="5"/>
      <c r="AL292" s="5"/>
      <c r="AM292" s="5"/>
      <c r="AN292" s="5"/>
      <c r="AO292" s="5"/>
      <c r="AP292" s="5"/>
      <c r="AQ292" s="305"/>
      <c r="AR292" s="305"/>
      <c r="AS292" s="305"/>
      <c r="AT292" s="305"/>
      <c r="AU292" s="305"/>
      <c r="AV292" s="305"/>
      <c r="AW292" s="305"/>
      <c r="AX292" s="305"/>
      <c r="AY292" s="305"/>
      <c r="AZ292" s="305"/>
      <c r="BA292" s="305"/>
      <c r="BB292" s="305"/>
      <c r="BC292" s="305"/>
      <c r="BD292" s="305"/>
      <c r="BE292" s="305"/>
      <c r="BF292" s="305"/>
      <c r="BG292" s="305"/>
      <c r="BH292" s="305"/>
      <c r="BI292" s="305"/>
      <c r="BJ292" s="305"/>
      <c r="BK292" s="305"/>
      <c r="BL292" s="305"/>
      <c r="BM292" s="305"/>
      <c r="BN292" s="305"/>
      <c r="BO292" s="305"/>
      <c r="BP292" s="305"/>
      <c r="BQ292" s="305"/>
      <c r="BR292" s="305"/>
      <c r="BS292" s="305"/>
      <c r="BT292" s="305"/>
      <c r="BU292" s="305"/>
      <c r="BV292" s="305"/>
      <c r="BW292" s="305"/>
      <c r="BX292" s="305"/>
      <c r="BY292" s="305"/>
      <c r="BZ292" s="305"/>
      <c r="CA292" s="305"/>
      <c r="CB292" s="305"/>
      <c r="CC292" s="305"/>
      <c r="CD292" s="305"/>
      <c r="CE292" s="305"/>
      <c r="CF292" s="305"/>
      <c r="CG292" s="305"/>
      <c r="CH292" s="305"/>
      <c r="CI292" s="305"/>
      <c r="CJ292" s="305"/>
      <c r="CK292" s="305"/>
      <c r="CL292" s="305"/>
      <c r="CM292" s="305"/>
      <c r="CN292" s="305"/>
      <c r="CO292" s="305"/>
      <c r="CP292" s="305"/>
      <c r="CQ292" s="305"/>
      <c r="CR292" s="305"/>
      <c r="CS292" s="305"/>
      <c r="CT292" s="305"/>
      <c r="CU292" s="305"/>
      <c r="CV292" s="305"/>
      <c r="CW292" s="305"/>
      <c r="CX292" s="305"/>
      <c r="CY292" s="305"/>
      <c r="CZ292" s="305"/>
      <c r="DA292" s="305"/>
      <c r="DB292" s="305"/>
      <c r="DC292" s="305"/>
      <c r="DD292" s="305"/>
      <c r="DE292" s="305"/>
      <c r="DF292" s="305"/>
      <c r="DG292" s="305"/>
      <c r="DH292" s="305"/>
      <c r="DI292" s="305"/>
      <c r="DJ292" s="305"/>
      <c r="DK292" s="305"/>
      <c r="DL292" s="305"/>
      <c r="DM292" s="305"/>
      <c r="DN292" s="305"/>
      <c r="DO292" s="305"/>
      <c r="DP292" s="305"/>
      <c r="DQ292" s="305"/>
      <c r="DR292" s="305"/>
      <c r="DS292" s="305"/>
      <c r="DT292" s="305"/>
      <c r="DU292" s="305"/>
      <c r="DV292" s="305"/>
      <c r="DW292" s="305"/>
      <c r="DX292" s="305"/>
      <c r="DY292" s="305"/>
      <c r="DZ292" s="305"/>
      <c r="EA292" s="305"/>
      <c r="EB292" s="305"/>
      <c r="EC292" s="305"/>
      <c r="ED292" s="305"/>
      <c r="EE292" s="305"/>
      <c r="EF292" s="305"/>
      <c r="EG292" s="305"/>
      <c r="EH292" s="305"/>
      <c r="EI292" s="305"/>
      <c r="EJ292" s="305"/>
      <c r="EK292" s="305"/>
      <c r="EL292" s="305"/>
      <c r="EM292" s="305"/>
      <c r="EN292" s="305"/>
      <c r="EO292" s="305"/>
      <c r="EP292" s="305"/>
      <c r="EQ292" s="305"/>
      <c r="ER292" s="305"/>
      <c r="ES292" s="305"/>
      <c r="ET292" s="305"/>
      <c r="EU292" s="305"/>
      <c r="EV292" s="305"/>
      <c r="EW292" s="305"/>
      <c r="EX292" s="305"/>
      <c r="EY292" s="305"/>
      <c r="EZ292" s="305"/>
      <c r="FA292" s="305"/>
      <c r="FB292" s="305"/>
      <c r="FC292" s="305"/>
      <c r="FD292" s="305"/>
      <c r="FE292" s="305"/>
      <c r="FF292" s="305"/>
      <c r="FG292" s="305"/>
      <c r="FH292" s="305"/>
      <c r="FI292" s="305"/>
      <c r="FJ292" s="305"/>
    </row>
    <row r="293" ht="12.75" customHeight="1" hidden="1" spans="36:166" x14ac:dyDescent="0.25">
      <c r="AJ293" s="5"/>
      <c r="AK293" s="5"/>
      <c r="AL293" s="5"/>
      <c r="AM293" s="5"/>
      <c r="AN293" s="5"/>
      <c r="AO293" s="5"/>
      <c r="AP293" s="5"/>
      <c r="AQ293" s="305"/>
      <c r="AR293" s="305"/>
      <c r="AS293" s="305"/>
      <c r="AT293" s="305"/>
      <c r="AU293" s="305"/>
      <c r="AV293" s="305"/>
      <c r="AW293" s="305"/>
      <c r="AX293" s="305"/>
      <c r="AY293" s="305"/>
      <c r="AZ293" s="305"/>
      <c r="BA293" s="305"/>
      <c r="BB293" s="305"/>
      <c r="BC293" s="305"/>
      <c r="BD293" s="305"/>
      <c r="BE293" s="305"/>
      <c r="BF293" s="305"/>
      <c r="BG293" s="305"/>
      <c r="BH293" s="305"/>
      <c r="BI293" s="305"/>
      <c r="BJ293" s="305"/>
      <c r="BK293" s="305"/>
      <c r="BL293" s="305"/>
      <c r="BM293" s="305"/>
      <c r="BN293" s="305"/>
      <c r="BO293" s="305"/>
      <c r="BP293" s="305"/>
      <c r="BQ293" s="305"/>
      <c r="BR293" s="305"/>
      <c r="BS293" s="305"/>
      <c r="BT293" s="305"/>
      <c r="BU293" s="305"/>
      <c r="BV293" s="305"/>
      <c r="BW293" s="305"/>
      <c r="BX293" s="305"/>
      <c r="BY293" s="305"/>
      <c r="BZ293" s="305"/>
      <c r="CA293" s="305"/>
      <c r="CB293" s="305"/>
      <c r="CC293" s="305"/>
      <c r="CD293" s="305"/>
      <c r="CE293" s="305"/>
      <c r="CF293" s="305"/>
      <c r="CG293" s="305"/>
      <c r="CH293" s="305"/>
      <c r="CI293" s="305"/>
      <c r="CJ293" s="305"/>
      <c r="CK293" s="305"/>
      <c r="CL293" s="305"/>
      <c r="CM293" s="305"/>
      <c r="CN293" s="305"/>
      <c r="CO293" s="305"/>
      <c r="CP293" s="305"/>
      <c r="CQ293" s="305"/>
      <c r="CR293" s="305"/>
      <c r="CS293" s="305"/>
      <c r="CT293" s="305"/>
      <c r="CU293" s="305"/>
      <c r="CV293" s="305"/>
      <c r="CW293" s="305"/>
      <c r="CX293" s="305"/>
      <c r="CY293" s="305"/>
      <c r="CZ293" s="305"/>
      <c r="DA293" s="305"/>
      <c r="DB293" s="305"/>
      <c r="DC293" s="305"/>
      <c r="DD293" s="305"/>
      <c r="DE293" s="305"/>
      <c r="DF293" s="305"/>
      <c r="DG293" s="305"/>
      <c r="DH293" s="305"/>
      <c r="DI293" s="305"/>
      <c r="DJ293" s="305"/>
      <c r="DK293" s="305"/>
      <c r="DL293" s="305"/>
      <c r="DM293" s="305"/>
      <c r="DN293" s="305"/>
      <c r="DO293" s="305"/>
      <c r="DP293" s="305"/>
      <c r="DQ293" s="305"/>
      <c r="DR293" s="305"/>
      <c r="DS293" s="305"/>
      <c r="DT293" s="305"/>
      <c r="DU293" s="305"/>
      <c r="DV293" s="305"/>
      <c r="DW293" s="305"/>
      <c r="DX293" s="305"/>
      <c r="DY293" s="305"/>
      <c r="DZ293" s="305"/>
      <c r="EA293" s="305"/>
      <c r="EB293" s="305"/>
      <c r="EC293" s="305"/>
      <c r="ED293" s="305"/>
      <c r="EE293" s="305"/>
      <c r="EF293" s="305"/>
      <c r="EG293" s="305"/>
      <c r="EH293" s="305"/>
      <c r="EI293" s="305"/>
      <c r="EJ293" s="305"/>
      <c r="EK293" s="305"/>
      <c r="EL293" s="305"/>
      <c r="EM293" s="305"/>
      <c r="EN293" s="305"/>
      <c r="EO293" s="305"/>
      <c r="EP293" s="305"/>
      <c r="EQ293" s="305"/>
      <c r="ER293" s="305"/>
      <c r="ES293" s="305"/>
      <c r="ET293" s="305"/>
      <c r="EU293" s="305"/>
      <c r="EV293" s="305"/>
      <c r="EW293" s="305"/>
      <c r="EX293" s="305"/>
      <c r="EY293" s="305"/>
      <c r="EZ293" s="305"/>
      <c r="FA293" s="305"/>
      <c r="FB293" s="305"/>
      <c r="FC293" s="305"/>
      <c r="FD293" s="305"/>
      <c r="FE293" s="305"/>
      <c r="FF293" s="305"/>
      <c r="FG293" s="305"/>
      <c r="FH293" s="305"/>
      <c r="FI293" s="305"/>
      <c r="FJ293" s="305"/>
    </row>
    <row r="294" ht="12.75" customHeight="1" hidden="1" spans="36:166" x14ac:dyDescent="0.25">
      <c r="AJ294" s="5"/>
      <c r="AK294" s="5"/>
      <c r="AL294" s="5"/>
      <c r="AM294" s="5"/>
      <c r="AN294" s="5"/>
      <c r="AO294" s="5"/>
      <c r="AP294" s="5"/>
      <c r="AQ294" s="305"/>
      <c r="AR294" s="305"/>
      <c r="AS294" s="305"/>
      <c r="AT294" s="305"/>
      <c r="AU294" s="305"/>
      <c r="AV294" s="305"/>
      <c r="AW294" s="305"/>
      <c r="AX294" s="305"/>
      <c r="AY294" s="305"/>
      <c r="AZ294" s="305"/>
      <c r="BA294" s="305"/>
      <c r="BB294" s="305"/>
      <c r="BC294" s="305"/>
      <c r="BD294" s="305"/>
      <c r="BE294" s="305"/>
      <c r="BF294" s="305"/>
      <c r="BG294" s="305"/>
      <c r="BH294" s="305"/>
      <c r="BI294" s="305"/>
      <c r="BJ294" s="305"/>
      <c r="BK294" s="305"/>
      <c r="BL294" s="305"/>
      <c r="BM294" s="305"/>
      <c r="BN294" s="305"/>
      <c r="BO294" s="305"/>
      <c r="BP294" s="305"/>
      <c r="BQ294" s="305"/>
      <c r="BR294" s="305"/>
      <c r="BS294" s="305"/>
      <c r="BT294" s="305"/>
      <c r="BU294" s="305"/>
      <c r="BV294" s="305"/>
      <c r="BW294" s="305"/>
      <c r="BX294" s="305"/>
      <c r="BY294" s="305"/>
      <c r="BZ294" s="305"/>
      <c r="CA294" s="305"/>
      <c r="CB294" s="305"/>
      <c r="CC294" s="305"/>
      <c r="CD294" s="305"/>
      <c r="CE294" s="305"/>
      <c r="CF294" s="305"/>
      <c r="CG294" s="305"/>
      <c r="CH294" s="305"/>
      <c r="CI294" s="305"/>
      <c r="CJ294" s="305"/>
      <c r="CK294" s="305"/>
      <c r="CL294" s="305"/>
      <c r="CM294" s="305"/>
      <c r="CN294" s="305"/>
      <c r="CO294" s="305"/>
      <c r="CP294" s="305"/>
      <c r="CQ294" s="305"/>
      <c r="CR294" s="305"/>
      <c r="CS294" s="305"/>
      <c r="CT294" s="305"/>
      <c r="CU294" s="305"/>
      <c r="CV294" s="305"/>
      <c r="CW294" s="305"/>
      <c r="CX294" s="305"/>
      <c r="CY294" s="305"/>
      <c r="CZ294" s="305"/>
      <c r="DA294" s="305"/>
      <c r="DB294" s="305"/>
      <c r="DC294" s="305"/>
      <c r="DD294" s="305"/>
      <c r="DE294" s="305"/>
      <c r="DF294" s="305"/>
      <c r="DG294" s="305"/>
      <c r="DH294" s="305"/>
      <c r="DI294" s="305"/>
      <c r="DJ294" s="305"/>
      <c r="DK294" s="305"/>
      <c r="DL294" s="305"/>
      <c r="DM294" s="305"/>
      <c r="DN294" s="305"/>
      <c r="DO294" s="305"/>
      <c r="DP294" s="305"/>
      <c r="DQ294" s="305"/>
      <c r="DR294" s="305"/>
      <c r="DS294" s="305"/>
      <c r="DT294" s="305"/>
      <c r="DU294" s="305"/>
      <c r="DV294" s="305"/>
      <c r="DW294" s="305"/>
      <c r="DX294" s="305"/>
      <c r="DY294" s="305"/>
      <c r="DZ294" s="305"/>
      <c r="EA294" s="305"/>
      <c r="EB294" s="305"/>
      <c r="EC294" s="305"/>
      <c r="ED294" s="305"/>
      <c r="EE294" s="305"/>
      <c r="EF294" s="305"/>
      <c r="EG294" s="305"/>
      <c r="EH294" s="305"/>
      <c r="EI294" s="305"/>
      <c r="EJ294" s="305"/>
      <c r="EK294" s="305"/>
      <c r="EL294" s="305"/>
      <c r="EM294" s="305"/>
      <c r="EN294" s="305"/>
      <c r="EO294" s="305"/>
      <c r="EP294" s="305"/>
      <c r="EQ294" s="305"/>
      <c r="ER294" s="305"/>
      <c r="ES294" s="305"/>
      <c r="ET294" s="305"/>
      <c r="EU294" s="305"/>
      <c r="EV294" s="305"/>
      <c r="EW294" s="305"/>
      <c r="EX294" s="305"/>
      <c r="EY294" s="305"/>
      <c r="EZ294" s="305"/>
      <c r="FA294" s="305"/>
      <c r="FB294" s="305"/>
      <c r="FC294" s="305"/>
      <c r="FD294" s="305"/>
      <c r="FE294" s="305"/>
      <c r="FF294" s="305"/>
      <c r="FG294" s="305"/>
      <c r="FH294" s="305"/>
      <c r="FI294" s="305"/>
      <c r="FJ294" s="305"/>
    </row>
    <row r="295" ht="12.75" customHeight="1" hidden="1" spans="36:166" x14ac:dyDescent="0.25">
      <c r="AJ295" s="5"/>
      <c r="AK295" s="5"/>
      <c r="AL295" s="5"/>
      <c r="AM295" s="5"/>
      <c r="AN295" s="5"/>
      <c r="AO295" s="5"/>
      <c r="AP295" s="5"/>
      <c r="AQ295" s="305"/>
      <c r="AR295" s="305"/>
      <c r="AS295" s="305"/>
      <c r="AT295" s="305"/>
      <c r="AU295" s="305"/>
      <c r="AV295" s="305"/>
      <c r="AW295" s="305"/>
      <c r="AX295" s="305"/>
      <c r="AY295" s="305"/>
      <c r="AZ295" s="305"/>
      <c r="BA295" s="305"/>
      <c r="BB295" s="305"/>
      <c r="BC295" s="305"/>
      <c r="BD295" s="305"/>
      <c r="BE295" s="305"/>
      <c r="BF295" s="305"/>
      <c r="BG295" s="305"/>
      <c r="BH295" s="305"/>
      <c r="BI295" s="305"/>
      <c r="BJ295" s="305"/>
      <c r="BK295" s="305"/>
      <c r="BL295" s="305"/>
      <c r="BM295" s="305"/>
      <c r="BN295" s="305"/>
      <c r="BO295" s="305"/>
      <c r="BP295" s="305"/>
      <c r="BQ295" s="305"/>
      <c r="BR295" s="305"/>
      <c r="BS295" s="305"/>
      <c r="BT295" s="305"/>
      <c r="BU295" s="305"/>
      <c r="BV295" s="305"/>
      <c r="BW295" s="305"/>
      <c r="BX295" s="305"/>
      <c r="BY295" s="305"/>
      <c r="BZ295" s="305"/>
      <c r="CA295" s="305"/>
      <c r="CB295" s="305"/>
      <c r="CC295" s="305"/>
      <c r="CD295" s="305"/>
      <c r="CE295" s="305"/>
      <c r="CF295" s="305"/>
      <c r="CG295" s="305"/>
      <c r="CH295" s="305"/>
      <c r="CI295" s="305"/>
      <c r="CJ295" s="305"/>
      <c r="CK295" s="305"/>
      <c r="CL295" s="305"/>
      <c r="CM295" s="305"/>
      <c r="CN295" s="305"/>
      <c r="CO295" s="305"/>
      <c r="CP295" s="305"/>
      <c r="CQ295" s="305"/>
      <c r="CR295" s="305"/>
      <c r="CS295" s="305"/>
      <c r="CT295" s="305"/>
      <c r="CU295" s="305"/>
      <c r="CV295" s="305"/>
      <c r="CW295" s="305"/>
      <c r="CX295" s="305"/>
      <c r="CY295" s="305"/>
      <c r="CZ295" s="305"/>
      <c r="DA295" s="305"/>
      <c r="DB295" s="305"/>
      <c r="DC295" s="305"/>
      <c r="DD295" s="305"/>
      <c r="DE295" s="305"/>
      <c r="DF295" s="305"/>
      <c r="DG295" s="305"/>
      <c r="DH295" s="305"/>
      <c r="DI295" s="305"/>
      <c r="DJ295" s="305"/>
      <c r="DK295" s="305"/>
      <c r="DL295" s="305"/>
      <c r="DM295" s="305"/>
      <c r="DN295" s="305"/>
      <c r="DO295" s="305"/>
      <c r="DP295" s="305"/>
      <c r="DQ295" s="305"/>
      <c r="DR295" s="305"/>
      <c r="DS295" s="305"/>
      <c r="DT295" s="305"/>
      <c r="DU295" s="305"/>
      <c r="DV295" s="305"/>
      <c r="DW295" s="305"/>
      <c r="DX295" s="305"/>
      <c r="DY295" s="305"/>
      <c r="DZ295" s="305"/>
      <c r="EA295" s="305"/>
      <c r="EB295" s="305"/>
      <c r="EC295" s="305"/>
      <c r="ED295" s="305"/>
      <c r="EE295" s="305"/>
      <c r="EF295" s="305"/>
      <c r="EG295" s="305"/>
      <c r="EH295" s="305"/>
      <c r="EI295" s="305"/>
      <c r="EJ295" s="305"/>
      <c r="EK295" s="305"/>
      <c r="EL295" s="305"/>
      <c r="EM295" s="305"/>
      <c r="EN295" s="305"/>
      <c r="EO295" s="305"/>
      <c r="EP295" s="305"/>
      <c r="EQ295" s="305"/>
      <c r="ER295" s="305"/>
      <c r="ES295" s="305"/>
      <c r="ET295" s="305"/>
      <c r="EU295" s="305"/>
      <c r="EV295" s="305"/>
      <c r="EW295" s="305"/>
      <c r="EX295" s="305"/>
      <c r="EY295" s="305"/>
      <c r="EZ295" s="305"/>
      <c r="FA295" s="305"/>
      <c r="FB295" s="305"/>
      <c r="FC295" s="305"/>
      <c r="FD295" s="305"/>
      <c r="FE295" s="305"/>
      <c r="FF295" s="305"/>
      <c r="FG295" s="305"/>
      <c r="FH295" s="305"/>
      <c r="FI295" s="305"/>
      <c r="FJ295" s="305"/>
    </row>
    <row r="296" ht="12.75" customHeight="1" hidden="1" spans="36:132" x14ac:dyDescent="0.25">
      <c r="AJ296" s="5"/>
      <c r="AK296" s="5"/>
      <c r="AL296" s="5"/>
      <c r="AM296" s="5"/>
      <c r="AN296" s="5"/>
      <c r="AO296" s="5"/>
      <c r="AP296" s="5"/>
      <c r="AS296" s="5"/>
      <c r="AT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row>
    <row r="297" ht="12.75" customHeight="1" hidden="1" spans="36:132" x14ac:dyDescent="0.25">
      <c r="AJ297" s="5"/>
      <c r="AK297" s="5"/>
      <c r="AL297" s="5"/>
      <c r="AM297" s="5"/>
      <c r="AN297" s="5"/>
      <c r="AO297" s="5"/>
      <c r="AP297" s="5"/>
      <c r="AS297" s="5"/>
      <c r="AT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row>
    <row r="298" ht="12.75" customHeight="1" hidden="1" spans="36:132" x14ac:dyDescent="0.25">
      <c r="AJ298" s="5"/>
      <c r="AK298" s="5"/>
      <c r="AL298" s="5"/>
      <c r="AM298" s="5"/>
      <c r="AN298" s="5"/>
      <c r="AO298" s="5"/>
      <c r="AP298" s="5"/>
      <c r="AS298" s="5"/>
      <c r="AT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row>
    <row r="299" ht="12.75" customHeight="1" hidden="1" spans="36:132" x14ac:dyDescent="0.25">
      <c r="AJ299" s="5"/>
      <c r="AK299" s="5"/>
      <c r="AL299" s="5"/>
      <c r="AM299" s="5"/>
      <c r="AN299" s="5"/>
      <c r="AO299" s="5"/>
      <c r="AP299" s="5"/>
      <c r="AS299" s="5"/>
      <c r="AT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row>
    <row r="300" ht="12.75" customHeight="1" hidden="1" spans="36:132" x14ac:dyDescent="0.25">
      <c r="AJ300" s="5"/>
      <c r="AK300" s="5"/>
      <c r="AL300" s="5"/>
      <c r="AM300" s="5"/>
      <c r="AN300" s="5"/>
      <c r="AO300" s="5"/>
      <c r="AP300" s="5"/>
      <c r="AS300" s="5"/>
      <c r="AT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row>
    <row r="301" ht="12.75" customHeight="1" hidden="1" spans="36:132" x14ac:dyDescent="0.25">
      <c r="AJ301" s="5"/>
      <c r="AK301" s="5"/>
      <c r="AL301" s="5"/>
      <c r="AM301" s="5"/>
      <c r="AN301" s="5"/>
      <c r="AO301" s="5"/>
      <c r="AP301" s="5"/>
      <c r="AS301" s="5"/>
      <c r="AT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row>
    <row r="302" ht="12.75" customHeight="1" hidden="1" spans="36:132" x14ac:dyDescent="0.25">
      <c r="AJ302" s="5"/>
      <c r="AK302" s="5"/>
      <c r="AL302" s="5"/>
      <c r="AM302" s="5"/>
      <c r="AN302" s="5"/>
      <c r="AO302" s="5"/>
      <c r="AP302" s="5"/>
      <c r="AS302" s="5"/>
      <c r="AT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row>
    <row r="303" ht="12.75" customHeight="1" hidden="1" spans="36:132" x14ac:dyDescent="0.25">
      <c r="AJ303" s="5"/>
      <c r="AK303" s="5"/>
      <c r="AL303" s="5"/>
      <c r="AM303" s="5"/>
      <c r="AN303" s="5"/>
      <c r="AO303" s="5"/>
      <c r="AP303" s="5"/>
      <c r="AS303" s="5"/>
      <c r="AT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row>
    <row r="304" ht="12.75" customHeight="1" hidden="1" spans="36:132" x14ac:dyDescent="0.25">
      <c r="AJ304" s="5"/>
      <c r="AK304" s="5"/>
      <c r="AL304" s="5"/>
      <c r="AM304" s="5"/>
      <c r="AN304" s="5"/>
      <c r="AO304" s="5"/>
      <c r="AP304" s="5"/>
      <c r="AS304" s="5"/>
      <c r="AT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row>
    <row r="305" ht="12.75" customHeight="1" hidden="1" spans="36:132" x14ac:dyDescent="0.25">
      <c r="AJ305" s="5"/>
      <c r="AK305" s="5"/>
      <c r="AL305" s="5"/>
      <c r="AM305" s="5"/>
      <c r="AN305" s="5"/>
      <c r="AO305" s="5"/>
      <c r="AP305" s="5"/>
      <c r="AS305" s="5"/>
      <c r="AT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row>
    <row r="306" ht="12.75" customHeight="1" hidden="1" spans="36:132" x14ac:dyDescent="0.25">
      <c r="AJ306" s="5"/>
      <c r="AK306" s="5"/>
      <c r="AL306" s="5"/>
      <c r="AM306" s="5"/>
      <c r="AN306" s="5"/>
      <c r="AO306" s="5"/>
      <c r="AP306" s="5"/>
      <c r="AS306" s="5"/>
      <c r="AT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row>
    <row r="307" ht="12.75" customHeight="1" hidden="1" spans="36:132" x14ac:dyDescent="0.25">
      <c r="AJ307" s="5"/>
      <c r="AK307" s="5"/>
      <c r="AL307" s="5"/>
      <c r="AM307" s="5"/>
      <c r="AN307" s="5"/>
      <c r="AO307" s="5"/>
      <c r="AP307" s="5"/>
      <c r="AS307" s="5"/>
      <c r="AT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row>
    <row r="308" ht="12.75" customHeight="1" hidden="1" spans="36:132" x14ac:dyDescent="0.25">
      <c r="AJ308" s="5"/>
      <c r="AK308" s="5"/>
      <c r="AL308" s="5"/>
      <c r="AM308" s="5"/>
      <c r="AN308" s="5"/>
      <c r="AO308" s="5"/>
      <c r="AP308" s="5"/>
      <c r="AS308" s="5"/>
      <c r="AT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row>
    <row r="309" ht="12.75" customHeight="1" hidden="1" spans="36:132" x14ac:dyDescent="0.25">
      <c r="AJ309" s="5"/>
      <c r="AK309" s="5"/>
      <c r="AL309" s="5"/>
      <c r="AM309" s="5"/>
      <c r="AN309" s="5"/>
      <c r="AO309" s="5"/>
      <c r="AP309" s="5"/>
      <c r="AS309" s="5"/>
      <c r="AT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row>
    <row r="310" ht="12.75" customHeight="1" hidden="1" spans="36:132" x14ac:dyDescent="0.25">
      <c r="AJ310" s="5"/>
      <c r="AK310" s="5"/>
      <c r="AL310" s="5"/>
      <c r="AM310" s="5"/>
      <c r="AN310" s="5"/>
      <c r="AO310" s="5"/>
      <c r="AP310" s="5"/>
      <c r="AS310" s="5"/>
      <c r="AT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row>
    <row r="311" ht="12.75" customHeight="1" hidden="1" spans="36:132" x14ac:dyDescent="0.25">
      <c r="AJ311" s="5"/>
      <c r="AK311" s="5"/>
      <c r="AL311" s="5"/>
      <c r="AM311" s="5"/>
      <c r="AN311" s="5"/>
      <c r="AO311" s="5"/>
      <c r="AP311" s="5"/>
      <c r="AS311" s="5"/>
      <c r="AT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row>
    <row r="312" ht="12.75" customHeight="1" hidden="1" spans="36:132" x14ac:dyDescent="0.25">
      <c r="AJ312" s="5"/>
      <c r="AK312" s="5"/>
      <c r="AL312" s="5"/>
      <c r="AM312" s="5"/>
      <c r="AN312" s="5"/>
      <c r="AO312" s="5"/>
      <c r="AP312" s="5"/>
      <c r="AS312" s="5"/>
      <c r="AT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row>
    <row r="313" ht="12.75" customHeight="1" hidden="1" spans="36:132" x14ac:dyDescent="0.25">
      <c r="AJ313" s="5"/>
      <c r="AK313" s="5"/>
      <c r="AL313" s="5"/>
      <c r="AM313" s="5"/>
      <c r="AN313" s="5"/>
      <c r="AO313" s="5"/>
      <c r="AP313" s="5"/>
      <c r="AS313" s="5"/>
      <c r="AT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row>
    <row r="314" ht="12.75" customHeight="1" hidden="1" spans="36:132" x14ac:dyDescent="0.25">
      <c r="AJ314" s="5"/>
      <c r="AK314" s="5"/>
      <c r="AL314" s="5"/>
      <c r="AM314" s="5"/>
      <c r="AN314" s="5"/>
      <c r="AO314" s="5"/>
      <c r="AP314" s="5"/>
      <c r="AS314" s="5"/>
      <c r="AT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row>
    <row r="315" ht="12.75" customHeight="1" hidden="1" spans="36:132" x14ac:dyDescent="0.25">
      <c r="AJ315" s="5"/>
      <c r="AK315" s="5"/>
      <c r="AL315" s="5"/>
      <c r="AM315" s="5"/>
      <c r="AN315" s="5"/>
      <c r="AO315" s="5"/>
      <c r="AP315" s="5"/>
      <c r="AS315" s="5"/>
      <c r="AT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row>
    <row r="316" ht="12.75" customHeight="1" hidden="1" spans="36:132" x14ac:dyDescent="0.25">
      <c r="AJ316" s="5"/>
      <c r="AK316" s="5"/>
      <c r="AL316" s="5"/>
      <c r="AM316" s="5"/>
      <c r="AN316" s="5"/>
      <c r="AO316" s="5"/>
      <c r="AP316" s="5"/>
      <c r="AS316" s="5"/>
      <c r="AT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row>
    <row r="317" ht="12.75" customHeight="1" hidden="1" spans="36:132" x14ac:dyDescent="0.25">
      <c r="AJ317" s="5"/>
      <c r="AK317" s="5"/>
      <c r="AL317" s="5"/>
      <c r="AM317" s="5"/>
      <c r="AN317" s="5"/>
      <c r="AO317" s="5"/>
      <c r="AP317" s="5"/>
      <c r="AS317" s="5"/>
      <c r="AT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row>
    <row r="318" ht="12.75" customHeight="1" hidden="1" spans="36:132" x14ac:dyDescent="0.25">
      <c r="AJ318" s="5"/>
      <c r="AK318" s="5"/>
      <c r="AL318" s="5"/>
      <c r="AM318" s="5"/>
      <c r="AN318" s="5"/>
      <c r="AO318" s="5"/>
      <c r="AP318" s="5"/>
      <c r="AS318" s="5"/>
      <c r="AT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row>
    <row r="319" ht="12.75" customHeight="1" hidden="1" spans="36:132" x14ac:dyDescent="0.25">
      <c r="AJ319" s="5"/>
      <c r="AK319" s="5"/>
      <c r="AL319" s="5"/>
      <c r="AM319" s="5"/>
      <c r="AN319" s="5"/>
      <c r="AO319" s="5"/>
      <c r="AP319" s="5"/>
      <c r="AS319" s="5"/>
      <c r="AT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row>
    <row r="320" ht="12.75" customHeight="1" hidden="1" spans="36:132" x14ac:dyDescent="0.25">
      <c r="AJ320" s="5"/>
      <c r="AK320" s="5"/>
      <c r="AL320" s="5"/>
      <c r="AM320" s="5"/>
      <c r="AN320" s="5"/>
      <c r="AO320" s="5"/>
      <c r="AP320" s="5"/>
      <c r="AS320" s="5"/>
      <c r="AT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row>
    <row r="321" ht="12.75" customHeight="1" hidden="1" spans="36:132" x14ac:dyDescent="0.25">
      <c r="AJ321" s="5"/>
      <c r="AK321" s="5"/>
      <c r="AL321" s="5"/>
      <c r="AM321" s="5"/>
      <c r="AN321" s="5"/>
      <c r="AO321" s="5"/>
      <c r="AP321" s="5"/>
      <c r="AS321" s="5"/>
      <c r="AT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row>
    <row r="322" ht="12.75" customHeight="1" hidden="1" spans="36:132" x14ac:dyDescent="0.25">
      <c r="AJ322" s="5"/>
      <c r="AK322" s="5"/>
      <c r="AL322" s="5"/>
      <c r="AM322" s="5"/>
      <c r="AN322" s="5"/>
      <c r="AO322" s="5"/>
      <c r="AP322" s="5"/>
      <c r="AS322" s="5"/>
      <c r="AT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row>
    <row r="323" ht="12.75" customHeight="1" hidden="1" spans="36:132" x14ac:dyDescent="0.25">
      <c r="AJ323" s="5"/>
      <c r="AK323" s="5"/>
      <c r="AL323" s="5"/>
      <c r="AM323" s="5"/>
      <c r="AN323" s="5"/>
      <c r="AO323" s="5"/>
      <c r="AP323" s="5"/>
      <c r="AS323" s="5"/>
      <c r="AT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row>
    <row r="324" ht="12.75" customHeight="1" hidden="1" spans="36:132" x14ac:dyDescent="0.25">
      <c r="AJ324" s="5"/>
      <c r="AK324" s="5"/>
      <c r="AL324" s="5"/>
      <c r="AM324" s="5"/>
      <c r="AN324" s="5"/>
      <c r="AO324" s="5"/>
      <c r="AP324" s="5"/>
      <c r="AS324" s="5"/>
      <c r="AT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row>
    <row r="325" ht="12.75" customHeight="1" hidden="1" spans="36:132" x14ac:dyDescent="0.25">
      <c r="AJ325" s="5"/>
      <c r="AK325" s="5"/>
      <c r="AL325" s="5"/>
      <c r="AM325" s="5"/>
      <c r="AN325" s="5"/>
      <c r="AO325" s="5"/>
      <c r="AP325" s="5"/>
      <c r="AS325" s="5"/>
      <c r="AT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row>
    <row r="326" ht="12.75" customHeight="1" hidden="1" spans="36:132" x14ac:dyDescent="0.25">
      <c r="AJ326" s="5"/>
      <c r="AK326" s="5"/>
      <c r="AL326" s="5"/>
      <c r="AM326" s="5"/>
      <c r="AN326" s="5"/>
      <c r="AO326" s="5"/>
      <c r="AP326" s="5"/>
      <c r="AS326" s="5"/>
      <c r="AT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row>
    <row r="327" ht="12.75" customHeight="1" hidden="1" spans="36:132" x14ac:dyDescent="0.25">
      <c r="AJ327" s="5"/>
      <c r="AK327" s="5"/>
      <c r="AL327" s="5"/>
      <c r="AM327" s="5"/>
      <c r="AN327" s="5"/>
      <c r="AO327" s="5"/>
      <c r="AP327" s="5"/>
      <c r="AS327" s="5"/>
      <c r="AT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row>
    <row r="328" ht="12.75" customHeight="1" hidden="1" spans="36:132" x14ac:dyDescent="0.25">
      <c r="AJ328" s="5"/>
      <c r="AK328" s="5"/>
      <c r="AL328" s="5"/>
      <c r="AM328" s="5"/>
      <c r="AN328" s="5"/>
      <c r="AO328" s="5"/>
      <c r="AP328" s="5"/>
      <c r="AS328" s="5"/>
      <c r="AT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row>
    <row r="329" ht="12.75" customHeight="1" hidden="1" spans="36:132" x14ac:dyDescent="0.25">
      <c r="AJ329" s="5"/>
      <c r="AK329" s="5"/>
      <c r="AL329" s="5"/>
      <c r="AM329" s="5"/>
      <c r="AN329" s="5"/>
      <c r="AO329" s="5"/>
      <c r="AP329" s="5"/>
      <c r="AS329" s="5"/>
      <c r="AT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row>
    <row r="330" ht="12.75" customHeight="1" hidden="1" spans="36:132" x14ac:dyDescent="0.25">
      <c r="AJ330" s="5"/>
      <c r="AK330" s="5"/>
      <c r="AL330" s="5"/>
      <c r="AM330" s="5"/>
      <c r="AN330" s="5"/>
      <c r="AO330" s="5"/>
      <c r="AP330" s="5"/>
      <c r="AS330" s="5"/>
      <c r="AT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row>
    <row r="331" ht="12.75" customHeight="1" hidden="1" spans="36:132" x14ac:dyDescent="0.25">
      <c r="AJ331" s="5"/>
      <c r="AK331" s="5"/>
      <c r="AL331" s="5"/>
      <c r="AM331" s="5"/>
      <c r="AN331" s="5"/>
      <c r="AO331" s="5"/>
      <c r="AP331" s="5"/>
      <c r="AS331" s="5"/>
      <c r="AT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row>
    <row r="332" ht="12.75" customHeight="1" hidden="1" spans="36:132" x14ac:dyDescent="0.25">
      <c r="AJ332" s="5"/>
      <c r="AK332" s="5"/>
      <c r="AL332" s="5"/>
      <c r="AM332" s="5"/>
      <c r="AN332" s="5"/>
      <c r="AO332" s="5"/>
      <c r="AP332" s="5"/>
      <c r="AS332" s="5"/>
      <c r="AT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row>
    <row r="333" ht="12.75" customHeight="1" hidden="1" spans="36:132" x14ac:dyDescent="0.25">
      <c r="AJ333" s="5"/>
      <c r="AK333" s="5"/>
      <c r="AL333" s="5"/>
      <c r="AM333" s="5"/>
      <c r="AN333" s="5"/>
      <c r="AO333" s="5"/>
      <c r="AP333" s="5"/>
      <c r="AS333" s="5"/>
      <c r="AT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row>
    <row r="334" ht="12.75" customHeight="1" hidden="1" spans="36:132" x14ac:dyDescent="0.25">
      <c r="AJ334" s="5"/>
      <c r="AK334" s="5"/>
      <c r="AL334" s="5"/>
      <c r="AM334" s="5"/>
      <c r="AN334" s="5"/>
      <c r="AO334" s="5"/>
      <c r="AP334" s="5"/>
      <c r="AS334" s="5"/>
      <c r="AT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row>
    <row r="335" ht="12.75" customHeight="1" hidden="1" spans="36:132" x14ac:dyDescent="0.25">
      <c r="AJ335" s="5"/>
      <c r="AK335" s="5"/>
      <c r="AL335" s="5"/>
      <c r="AM335" s="5"/>
      <c r="AN335" s="5"/>
      <c r="AO335" s="5"/>
      <c r="AP335" s="5"/>
      <c r="AS335" s="5"/>
      <c r="AT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row>
    <row r="336" ht="12.75" customHeight="1" hidden="1" spans="36:132" x14ac:dyDescent="0.25">
      <c r="AJ336" s="5"/>
      <c r="AK336" s="5"/>
      <c r="AL336" s="5"/>
      <c r="AM336" s="5"/>
      <c r="AN336" s="5"/>
      <c r="AO336" s="5"/>
      <c r="AP336" s="5"/>
      <c r="AS336" s="5"/>
      <c r="AT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row>
    <row r="337" ht="12.75" customHeight="1" hidden="1" spans="36:132" x14ac:dyDescent="0.25">
      <c r="AJ337" s="5"/>
      <c r="AK337" s="5"/>
      <c r="AL337" s="5"/>
      <c r="AM337" s="5"/>
      <c r="AN337" s="5"/>
      <c r="AO337" s="5"/>
      <c r="AP337" s="5"/>
      <c r="AS337" s="5"/>
      <c r="AT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row>
    <row r="338" ht="12.75" customHeight="1" hidden="1" spans="36:132" x14ac:dyDescent="0.25">
      <c r="AJ338" s="5"/>
      <c r="AK338" s="5"/>
      <c r="AL338" s="5"/>
      <c r="AM338" s="5"/>
      <c r="AN338" s="5"/>
      <c r="AO338" s="5"/>
      <c r="AP338" s="5"/>
      <c r="AS338" s="5"/>
      <c r="AT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row>
    <row r="339" ht="12.75" customHeight="1" hidden="1" spans="36:132" x14ac:dyDescent="0.25">
      <c r="AJ339" s="5"/>
      <c r="AK339" s="5"/>
      <c r="AL339" s="5"/>
      <c r="AM339" s="5"/>
      <c r="AN339" s="5"/>
      <c r="AO339" s="5"/>
      <c r="AP339" s="5"/>
      <c r="AS339" s="5"/>
      <c r="AT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row>
    <row r="340" ht="12.75" customHeight="1" hidden="1" spans="36:132" x14ac:dyDescent="0.25">
      <c r="AJ340" s="5"/>
      <c r="AK340" s="5"/>
      <c r="AL340" s="5"/>
      <c r="AM340" s="5"/>
      <c r="AN340" s="5"/>
      <c r="AO340" s="5"/>
      <c r="AP340" s="5"/>
      <c r="AS340" s="5"/>
      <c r="AT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row>
    <row r="341" ht="12.75" customHeight="1" hidden="1" spans="36:132" x14ac:dyDescent="0.25">
      <c r="AJ341" s="5"/>
      <c r="AK341" s="5"/>
      <c r="AL341" s="5"/>
      <c r="AM341" s="5"/>
      <c r="AN341" s="5"/>
      <c r="AO341" s="5"/>
      <c r="AP341" s="5"/>
      <c r="AS341" s="5"/>
      <c r="AT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row>
    <row r="342" ht="12.75" customHeight="1" hidden="1" spans="36:132" x14ac:dyDescent="0.25">
      <c r="AJ342" s="5"/>
      <c r="AK342" s="5"/>
      <c r="AL342" s="5"/>
      <c r="AM342" s="5"/>
      <c r="AN342" s="5"/>
      <c r="AO342" s="5"/>
      <c r="AP342" s="5"/>
      <c r="AS342" s="5"/>
      <c r="AT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row>
    <row r="343" ht="12.75" customHeight="1" hidden="1" spans="36:132" x14ac:dyDescent="0.25">
      <c r="AJ343" s="5"/>
      <c r="AK343" s="5"/>
      <c r="AL343" s="5"/>
      <c r="AM343" s="5"/>
      <c r="AN343" s="5"/>
      <c r="AO343" s="5"/>
      <c r="AP343" s="5"/>
      <c r="AS343" s="5"/>
      <c r="AT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row>
    <row r="344" ht="12.75" customHeight="1" hidden="1" spans="36:132" x14ac:dyDescent="0.25">
      <c r="AJ344" s="5"/>
      <c r="AK344" s="5"/>
      <c r="AL344" s="5"/>
      <c r="AM344" s="5"/>
      <c r="AN344" s="5"/>
      <c r="AO344" s="5"/>
      <c r="AP344" s="5"/>
      <c r="AS344" s="5"/>
      <c r="AT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row>
    <row r="345" ht="12.75" customHeight="1" hidden="1" spans="36:132" x14ac:dyDescent="0.25">
      <c r="AJ345" s="5"/>
      <c r="AK345" s="5"/>
      <c r="AL345" s="5"/>
      <c r="AM345" s="5"/>
      <c r="AN345" s="5"/>
      <c r="AO345" s="5"/>
      <c r="AP345" s="5"/>
      <c r="AS345" s="5"/>
      <c r="AT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row>
    <row r="346" ht="12.75" customHeight="1" hidden="1" spans="36:132" x14ac:dyDescent="0.25">
      <c r="AJ346" s="5"/>
      <c r="AK346" s="5"/>
      <c r="AL346" s="5"/>
      <c r="AM346" s="5"/>
      <c r="AN346" s="5"/>
      <c r="AO346" s="5"/>
      <c r="AP346" s="5"/>
      <c r="AS346" s="5"/>
      <c r="AT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row>
    <row r="347" ht="12.75" customHeight="1" hidden="1" spans="36:132" x14ac:dyDescent="0.25">
      <c r="AJ347" s="5"/>
      <c r="AK347" s="5"/>
      <c r="AL347" s="5"/>
      <c r="AM347" s="5"/>
      <c r="AN347" s="5"/>
      <c r="AO347" s="5"/>
      <c r="AP347" s="5"/>
      <c r="AS347" s="5"/>
      <c r="AT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row>
    <row r="348" ht="12.75" customHeight="1" hidden="1" spans="36:132" x14ac:dyDescent="0.25">
      <c r="AJ348" s="5"/>
      <c r="AK348" s="5"/>
      <c r="AL348" s="5"/>
      <c r="AM348" s="5"/>
      <c r="AN348" s="5"/>
      <c r="AO348" s="5"/>
      <c r="AP348" s="5"/>
      <c r="AS348" s="5"/>
      <c r="AT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row>
    <row r="349" ht="12.75" customHeight="1" hidden="1" spans="36:132" x14ac:dyDescent="0.25">
      <c r="AJ349" s="5"/>
      <c r="AK349" s="5"/>
      <c r="AL349" s="5"/>
      <c r="AM349" s="5"/>
      <c r="AN349" s="5"/>
      <c r="AO349" s="5"/>
      <c r="AP349" s="5"/>
      <c r="AS349" s="5"/>
      <c r="AT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row>
    <row r="350" ht="12.75" customHeight="1" hidden="1" spans="36:132" x14ac:dyDescent="0.25">
      <c r="AJ350" s="5"/>
      <c r="AK350" s="5"/>
      <c r="AL350" s="5"/>
      <c r="AM350" s="5"/>
      <c r="AN350" s="5"/>
      <c r="AO350" s="5"/>
      <c r="AP350" s="5"/>
      <c r="AS350" s="5"/>
      <c r="AT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row>
    <row r="351" ht="12.75" customHeight="1" hidden="1" spans="36:132" x14ac:dyDescent="0.25">
      <c r="AJ351" s="5"/>
      <c r="AK351" s="5"/>
      <c r="AL351" s="5"/>
      <c r="AM351" s="5"/>
      <c r="AN351" s="5"/>
      <c r="AO351" s="5"/>
      <c r="AP351" s="5"/>
      <c r="AS351" s="5"/>
      <c r="AT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row>
    <row r="352" ht="12.75" customHeight="1" hidden="1" spans="36:132" x14ac:dyDescent="0.25">
      <c r="AJ352" s="5"/>
      <c r="AK352" s="5"/>
      <c r="AL352" s="5"/>
      <c r="AM352" s="5"/>
      <c r="AN352" s="5"/>
      <c r="AO352" s="5"/>
      <c r="AP352" s="5"/>
      <c r="AS352" s="5"/>
      <c r="AT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row>
    <row r="353" ht="12.75" customHeight="1" hidden="1" spans="36:132" x14ac:dyDescent="0.25">
      <c r="AJ353" s="5"/>
      <c r="AK353" s="5"/>
      <c r="AL353" s="5"/>
      <c r="AM353" s="5"/>
      <c r="AN353" s="5"/>
      <c r="AO353" s="5"/>
      <c r="AP353" s="5"/>
      <c r="AS353" s="5"/>
      <c r="AT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row>
    <row r="354" ht="12.75" customHeight="1" hidden="1" spans="36:132" x14ac:dyDescent="0.25">
      <c r="AJ354" s="5"/>
      <c r="AK354" s="5"/>
      <c r="AL354" s="5"/>
      <c r="AM354" s="5"/>
      <c r="AN354" s="5"/>
      <c r="AO354" s="5"/>
      <c r="AP354" s="5"/>
      <c r="AS354" s="5"/>
      <c r="AT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row>
    <row r="355" ht="12.75" customHeight="1" hidden="1" spans="36:132" x14ac:dyDescent="0.25">
      <c r="AJ355" s="5"/>
      <c r="AK355" s="5"/>
      <c r="AL355" s="5"/>
      <c r="AM355" s="5"/>
      <c r="AN355" s="5"/>
      <c r="AO355" s="5"/>
      <c r="AP355" s="5"/>
      <c r="AS355" s="5"/>
      <c r="AT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row>
    <row r="356" ht="12.75" customHeight="1" hidden="1" spans="36:132" x14ac:dyDescent="0.25">
      <c r="AJ356" s="5"/>
      <c r="AK356" s="5"/>
      <c r="AL356" s="5"/>
      <c r="AM356" s="5"/>
      <c r="AN356" s="5"/>
      <c r="AO356" s="5"/>
      <c r="AP356" s="5"/>
      <c r="AS356" s="5"/>
      <c r="AT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row>
    <row r="357" ht="12.75" customHeight="1" hidden="1" spans="36:132" x14ac:dyDescent="0.25">
      <c r="AJ357" s="5"/>
      <c r="AK357" s="5"/>
      <c r="AL357" s="5"/>
      <c r="AM357" s="5"/>
      <c r="AN357" s="5"/>
      <c r="AO357" s="5"/>
      <c r="AP357" s="5"/>
      <c r="AS357" s="5"/>
      <c r="AT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row>
    <row r="358" ht="12.75" customHeight="1" hidden="1" spans="36:132" x14ac:dyDescent="0.25">
      <c r="AJ358" s="5"/>
      <c r="AK358" s="5"/>
      <c r="AL358" s="5"/>
      <c r="AM358" s="5"/>
      <c r="AN358" s="5"/>
      <c r="AO358" s="5"/>
      <c r="AP358" s="5"/>
      <c r="AS358" s="5"/>
      <c r="AT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row>
    <row r="359" ht="12.75" customHeight="1" hidden="1" spans="36:132" x14ac:dyDescent="0.25">
      <c r="AJ359" s="5"/>
      <c r="AK359" s="5"/>
      <c r="AL359" s="5"/>
      <c r="AM359" s="5"/>
      <c r="AN359" s="5"/>
      <c r="AO359" s="5"/>
      <c r="AP359" s="5"/>
      <c r="AS359" s="5"/>
      <c r="AT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row>
    <row r="360" ht="12.75" customHeight="1" hidden="1" spans="36:132" x14ac:dyDescent="0.25">
      <c r="AJ360" s="5"/>
      <c r="AK360" s="5"/>
      <c r="AL360" s="5"/>
      <c r="AM360" s="5"/>
      <c r="AN360" s="5"/>
      <c r="AO360" s="5"/>
      <c r="AP360" s="5"/>
      <c r="AS360" s="5"/>
      <c r="AT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row>
    <row r="361" ht="12.75" customHeight="1" hidden="1" spans="36:132" x14ac:dyDescent="0.25">
      <c r="AJ361" s="5"/>
      <c r="AK361" s="5"/>
      <c r="AL361" s="5"/>
      <c r="AM361" s="5"/>
      <c r="AN361" s="5"/>
      <c r="AO361" s="5"/>
      <c r="AP361" s="5"/>
      <c r="AS361" s="5"/>
      <c r="AT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row>
    <row r="362" ht="12.75" customHeight="1" hidden="1" spans="36:132" x14ac:dyDescent="0.25">
      <c r="AJ362" s="5"/>
      <c r="AK362" s="5"/>
      <c r="AL362" s="5"/>
      <c r="AM362" s="5"/>
      <c r="AN362" s="5"/>
      <c r="AO362" s="5"/>
      <c r="AP362" s="5"/>
      <c r="AS362" s="5"/>
      <c r="AT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row>
    <row r="363" ht="12.75" customHeight="1" hidden="1" spans="36:132" x14ac:dyDescent="0.25">
      <c r="AJ363" s="5"/>
      <c r="AK363" s="5"/>
      <c r="AL363" s="5"/>
      <c r="AM363" s="5"/>
      <c r="AN363" s="5"/>
      <c r="AO363" s="5"/>
      <c r="AP363" s="5"/>
      <c r="AS363" s="5"/>
      <c r="AT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row>
    <row r="364" ht="12.75" customHeight="1" hidden="1" spans="36:132" x14ac:dyDescent="0.25">
      <c r="AJ364" s="5"/>
      <c r="AK364" s="5"/>
      <c r="AL364" s="5"/>
      <c r="AM364" s="5"/>
      <c r="AN364" s="5"/>
      <c r="AO364" s="5"/>
      <c r="AP364" s="5"/>
      <c r="AS364" s="5"/>
      <c r="AT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row>
    <row r="365" ht="12.75" customHeight="1" hidden="1" spans="36:132" x14ac:dyDescent="0.25">
      <c r="AJ365" s="5"/>
      <c r="AK365" s="5"/>
      <c r="AL365" s="5"/>
      <c r="AM365" s="5"/>
      <c r="AN365" s="5"/>
      <c r="AO365" s="5"/>
      <c r="AP365" s="5"/>
      <c r="AS365" s="5"/>
      <c r="AT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row>
    <row r="366" ht="12.75" customHeight="1" hidden="1" spans="36:132" x14ac:dyDescent="0.25">
      <c r="AJ366" s="5"/>
      <c r="AK366" s="5"/>
      <c r="AL366" s="5"/>
      <c r="AM366" s="5"/>
      <c r="AN366" s="5"/>
      <c r="AO366" s="5"/>
      <c r="AP366" s="5"/>
      <c r="AS366" s="5"/>
      <c r="AT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row>
    <row r="367" ht="12.75" customHeight="1" hidden="1" spans="36:132" x14ac:dyDescent="0.25">
      <c r="AJ367" s="5"/>
      <c r="AK367" s="5"/>
      <c r="AL367" s="5"/>
      <c r="AM367" s="5"/>
      <c r="AN367" s="5"/>
      <c r="AO367" s="5"/>
      <c r="AP367" s="5"/>
      <c r="AS367" s="5"/>
      <c r="AT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row>
    <row r="368" ht="12.75" customHeight="1" hidden="1" spans="36:132" x14ac:dyDescent="0.25">
      <c r="AJ368" s="5"/>
      <c r="AK368" s="5"/>
      <c r="AL368" s="5"/>
      <c r="AM368" s="5"/>
      <c r="AN368" s="5"/>
      <c r="AO368" s="5"/>
      <c r="AP368" s="5"/>
      <c r="AS368" s="5"/>
      <c r="AT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row>
    <row r="369" ht="12.75" customHeight="1" hidden="1" spans="36:132" x14ac:dyDescent="0.25">
      <c r="AJ369" s="5"/>
      <c r="AK369" s="5"/>
      <c r="AL369" s="5"/>
      <c r="AM369" s="5"/>
      <c r="AN369" s="5"/>
      <c r="AO369" s="5"/>
      <c r="AP369" s="5"/>
      <c r="AS369" s="5"/>
      <c r="AT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row>
    <row r="370" ht="12.75" customHeight="1" hidden="1" spans="36:132" x14ac:dyDescent="0.25">
      <c r="AJ370" s="5"/>
      <c r="AK370" s="5"/>
      <c r="AL370" s="5"/>
      <c r="AM370" s="5"/>
      <c r="AN370" s="5"/>
      <c r="AO370" s="5"/>
      <c r="AP370" s="5"/>
      <c r="AS370" s="5"/>
      <c r="AT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row>
    <row r="371" ht="12.75" customHeight="1" hidden="1" spans="36:132" x14ac:dyDescent="0.25">
      <c r="AJ371" s="5"/>
      <c r="AK371" s="5"/>
      <c r="AL371" s="5"/>
      <c r="AM371" s="5"/>
      <c r="AN371" s="5"/>
      <c r="AO371" s="5"/>
      <c r="AP371" s="5"/>
      <c r="AS371" s="5"/>
      <c r="AT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row>
    <row r="372" ht="12.75" customHeight="1" hidden="1" spans="36:132" x14ac:dyDescent="0.25">
      <c r="AJ372" s="5"/>
      <c r="AK372" s="5"/>
      <c r="AL372" s="5"/>
      <c r="AM372" s="5"/>
      <c r="AN372" s="5"/>
      <c r="AO372" s="5"/>
      <c r="AP372" s="5"/>
      <c r="AS372" s="5"/>
      <c r="AT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row>
    <row r="373" ht="12.75" customHeight="1" hidden="1" spans="36:132" x14ac:dyDescent="0.25">
      <c r="AJ373" s="5"/>
      <c r="AK373" s="5"/>
      <c r="AL373" s="5"/>
      <c r="AM373" s="5"/>
      <c r="AN373" s="5"/>
      <c r="AO373" s="5"/>
      <c r="AP373" s="5"/>
      <c r="AS373" s="5"/>
      <c r="AT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row>
    <row r="374" ht="12.75" customHeight="1" hidden="1" spans="36:132" x14ac:dyDescent="0.25">
      <c r="AJ374" s="5"/>
      <c r="AK374" s="5"/>
      <c r="AL374" s="5"/>
      <c r="AM374" s="5"/>
      <c r="AN374" s="5"/>
      <c r="AO374" s="5"/>
      <c r="AP374" s="5"/>
      <c r="AS374" s="5"/>
      <c r="AT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row>
    <row r="375" ht="12.75" customHeight="1" hidden="1" spans="36:132" x14ac:dyDescent="0.25">
      <c r="AJ375" s="5"/>
      <c r="AK375" s="5"/>
      <c r="AL375" s="5"/>
      <c r="AM375" s="5"/>
      <c r="AN375" s="5"/>
      <c r="AO375" s="5"/>
      <c r="AP375" s="5"/>
      <c r="AS375" s="5"/>
      <c r="AT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row>
    <row r="376" ht="12.75" customHeight="1" hidden="1" spans="36:132" x14ac:dyDescent="0.25">
      <c r="AJ376" s="5"/>
      <c r="AK376" s="5"/>
      <c r="AL376" s="5"/>
      <c r="AM376" s="5"/>
      <c r="AN376" s="5"/>
      <c r="AO376" s="5"/>
      <c r="AP376" s="5"/>
      <c r="AS376" s="5"/>
      <c r="AT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row>
    <row r="377" ht="12.75" customHeight="1" hidden="1" spans="36:132" x14ac:dyDescent="0.25">
      <c r="AJ377" s="5"/>
      <c r="AK377" s="5"/>
      <c r="AL377" s="5"/>
      <c r="AM377" s="5"/>
      <c r="AN377" s="5"/>
      <c r="AO377" s="5"/>
      <c r="AP377" s="5"/>
      <c r="AS377" s="5"/>
      <c r="AT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row>
    <row r="378" ht="12.75" customHeight="1" hidden="1" spans="36:132" x14ac:dyDescent="0.25">
      <c r="AJ378" s="5"/>
      <c r="AK378" s="5"/>
      <c r="AL378" s="5"/>
      <c r="AM378" s="5"/>
      <c r="AN378" s="5"/>
      <c r="AO378" s="5"/>
      <c r="AP378" s="5"/>
      <c r="AS378" s="5"/>
      <c r="AT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row>
    <row r="379" ht="12.75" customHeight="1" hidden="1" spans="36:132" x14ac:dyDescent="0.25">
      <c r="AJ379" s="5"/>
      <c r="AK379" s="5"/>
      <c r="AL379" s="5"/>
      <c r="AM379" s="5"/>
      <c r="AN379" s="5"/>
      <c r="AO379" s="5"/>
      <c r="AP379" s="5"/>
      <c r="AS379" s="5"/>
      <c r="AT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row>
    <row r="380" ht="12.75" customHeight="1" hidden="1" spans="36:132" x14ac:dyDescent="0.25">
      <c r="AJ380" s="5"/>
      <c r="AK380" s="5"/>
      <c r="AL380" s="5"/>
      <c r="AM380" s="5"/>
      <c r="AN380" s="5"/>
      <c r="AO380" s="5"/>
      <c r="AP380" s="5"/>
      <c r="AS380" s="5"/>
      <c r="AT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row>
    <row r="381" ht="12.75" customHeight="1" hidden="1" spans="36:132" x14ac:dyDescent="0.25">
      <c r="AJ381" s="5"/>
      <c r="AK381" s="5"/>
      <c r="AL381" s="5"/>
      <c r="AM381" s="5"/>
      <c r="AN381" s="5"/>
      <c r="AO381" s="5"/>
      <c r="AP381" s="5"/>
      <c r="AS381" s="5"/>
      <c r="AT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row>
    <row r="382" ht="12.75" customHeight="1" hidden="1" spans="36:132" x14ac:dyDescent="0.25">
      <c r="AJ382" s="5"/>
      <c r="AK382" s="5"/>
      <c r="AL382" s="5"/>
      <c r="AM382" s="5"/>
      <c r="AN382" s="5"/>
      <c r="AO382" s="5"/>
      <c r="AP382" s="5"/>
      <c r="AS382" s="5"/>
      <c r="AT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row>
    <row r="383" ht="12.75" customHeight="1" hidden="1" spans="36:132" x14ac:dyDescent="0.25">
      <c r="AJ383" s="5"/>
      <c r="AK383" s="5"/>
      <c r="AL383" s="5"/>
      <c r="AM383" s="5"/>
      <c r="AN383" s="5"/>
      <c r="AO383" s="5"/>
      <c r="AP383" s="5"/>
      <c r="AS383" s="5"/>
      <c r="AT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row>
    <row r="384" ht="12.75" customHeight="1" hidden="1" spans="36:132" x14ac:dyDescent="0.25">
      <c r="AJ384" s="5"/>
      <c r="AK384" s="5"/>
      <c r="AL384" s="5"/>
      <c r="AM384" s="5"/>
      <c r="AN384" s="5"/>
      <c r="AO384" s="5"/>
      <c r="AP384" s="5"/>
      <c r="AS384" s="5"/>
      <c r="AT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row>
    <row r="385" ht="12.75" customHeight="1" hidden="1" spans="36:132" x14ac:dyDescent="0.25">
      <c r="AJ385" s="5"/>
      <c r="AK385" s="5"/>
      <c r="AL385" s="5"/>
      <c r="AM385" s="5"/>
      <c r="AN385" s="5"/>
      <c r="AO385" s="5"/>
      <c r="AP385" s="5"/>
      <c r="AS385" s="5"/>
      <c r="AT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row>
    <row r="386" ht="12.75" customHeight="1" hidden="1" spans="36:132" x14ac:dyDescent="0.25">
      <c r="AJ386" s="5"/>
      <c r="AK386" s="5"/>
      <c r="AL386" s="5"/>
      <c r="AM386" s="5"/>
      <c r="AN386" s="5"/>
      <c r="AO386" s="5"/>
      <c r="AP386" s="5"/>
      <c r="AS386" s="5"/>
      <c r="AT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row>
    <row r="387" ht="12.75" customHeight="1" hidden="1" spans="36:132" x14ac:dyDescent="0.25">
      <c r="AJ387" s="5"/>
      <c r="AK387" s="5"/>
      <c r="AL387" s="5"/>
      <c r="AM387" s="5"/>
      <c r="AN387" s="5"/>
      <c r="AO387" s="5"/>
      <c r="AP387" s="5"/>
      <c r="AS387" s="5"/>
      <c r="AT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row>
    <row r="388" ht="12.75" customHeight="1" hidden="1" spans="36:132" x14ac:dyDescent="0.25">
      <c r="AJ388" s="5"/>
      <c r="AK388" s="5"/>
      <c r="AL388" s="5"/>
      <c r="AM388" s="5"/>
      <c r="AN388" s="5"/>
      <c r="AO388" s="5"/>
      <c r="AP388" s="5"/>
      <c r="AS388" s="5"/>
      <c r="AT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row>
    <row r="389" ht="12.75" customHeight="1" hidden="1" spans="36:132" x14ac:dyDescent="0.25">
      <c r="AJ389" s="5"/>
      <c r="AK389" s="5"/>
      <c r="AL389" s="5"/>
      <c r="AM389" s="5"/>
      <c r="AN389" s="5"/>
      <c r="AO389" s="5"/>
      <c r="AP389" s="5"/>
      <c r="AS389" s="5"/>
      <c r="AT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row>
    <row r="390" ht="12.75" customHeight="1" hidden="1" spans="36:132" x14ac:dyDescent="0.25">
      <c r="AJ390" s="5"/>
      <c r="AK390" s="5"/>
      <c r="AL390" s="5"/>
      <c r="AM390" s="5"/>
      <c r="AN390" s="5"/>
      <c r="AO390" s="5"/>
      <c r="AP390" s="5"/>
      <c r="AS390" s="5"/>
      <c r="AT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row>
    <row r="391" ht="12.75" customHeight="1" hidden="1" spans="36:132" x14ac:dyDescent="0.25">
      <c r="AJ391" s="5"/>
      <c r="AK391" s="5"/>
      <c r="AL391" s="5"/>
      <c r="AM391" s="5"/>
      <c r="AN391" s="5"/>
      <c r="AO391" s="5"/>
      <c r="AP391" s="5"/>
      <c r="AS391" s="5"/>
      <c r="AT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row>
    <row r="392" ht="12.75" customHeight="1" hidden="1" spans="36:132" x14ac:dyDescent="0.25">
      <c r="AJ392" s="5"/>
      <c r="AK392" s="5"/>
      <c r="AL392" s="5"/>
      <c r="AM392" s="5"/>
      <c r="AN392" s="5"/>
      <c r="AO392" s="5"/>
      <c r="AP392" s="5"/>
      <c r="AS392" s="5"/>
      <c r="AT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row>
    <row r="393" ht="12.75" customHeight="1" hidden="1" spans="36:132" x14ac:dyDescent="0.25">
      <c r="AJ393" s="5"/>
      <c r="AK393" s="5"/>
      <c r="AL393" s="5"/>
      <c r="AM393" s="5"/>
      <c r="AN393" s="5"/>
      <c r="AO393" s="5"/>
      <c r="AP393" s="5"/>
      <c r="AS393" s="5"/>
      <c r="AT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row>
    <row r="394" ht="12.75" customHeight="1" hidden="1" spans="36:132" x14ac:dyDescent="0.25">
      <c r="AJ394" s="5"/>
      <c r="AK394" s="5"/>
      <c r="AL394" s="5"/>
      <c r="AM394" s="5"/>
      <c r="AN394" s="5"/>
      <c r="AO394" s="5"/>
      <c r="AP394" s="5"/>
      <c r="AS394" s="5"/>
      <c r="AT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row>
    <row r="395" ht="12.75" customHeight="1" hidden="1" spans="36:132" x14ac:dyDescent="0.25">
      <c r="AJ395" s="5"/>
      <c r="AK395" s="5"/>
      <c r="AL395" s="5"/>
      <c r="AM395" s="5"/>
      <c r="AN395" s="5"/>
      <c r="AO395" s="5"/>
      <c r="AP395" s="5"/>
      <c r="AS395" s="5"/>
      <c r="AT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row>
    <row r="396" ht="12.75" customHeight="1" hidden="1" spans="36:132" x14ac:dyDescent="0.25">
      <c r="AJ396" s="5"/>
      <c r="AK396" s="5"/>
      <c r="AL396" s="5"/>
      <c r="AM396" s="5"/>
      <c r="AN396" s="5"/>
      <c r="AO396" s="5"/>
      <c r="AP396" s="5"/>
      <c r="AS396" s="5"/>
      <c r="AT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row>
    <row r="397" ht="12.75" customHeight="1" hidden="1" spans="36:132" x14ac:dyDescent="0.25">
      <c r="AJ397" s="5"/>
      <c r="AK397" s="5"/>
      <c r="AL397" s="5"/>
      <c r="AM397" s="5"/>
      <c r="AN397" s="5"/>
      <c r="AO397" s="5"/>
      <c r="AP397" s="5"/>
      <c r="AS397" s="5"/>
      <c r="AT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row>
    <row r="398" ht="12.75" customHeight="1" hidden="1" spans="36:132" x14ac:dyDescent="0.25">
      <c r="AJ398" s="5"/>
      <c r="AK398" s="5"/>
      <c r="AL398" s="5"/>
      <c r="AM398" s="5"/>
      <c r="AN398" s="5"/>
      <c r="AO398" s="5"/>
      <c r="AP398" s="5"/>
      <c r="AS398" s="5"/>
      <c r="AT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row>
    <row r="399" ht="12.75" customHeight="1" hidden="1" spans="36:132" x14ac:dyDescent="0.25">
      <c r="AJ399" s="5"/>
      <c r="AK399" s="5"/>
      <c r="AL399" s="5"/>
      <c r="AM399" s="5"/>
      <c r="AN399" s="5"/>
      <c r="AO399" s="5"/>
      <c r="AP399" s="5"/>
      <c r="AS399" s="5"/>
      <c r="AT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row>
    <row r="400" ht="12.75" customHeight="1" hidden="1" spans="36:132" x14ac:dyDescent="0.25">
      <c r="AJ400" s="5"/>
      <c r="AK400" s="5"/>
      <c r="AL400" s="5"/>
      <c r="AM400" s="5"/>
      <c r="AN400" s="5"/>
      <c r="AO400" s="5"/>
      <c r="AP400" s="5"/>
      <c r="AS400" s="5"/>
      <c r="AT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row>
    <row r="401" ht="12.75" customHeight="1" hidden="1" spans="36:132" x14ac:dyDescent="0.25">
      <c r="AJ401" s="5"/>
      <c r="AK401" s="5"/>
      <c r="AL401" s="5"/>
      <c r="AM401" s="5"/>
      <c r="AN401" s="5"/>
      <c r="AO401" s="5"/>
      <c r="AP401" s="5"/>
      <c r="AS401" s="5"/>
      <c r="AT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row>
    <row r="402" ht="12.75" customHeight="1" hidden="1" spans="36:132" x14ac:dyDescent="0.25">
      <c r="AJ402" s="5"/>
      <c r="AK402" s="5"/>
      <c r="AL402" s="5"/>
      <c r="AM402" s="5"/>
      <c r="AN402" s="5"/>
      <c r="AO402" s="5"/>
      <c r="AP402" s="5"/>
      <c r="AS402" s="5"/>
      <c r="AT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row>
    <row r="403" ht="12.75" customHeight="1" hidden="1" spans="36:132" x14ac:dyDescent="0.25">
      <c r="AJ403" s="5"/>
      <c r="AK403" s="5"/>
      <c r="AL403" s="5"/>
      <c r="AM403" s="5"/>
      <c r="AN403" s="5"/>
      <c r="AO403" s="5"/>
      <c r="AP403" s="5"/>
      <c r="AS403" s="5"/>
      <c r="AT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row>
    <row r="404" ht="12.75" customHeight="1" hidden="1" spans="36:132" x14ac:dyDescent="0.25">
      <c r="AJ404" s="5"/>
      <c r="AK404" s="5"/>
      <c r="AL404" s="5"/>
      <c r="AM404" s="5"/>
      <c r="AN404" s="5"/>
      <c r="AO404" s="5"/>
      <c r="AP404" s="5"/>
      <c r="AS404" s="5"/>
      <c r="AT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row>
    <row r="405" ht="12.75" customHeight="1" hidden="1" spans="36:132" x14ac:dyDescent="0.25">
      <c r="AJ405" s="5"/>
      <c r="AK405" s="5"/>
      <c r="AL405" s="5"/>
      <c r="AM405" s="5"/>
      <c r="AN405" s="5"/>
      <c r="AO405" s="5"/>
      <c r="AP405" s="5"/>
      <c r="AS405" s="5"/>
      <c r="AT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row>
    <row r="406" ht="12.75" customHeight="1" hidden="1" spans="36:132" x14ac:dyDescent="0.25">
      <c r="AJ406" s="5"/>
      <c r="AK406" s="5"/>
      <c r="AL406" s="5"/>
      <c r="AM406" s="5"/>
      <c r="AN406" s="5"/>
      <c r="AO406" s="5"/>
      <c r="AP406" s="5"/>
      <c r="AS406" s="5"/>
      <c r="AT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row>
    <row r="407" ht="12.75" customHeight="1" hidden="1" spans="36:132" x14ac:dyDescent="0.25">
      <c r="AJ407" s="5"/>
      <c r="AK407" s="5"/>
      <c r="AL407" s="5"/>
      <c r="AM407" s="5"/>
      <c r="AN407" s="5"/>
      <c r="AO407" s="5"/>
      <c r="AP407" s="5"/>
      <c r="AS407" s="5"/>
      <c r="AT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row>
    <row r="408" ht="12.75" customHeight="1" hidden="1" spans="36:132" x14ac:dyDescent="0.25">
      <c r="AJ408" s="5"/>
      <c r="AK408" s="5"/>
      <c r="AL408" s="5"/>
      <c r="AM408" s="5"/>
      <c r="AN408" s="5"/>
      <c r="AO408" s="5"/>
      <c r="AP408" s="5"/>
      <c r="AS408" s="5"/>
      <c r="AT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row>
    <row r="409" ht="12.75" customHeight="1" hidden="1" spans="36:132" x14ac:dyDescent="0.25">
      <c r="AJ409" s="5"/>
      <c r="AK409" s="5"/>
      <c r="AL409" s="5"/>
      <c r="AM409" s="5"/>
      <c r="AN409" s="5"/>
      <c r="AO409" s="5"/>
      <c r="AP409" s="5"/>
      <c r="AS409" s="5"/>
      <c r="AT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row>
    <row r="410" ht="12.75" customHeight="1" hidden="1" spans="36:132" x14ac:dyDescent="0.25">
      <c r="AJ410" s="5"/>
      <c r="AK410" s="5"/>
      <c r="AL410" s="5"/>
      <c r="AM410" s="5"/>
      <c r="AN410" s="5"/>
      <c r="AO410" s="5"/>
      <c r="AP410" s="5"/>
      <c r="AS410" s="5"/>
      <c r="AT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row>
    <row r="411" ht="12.75" customHeight="1" hidden="1" spans="36:132" x14ac:dyDescent="0.25">
      <c r="AJ411" s="5"/>
      <c r="AK411" s="5"/>
      <c r="AL411" s="5"/>
      <c r="AM411" s="5"/>
      <c r="AN411" s="5"/>
      <c r="AO411" s="5"/>
      <c r="AP411" s="5"/>
      <c r="AS411" s="5"/>
      <c r="AT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row>
    <row r="412" ht="12.75" customHeight="1" hidden="1" spans="36:132" x14ac:dyDescent="0.25">
      <c r="AJ412" s="5"/>
      <c r="AK412" s="5"/>
      <c r="AL412" s="5"/>
      <c r="AM412" s="5"/>
      <c r="AN412" s="5"/>
      <c r="AO412" s="5"/>
      <c r="AP412" s="5"/>
      <c r="AS412" s="5"/>
      <c r="AT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row>
    <row r="413" ht="12.75" customHeight="1" hidden="1" spans="36:132" x14ac:dyDescent="0.25">
      <c r="AJ413" s="5"/>
      <c r="AK413" s="5"/>
      <c r="AL413" s="5"/>
      <c r="AM413" s="5"/>
      <c r="AN413" s="5"/>
      <c r="AO413" s="5"/>
      <c r="AP413" s="5"/>
      <c r="AS413" s="5"/>
      <c r="AT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row>
    <row r="414" ht="12.75" customHeight="1" hidden="1" spans="36:132" x14ac:dyDescent="0.25">
      <c r="AJ414" s="5"/>
      <c r="AK414" s="5"/>
      <c r="AL414" s="5"/>
      <c r="AM414" s="5"/>
      <c r="AN414" s="5"/>
      <c r="AO414" s="5"/>
      <c r="AP414" s="5"/>
      <c r="AS414" s="5"/>
      <c r="AT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row>
    <row r="415" ht="12.75" customHeight="1" hidden="1" spans="36:132" x14ac:dyDescent="0.25">
      <c r="AJ415" s="5"/>
      <c r="AK415" s="5"/>
      <c r="AL415" s="5"/>
      <c r="AM415" s="5"/>
      <c r="AN415" s="5"/>
      <c r="AO415" s="5"/>
      <c r="AP415" s="5"/>
      <c r="AS415" s="5"/>
      <c r="AT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row>
    <row r="416" ht="12.75" customHeight="1" hidden="1" spans="36:132" x14ac:dyDescent="0.25">
      <c r="AJ416" s="5"/>
      <c r="AK416" s="5"/>
      <c r="AL416" s="5"/>
      <c r="AM416" s="5"/>
      <c r="AN416" s="5"/>
      <c r="AO416" s="5"/>
      <c r="AP416" s="5"/>
      <c r="AS416" s="5"/>
      <c r="AT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row>
    <row r="417" ht="12.75" customHeight="1" hidden="1" spans="36:132" x14ac:dyDescent="0.25">
      <c r="AJ417" s="5"/>
      <c r="AK417" s="5"/>
      <c r="AL417" s="5"/>
      <c r="AM417" s="5"/>
      <c r="AN417" s="5"/>
      <c r="AO417" s="5"/>
      <c r="AP417" s="5"/>
      <c r="AS417" s="5"/>
      <c r="AT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row>
    <row r="418" ht="12.75" customHeight="1" hidden="1" spans="36:132" x14ac:dyDescent="0.25">
      <c r="AJ418" s="5"/>
      <c r="AK418" s="5"/>
      <c r="AL418" s="5"/>
      <c r="AM418" s="5"/>
      <c r="AN418" s="5"/>
      <c r="AO418" s="5"/>
      <c r="AP418" s="5"/>
      <c r="AS418" s="5"/>
      <c r="AT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row>
    <row r="419" ht="12.75" customHeight="1" hidden="1" spans="36:132" x14ac:dyDescent="0.25">
      <c r="AJ419" s="5"/>
      <c r="AK419" s="5"/>
      <c r="AL419" s="5"/>
      <c r="AM419" s="5"/>
      <c r="AN419" s="5"/>
      <c r="AO419" s="5"/>
      <c r="AP419" s="5"/>
      <c r="AS419" s="5"/>
      <c r="AT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row>
    <row r="420" ht="12.75" customHeight="1" hidden="1" spans="36:132" x14ac:dyDescent="0.25">
      <c r="AJ420" s="5"/>
      <c r="AK420" s="5"/>
      <c r="AL420" s="5"/>
      <c r="AM420" s="5"/>
      <c r="AN420" s="5"/>
      <c r="AO420" s="5"/>
      <c r="AP420" s="5"/>
      <c r="AS420" s="5"/>
      <c r="AT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row>
    <row r="421" ht="12.75" customHeight="1" hidden="1" spans="36:132" x14ac:dyDescent="0.25">
      <c r="AJ421" s="5"/>
      <c r="AK421" s="5"/>
      <c r="AL421" s="5"/>
      <c r="AM421" s="5"/>
      <c r="AN421" s="5"/>
      <c r="AO421" s="5"/>
      <c r="AP421" s="5"/>
      <c r="AS421" s="5"/>
      <c r="AT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row>
    <row r="422" ht="12.75" customHeight="1" hidden="1" spans="36:132" x14ac:dyDescent="0.25">
      <c r="AJ422" s="5"/>
      <c r="AK422" s="5"/>
      <c r="AL422" s="5"/>
      <c r="AM422" s="5"/>
      <c r="AN422" s="5"/>
      <c r="AO422" s="5"/>
      <c r="AP422" s="5"/>
      <c r="AS422" s="5"/>
      <c r="AT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row>
    <row r="423" ht="12.75" customHeight="1" hidden="1" spans="36:132" x14ac:dyDescent="0.25">
      <c r="AJ423" s="5"/>
      <c r="AK423" s="5"/>
      <c r="AL423" s="5"/>
      <c r="AM423" s="5"/>
      <c r="AN423" s="5"/>
      <c r="AO423" s="5"/>
      <c r="AP423" s="5"/>
      <c r="AS423" s="5"/>
      <c r="AT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row>
    <row r="424" ht="12.75" customHeight="1" hidden="1" spans="36:132" x14ac:dyDescent="0.25">
      <c r="AJ424" s="5"/>
      <c r="AK424" s="5"/>
      <c r="AL424" s="5"/>
      <c r="AM424" s="5"/>
      <c r="AN424" s="5"/>
      <c r="AO424" s="5"/>
      <c r="AP424" s="5"/>
      <c r="AS424" s="5"/>
      <c r="AT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row>
    <row r="425" ht="12.75" customHeight="1" hidden="1" spans="36:132" x14ac:dyDescent="0.25">
      <c r="AJ425" s="5"/>
      <c r="AK425" s="5"/>
      <c r="AL425" s="5"/>
      <c r="AM425" s="5"/>
      <c r="AN425" s="5"/>
      <c r="AO425" s="5"/>
      <c r="AP425" s="5"/>
      <c r="AS425" s="5"/>
      <c r="AT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row>
    <row r="426" ht="12.75" customHeight="1" hidden="1" spans="36:132" x14ac:dyDescent="0.25">
      <c r="AJ426" s="5"/>
      <c r="AK426" s="5"/>
      <c r="AL426" s="5"/>
      <c r="AM426" s="5"/>
      <c r="AN426" s="5"/>
      <c r="AO426" s="5"/>
      <c r="AP426" s="5"/>
      <c r="AS426" s="5"/>
      <c r="AT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row>
    <row r="427" ht="12.75" customHeight="1" hidden="1" spans="36:132" x14ac:dyDescent="0.25">
      <c r="AJ427" s="5"/>
      <c r="AK427" s="5"/>
      <c r="AL427" s="5"/>
      <c r="AM427" s="5"/>
      <c r="AN427" s="5"/>
      <c r="AO427" s="5"/>
      <c r="AP427" s="5"/>
      <c r="AS427" s="5"/>
      <c r="AT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row>
    <row r="428" ht="12.75" customHeight="1" hidden="1" spans="36:132" x14ac:dyDescent="0.25">
      <c r="AJ428" s="5"/>
      <c r="AK428" s="5"/>
      <c r="AL428" s="5"/>
      <c r="AM428" s="5"/>
      <c r="AN428" s="5"/>
      <c r="AO428" s="5"/>
      <c r="AP428" s="5"/>
      <c r="AS428" s="5"/>
      <c r="AT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row>
    <row r="429" ht="12.75" customHeight="1" hidden="1" spans="36:132" x14ac:dyDescent="0.25">
      <c r="AJ429" s="5"/>
      <c r="AK429" s="5"/>
      <c r="AL429" s="5"/>
      <c r="AM429" s="5"/>
      <c r="AN429" s="5"/>
      <c r="AO429" s="5"/>
      <c r="AP429" s="5"/>
      <c r="AS429" s="5"/>
      <c r="AT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row>
    <row r="430" ht="12.75" customHeight="1" hidden="1" spans="36:132" x14ac:dyDescent="0.25">
      <c r="AJ430" s="5"/>
      <c r="AK430" s="5"/>
      <c r="AL430" s="5"/>
      <c r="AM430" s="5"/>
      <c r="AN430" s="5"/>
      <c r="AO430" s="5"/>
      <c r="AP430" s="5"/>
      <c r="AS430" s="5"/>
      <c r="AT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row>
    <row r="431" ht="12.75" customHeight="1" hidden="1" spans="36:132" x14ac:dyDescent="0.25">
      <c r="AJ431" s="5"/>
      <c r="AK431" s="5"/>
      <c r="AL431" s="5"/>
      <c r="AM431" s="5"/>
      <c r="AN431" s="5"/>
      <c r="AO431" s="5"/>
      <c r="AP431" s="5"/>
      <c r="AS431" s="5"/>
      <c r="AT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row>
    <row r="432" ht="12.75" customHeight="1" hidden="1" spans="36:132" x14ac:dyDescent="0.25">
      <c r="AJ432" s="5"/>
      <c r="AK432" s="5"/>
      <c r="AL432" s="5"/>
      <c r="AM432" s="5"/>
      <c r="AN432" s="5"/>
      <c r="AO432" s="5"/>
      <c r="AP432" s="5"/>
      <c r="AS432" s="5"/>
      <c r="AT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row>
    <row r="433" ht="12.75" customHeight="1" hidden="1" spans="36:132" x14ac:dyDescent="0.25">
      <c r="AJ433" s="5"/>
      <c r="AK433" s="5"/>
      <c r="AL433" s="5"/>
      <c r="AM433" s="5"/>
      <c r="AN433" s="5"/>
      <c r="AO433" s="5"/>
      <c r="AP433" s="5"/>
      <c r="AS433" s="5"/>
      <c r="AT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row>
    <row r="434" ht="12.75" customHeight="1" hidden="1" spans="36:132" x14ac:dyDescent="0.25">
      <c r="AJ434" s="5"/>
      <c r="AK434" s="5"/>
      <c r="AL434" s="5"/>
      <c r="AM434" s="5"/>
      <c r="AN434" s="5"/>
      <c r="AO434" s="5"/>
      <c r="AP434" s="5"/>
      <c r="AS434" s="5"/>
      <c r="AT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row>
    <row r="435" ht="12.75" customHeight="1" hidden="1" spans="36:132" x14ac:dyDescent="0.25">
      <c r="AJ435" s="5"/>
      <c r="AK435" s="5"/>
      <c r="AL435" s="5"/>
      <c r="AM435" s="5"/>
      <c r="AN435" s="5"/>
      <c r="AO435" s="5"/>
      <c r="AP435" s="5"/>
      <c r="AS435" s="5"/>
      <c r="AT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row>
    <row r="436" ht="12.75" customHeight="1" hidden="1" spans="36:132" x14ac:dyDescent="0.25">
      <c r="AJ436" s="5"/>
      <c r="AK436" s="5"/>
      <c r="AL436" s="5"/>
      <c r="AM436" s="5"/>
      <c r="AN436" s="5"/>
      <c r="AO436" s="5"/>
      <c r="AP436" s="5"/>
      <c r="AS436" s="5"/>
      <c r="AT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row>
    <row r="437" ht="12.75" customHeight="1" hidden="1" spans="36:132" x14ac:dyDescent="0.25">
      <c r="AJ437" s="5"/>
      <c r="AK437" s="5"/>
      <c r="AL437" s="5"/>
      <c r="AM437" s="5"/>
      <c r="AN437" s="5"/>
      <c r="AO437" s="5"/>
      <c r="AP437" s="5"/>
      <c r="AS437" s="5"/>
      <c r="AT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row>
    <row r="438" ht="12.75" customHeight="1" hidden="1" spans="36:132" x14ac:dyDescent="0.25">
      <c r="AJ438" s="5"/>
      <c r="AK438" s="5"/>
      <c r="AL438" s="5"/>
      <c r="AM438" s="5"/>
      <c r="AN438" s="5"/>
      <c r="AO438" s="5"/>
      <c r="AP438" s="5"/>
      <c r="AS438" s="5"/>
      <c r="AT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row>
    <row r="439" ht="12.75" customHeight="1" hidden="1" spans="36:132" x14ac:dyDescent="0.25">
      <c r="AJ439" s="5"/>
      <c r="AK439" s="5"/>
      <c r="AL439" s="5"/>
      <c r="AM439" s="5"/>
      <c r="AN439" s="5"/>
      <c r="AO439" s="5"/>
      <c r="AP439" s="5"/>
      <c r="AS439" s="5"/>
      <c r="AT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row>
    <row r="440" ht="12.75" customHeight="1" hidden="1" spans="36:132" x14ac:dyDescent="0.25">
      <c r="AJ440" s="5"/>
      <c r="AK440" s="5"/>
      <c r="AL440" s="5"/>
      <c r="AM440" s="5"/>
      <c r="AN440" s="5"/>
      <c r="AO440" s="5"/>
      <c r="AP440" s="5"/>
      <c r="AS440" s="5"/>
      <c r="AT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row>
    <row r="441" ht="12.75" customHeight="1" hidden="1" spans="36:132" x14ac:dyDescent="0.25">
      <c r="AJ441" s="5"/>
      <c r="AK441" s="5"/>
      <c r="AL441" s="5"/>
      <c r="AM441" s="5"/>
      <c r="AN441" s="5"/>
      <c r="AO441" s="5"/>
      <c r="AP441" s="5"/>
      <c r="AS441" s="5"/>
      <c r="AT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row>
    <row r="442" ht="12.75" customHeight="1" hidden="1" spans="36:132" x14ac:dyDescent="0.25">
      <c r="AJ442" s="5"/>
      <c r="AK442" s="5"/>
      <c r="AL442" s="5"/>
      <c r="AM442" s="5"/>
      <c r="AN442" s="5"/>
      <c r="AO442" s="5"/>
      <c r="AP442" s="5"/>
      <c r="AS442" s="5"/>
      <c r="AT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row>
    <row r="443" ht="12.75" customHeight="1" hidden="1" spans="36:132" x14ac:dyDescent="0.25">
      <c r="AJ443" s="5"/>
      <c r="AK443" s="5"/>
      <c r="AL443" s="5"/>
      <c r="AM443" s="5"/>
      <c r="AN443" s="5"/>
      <c r="AO443" s="5"/>
      <c r="AP443" s="5"/>
      <c r="AS443" s="5"/>
      <c r="AT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row>
    <row r="444" ht="12.75" customHeight="1" hidden="1" spans="36:132" x14ac:dyDescent="0.25">
      <c r="AJ444" s="5"/>
      <c r="AK444" s="5"/>
      <c r="AL444" s="5"/>
      <c r="AM444" s="5"/>
      <c r="AN444" s="5"/>
      <c r="AO444" s="5"/>
      <c r="AP444" s="5"/>
      <c r="AS444" s="5"/>
      <c r="AT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row>
    <row r="445" ht="12.75" customHeight="1" hidden="1" spans="36:132" x14ac:dyDescent="0.25">
      <c r="AJ445" s="5"/>
      <c r="AK445" s="5"/>
      <c r="AL445" s="5"/>
      <c r="AM445" s="5"/>
      <c r="AN445" s="5"/>
      <c r="AO445" s="5"/>
      <c r="AP445" s="5"/>
      <c r="AS445" s="5"/>
      <c r="AT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row>
    <row r="446" ht="12.75" customHeight="1" hidden="1" spans="36:132" x14ac:dyDescent="0.25">
      <c r="AJ446" s="5"/>
      <c r="AK446" s="5"/>
      <c r="AL446" s="5"/>
      <c r="AM446" s="5"/>
      <c r="AN446" s="5"/>
      <c r="AO446" s="5"/>
      <c r="AP446" s="5"/>
      <c r="AS446" s="5"/>
      <c r="AT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row>
    <row r="447" ht="12.75" customHeight="1" hidden="1" spans="36:132" x14ac:dyDescent="0.25">
      <c r="AJ447" s="5"/>
      <c r="AK447" s="5"/>
      <c r="AL447" s="5"/>
      <c r="AM447" s="5"/>
      <c r="AN447" s="5"/>
      <c r="AO447" s="5"/>
      <c r="AP447" s="5"/>
      <c r="AS447" s="5"/>
      <c r="AT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row>
    <row r="448" ht="12.75" customHeight="1" hidden="1" spans="36:132" x14ac:dyDescent="0.25">
      <c r="AJ448" s="5"/>
      <c r="AK448" s="5"/>
      <c r="AL448" s="5"/>
      <c r="AM448" s="5"/>
      <c r="AN448" s="5"/>
      <c r="AO448" s="5"/>
      <c r="AP448" s="5"/>
      <c r="AS448" s="5"/>
      <c r="AT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row>
    <row r="449" ht="12.75" customHeight="1" hidden="1" spans="36:132" x14ac:dyDescent="0.25">
      <c r="AJ449" s="5"/>
      <c r="AK449" s="5"/>
      <c r="AL449" s="5"/>
      <c r="AM449" s="5"/>
      <c r="AN449" s="5"/>
      <c r="AO449" s="5"/>
      <c r="AP449" s="5"/>
      <c r="AS449" s="5"/>
      <c r="AT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row>
    <row r="450" ht="12.75" customHeight="1" hidden="1" spans="36:132" x14ac:dyDescent="0.25">
      <c r="AJ450" s="5"/>
      <c r="AK450" s="5"/>
      <c r="AL450" s="5"/>
      <c r="AM450" s="5"/>
      <c r="AN450" s="5"/>
      <c r="AO450" s="5"/>
      <c r="AP450" s="5"/>
      <c r="AS450" s="5"/>
      <c r="AT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row>
    <row r="451" ht="12.75" customHeight="1" hidden="1" spans="36:132" x14ac:dyDescent="0.25">
      <c r="AJ451" s="5"/>
      <c r="AK451" s="5"/>
      <c r="AL451" s="5"/>
      <c r="AM451" s="5"/>
      <c r="AN451" s="5"/>
      <c r="AO451" s="5"/>
      <c r="AP451" s="5"/>
      <c r="AS451" s="5"/>
      <c r="AT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row>
    <row r="452" ht="12.75" customHeight="1" hidden="1" spans="36:132" x14ac:dyDescent="0.25">
      <c r="AJ452" s="5"/>
      <c r="AK452" s="5"/>
      <c r="AL452" s="5"/>
      <c r="AM452" s="5"/>
      <c r="AN452" s="5"/>
      <c r="AO452" s="5"/>
      <c r="AP452" s="5"/>
      <c r="AS452" s="5"/>
      <c r="AT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row>
    <row r="453" ht="12.75" customHeight="1" hidden="1" spans="36:132" x14ac:dyDescent="0.25">
      <c r="AJ453" s="5"/>
      <c r="AK453" s="5"/>
      <c r="AL453" s="5"/>
      <c r="AM453" s="5"/>
      <c r="AN453" s="5"/>
      <c r="AO453" s="5"/>
      <c r="AP453" s="5"/>
      <c r="AS453" s="5"/>
      <c r="AT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row>
    <row r="454" ht="12.75" customHeight="1" hidden="1" spans="36:132" x14ac:dyDescent="0.25">
      <c r="AJ454" s="5"/>
      <c r="AK454" s="5"/>
      <c r="AL454" s="5"/>
      <c r="AM454" s="5"/>
      <c r="AN454" s="5"/>
      <c r="AO454" s="5"/>
      <c r="AP454" s="5"/>
      <c r="AS454" s="5"/>
      <c r="AT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row>
    <row r="455" ht="12.75" customHeight="1" hidden="1" spans="36:132" x14ac:dyDescent="0.25">
      <c r="AJ455" s="5"/>
      <c r="AK455" s="5"/>
      <c r="AL455" s="5"/>
      <c r="AM455" s="5"/>
      <c r="AN455" s="5"/>
      <c r="AO455" s="5"/>
      <c r="AP455" s="5"/>
      <c r="AS455" s="5"/>
      <c r="AT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row>
    <row r="456" ht="12.75" customHeight="1" hidden="1" spans="36:132" x14ac:dyDescent="0.25">
      <c r="AJ456" s="5"/>
      <c r="AK456" s="5"/>
      <c r="AL456" s="5"/>
      <c r="AM456" s="5"/>
      <c r="AN456" s="5"/>
      <c r="AO456" s="5"/>
      <c r="AP456" s="5"/>
      <c r="AS456" s="5"/>
      <c r="AT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row>
    <row r="457" ht="12.75" customHeight="1" hidden="1" spans="36:132" x14ac:dyDescent="0.25">
      <c r="AJ457" s="5"/>
      <c r="AK457" s="5"/>
      <c r="AL457" s="5"/>
      <c r="AM457" s="5"/>
      <c r="AN457" s="5"/>
      <c r="AO457" s="5"/>
      <c r="AP457" s="5"/>
      <c r="AS457" s="5"/>
      <c r="AT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row>
    <row r="458" ht="12.75" customHeight="1" hidden="1" spans="36:132" x14ac:dyDescent="0.25">
      <c r="AJ458" s="5"/>
      <c r="AK458" s="5"/>
      <c r="AL458" s="5"/>
      <c r="AM458" s="5"/>
      <c r="AN458" s="5"/>
      <c r="AO458" s="5"/>
      <c r="AP458" s="5"/>
      <c r="AS458" s="5"/>
      <c r="AT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row>
    <row r="459" ht="12.75" customHeight="1" hidden="1" spans="36:132" x14ac:dyDescent="0.25">
      <c r="AJ459" s="5"/>
      <c r="AK459" s="5"/>
      <c r="AL459" s="5"/>
      <c r="AM459" s="5"/>
      <c r="AN459" s="5"/>
      <c r="AO459" s="5"/>
      <c r="AP459" s="5"/>
      <c r="AS459" s="5"/>
      <c r="AT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row>
    <row r="460" ht="12.75" customHeight="1" hidden="1" spans="36:132" x14ac:dyDescent="0.25">
      <c r="AJ460" s="5"/>
      <c r="AK460" s="5"/>
      <c r="AL460" s="5"/>
      <c r="AM460" s="5"/>
      <c r="AN460" s="5"/>
      <c r="AO460" s="5"/>
      <c r="AP460" s="5"/>
      <c r="AS460" s="5"/>
      <c r="AT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row>
    <row r="461" ht="12.75" customHeight="1" hidden="1" spans="36:132" x14ac:dyDescent="0.25">
      <c r="AJ461" s="5"/>
      <c r="AK461" s="5"/>
      <c r="AL461" s="5"/>
      <c r="AM461" s="5"/>
      <c r="AN461" s="5"/>
      <c r="AO461" s="5"/>
      <c r="AP461" s="5"/>
      <c r="AS461" s="5"/>
      <c r="AT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row>
    <row r="462" ht="12.75" customHeight="1" hidden="1" spans="36:132" x14ac:dyDescent="0.25">
      <c r="AJ462" s="5"/>
      <c r="AK462" s="5"/>
      <c r="AL462" s="5"/>
      <c r="AM462" s="5"/>
      <c r="AN462" s="5"/>
      <c r="AO462" s="5"/>
      <c r="AP462" s="5"/>
      <c r="AS462" s="5"/>
      <c r="AT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row>
    <row r="463" ht="12.75" customHeight="1" hidden="1" spans="36:132" x14ac:dyDescent="0.25">
      <c r="AJ463" s="5"/>
      <c r="AK463" s="5"/>
      <c r="AL463" s="5"/>
      <c r="AM463" s="5"/>
      <c r="AN463" s="5"/>
      <c r="AO463" s="5"/>
      <c r="AP463" s="5"/>
      <c r="AS463" s="5"/>
      <c r="AT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row>
    <row r="464" ht="12.75" customHeight="1" hidden="1" spans="36:132" x14ac:dyDescent="0.25">
      <c r="AJ464" s="5"/>
      <c r="AK464" s="5"/>
      <c r="AL464" s="5"/>
      <c r="AM464" s="5"/>
      <c r="AN464" s="5"/>
      <c r="AO464" s="5"/>
      <c r="AP464" s="5"/>
      <c r="AS464" s="5"/>
      <c r="AT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row>
    <row r="465" ht="12.75" customHeight="1" hidden="1" spans="36:132" x14ac:dyDescent="0.25">
      <c r="AJ465" s="5"/>
      <c r="AK465" s="5"/>
      <c r="AL465" s="5"/>
      <c r="AM465" s="5"/>
      <c r="AN465" s="5"/>
      <c r="AO465" s="5"/>
      <c r="AP465" s="5"/>
      <c r="AS465" s="5"/>
      <c r="AT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row>
    <row r="466" ht="12.75" customHeight="1" hidden="1" spans="36:132" x14ac:dyDescent="0.25">
      <c r="AJ466" s="5"/>
      <c r="AK466" s="5"/>
      <c r="AL466" s="5"/>
      <c r="AM466" s="5"/>
      <c r="AN466" s="5"/>
      <c r="AO466" s="5"/>
      <c r="AP466" s="5"/>
      <c r="AS466" s="5"/>
      <c r="AT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row>
    <row r="467" ht="12.75" customHeight="1" hidden="1" spans="36:132" x14ac:dyDescent="0.25">
      <c r="AJ467" s="5"/>
      <c r="AK467" s="5"/>
      <c r="AL467" s="5"/>
      <c r="AM467" s="5"/>
      <c r="AN467" s="5"/>
      <c r="AO467" s="5"/>
      <c r="AP467" s="5"/>
      <c r="AS467" s="5"/>
      <c r="AT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row>
    <row r="468" ht="12.75" customHeight="1" hidden="1" spans="36:132" x14ac:dyDescent="0.25">
      <c r="AJ468" s="5"/>
      <c r="AK468" s="5"/>
      <c r="AL468" s="5"/>
      <c r="AM468" s="5"/>
      <c r="AN468" s="5"/>
      <c r="AO468" s="5"/>
      <c r="AP468" s="5"/>
      <c r="AS468" s="5"/>
      <c r="AT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row>
    <row r="469" ht="12.75" customHeight="1" hidden="1" spans="36:132" x14ac:dyDescent="0.25">
      <c r="AJ469" s="5"/>
      <c r="AK469" s="5"/>
      <c r="AL469" s="5"/>
      <c r="AM469" s="5"/>
      <c r="AN469" s="5"/>
      <c r="AO469" s="5"/>
      <c r="AP469" s="5"/>
      <c r="AS469" s="5"/>
      <c r="AT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row>
    <row r="470" ht="12.75" customHeight="1" hidden="1" spans="36:132" x14ac:dyDescent="0.25">
      <c r="AJ470" s="5"/>
      <c r="AK470" s="5"/>
      <c r="AL470" s="5"/>
      <c r="AM470" s="5"/>
      <c r="AN470" s="5"/>
      <c r="AO470" s="5"/>
      <c r="AP470" s="5"/>
      <c r="AS470" s="5"/>
      <c r="AT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row>
    <row r="471" ht="12.75" customHeight="1" hidden="1" spans="36:132" x14ac:dyDescent="0.25">
      <c r="AJ471" s="5"/>
      <c r="AK471" s="5"/>
      <c r="AL471" s="5"/>
      <c r="AM471" s="5"/>
      <c r="AN471" s="5"/>
      <c r="AO471" s="5"/>
      <c r="AP471" s="5"/>
      <c r="AS471" s="5"/>
      <c r="AT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row>
    <row r="472" ht="12.75" customHeight="1" hidden="1" spans="36:132" x14ac:dyDescent="0.25">
      <c r="AJ472" s="5"/>
      <c r="AK472" s="5"/>
      <c r="AL472" s="5"/>
      <c r="AM472" s="5"/>
      <c r="AN472" s="5"/>
      <c r="AO472" s="5"/>
      <c r="AP472" s="5"/>
      <c r="AS472" s="5"/>
      <c r="AT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row>
    <row r="473" ht="12.75" customHeight="1" hidden="1" spans="36:132" x14ac:dyDescent="0.25">
      <c r="AJ473" s="5"/>
      <c r="AK473" s="5"/>
      <c r="AL473" s="5"/>
      <c r="AM473" s="5"/>
      <c r="AN473" s="5"/>
      <c r="AO473" s="5"/>
      <c r="AP473" s="5"/>
      <c r="AS473" s="5"/>
      <c r="AT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row>
    <row r="474" ht="12.75" customHeight="1" hidden="1" spans="36:132" x14ac:dyDescent="0.25">
      <c r="AJ474" s="5"/>
      <c r="AK474" s="5"/>
      <c r="AL474" s="5"/>
      <c r="AM474" s="5"/>
      <c r="AN474" s="5"/>
      <c r="AO474" s="5"/>
      <c r="AP474" s="5"/>
      <c r="AS474" s="5"/>
      <c r="AT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row>
    <row r="475" ht="12.75" customHeight="1" hidden="1" spans="36:132" x14ac:dyDescent="0.25">
      <c r="AJ475" s="5"/>
      <c r="AK475" s="5"/>
      <c r="AL475" s="5"/>
      <c r="AM475" s="5"/>
      <c r="AN475" s="5"/>
      <c r="AO475" s="5"/>
      <c r="AP475" s="5"/>
      <c r="AS475" s="5"/>
      <c r="AT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row>
    <row r="476" ht="12.75" customHeight="1" hidden="1" spans="36:132" x14ac:dyDescent="0.25">
      <c r="AJ476" s="5"/>
      <c r="AK476" s="5"/>
      <c r="AL476" s="5"/>
      <c r="AM476" s="5"/>
      <c r="AN476" s="5"/>
      <c r="AO476" s="5"/>
      <c r="AP476" s="5"/>
      <c r="AS476" s="5"/>
      <c r="AT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row>
    <row r="477" ht="12.75" customHeight="1" hidden="1" spans="36:132" x14ac:dyDescent="0.25">
      <c r="AJ477" s="5"/>
      <c r="AK477" s="5"/>
      <c r="AL477" s="5"/>
      <c r="AM477" s="5"/>
      <c r="AN477" s="5"/>
      <c r="AO477" s="5"/>
      <c r="AP477" s="5"/>
      <c r="AS477" s="5"/>
      <c r="AT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row>
    <row r="478" ht="12.75" customHeight="1" hidden="1" spans="36:132" x14ac:dyDescent="0.25">
      <c r="AJ478" s="5"/>
      <c r="AK478" s="5"/>
      <c r="AL478" s="5"/>
      <c r="AM478" s="5"/>
      <c r="AN478" s="5"/>
      <c r="AO478" s="5"/>
      <c r="AP478" s="5"/>
      <c r="AS478" s="5"/>
      <c r="AT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row>
    <row r="479" ht="12.75" customHeight="1" hidden="1" spans="36:132" x14ac:dyDescent="0.25">
      <c r="AJ479" s="5"/>
      <c r="AK479" s="5"/>
      <c r="AL479" s="5"/>
      <c r="AM479" s="5"/>
      <c r="AN479" s="5"/>
      <c r="AO479" s="5"/>
      <c r="AP479" s="5"/>
      <c r="AS479" s="5"/>
      <c r="AT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row>
    <row r="480" ht="12.75" customHeight="1" hidden="1" spans="36:132" x14ac:dyDescent="0.25">
      <c r="AJ480" s="5"/>
      <c r="AK480" s="5"/>
      <c r="AL480" s="5"/>
      <c r="AM480" s="5"/>
      <c r="AN480" s="5"/>
      <c r="AO480" s="5"/>
      <c r="AP480" s="5"/>
      <c r="AS480" s="5"/>
      <c r="AT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row>
    <row r="481" ht="12.75" customHeight="1" hidden="1" spans="36:132" x14ac:dyDescent="0.25">
      <c r="AJ481" s="5"/>
      <c r="AK481" s="5"/>
      <c r="AL481" s="5"/>
      <c r="AM481" s="5"/>
      <c r="AN481" s="5"/>
      <c r="AO481" s="5"/>
      <c r="AP481" s="5"/>
      <c r="AS481" s="5"/>
      <c r="AT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row>
    <row r="482" ht="12.75" customHeight="1" hidden="1" spans="36:132" x14ac:dyDescent="0.25">
      <c r="AJ482" s="5"/>
      <c r="AK482" s="5"/>
      <c r="AL482" s="5"/>
      <c r="AM482" s="5"/>
      <c r="AN482" s="5"/>
      <c r="AO482" s="5"/>
      <c r="AP482" s="5"/>
      <c r="AS482" s="5"/>
      <c r="AT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row>
    <row r="483" ht="12.75" customHeight="1" hidden="1" spans="36:132" x14ac:dyDescent="0.25">
      <c r="AJ483" s="5"/>
      <c r="AK483" s="5"/>
      <c r="AL483" s="5"/>
      <c r="AM483" s="5"/>
      <c r="AN483" s="5"/>
      <c r="AO483" s="5"/>
      <c r="AP483" s="5"/>
      <c r="AS483" s="5"/>
      <c r="AT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row>
    <row r="484" ht="12.75" customHeight="1" hidden="1" spans="36:132" x14ac:dyDescent="0.25">
      <c r="AJ484" s="5"/>
      <c r="AK484" s="5"/>
      <c r="AL484" s="5"/>
      <c r="AM484" s="5"/>
      <c r="AN484" s="5"/>
      <c r="AO484" s="5"/>
      <c r="AP484" s="5"/>
      <c r="AS484" s="5"/>
      <c r="AT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row>
    <row r="485" ht="12.75" customHeight="1" hidden="1" spans="36:132" x14ac:dyDescent="0.25">
      <c r="AJ485" s="5"/>
      <c r="AK485" s="5"/>
      <c r="AL485" s="5"/>
      <c r="AM485" s="5"/>
      <c r="AN485" s="5"/>
      <c r="AO485" s="5"/>
      <c r="AP485" s="5"/>
      <c r="AS485" s="5"/>
      <c r="AT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row>
    <row r="486" ht="12.75" customHeight="1" hidden="1" spans="36:132" x14ac:dyDescent="0.25">
      <c r="AJ486" s="5"/>
      <c r="AK486" s="5"/>
      <c r="AL486" s="5"/>
      <c r="AM486" s="5"/>
      <c r="AN486" s="5"/>
      <c r="AO486" s="5"/>
      <c r="AP486" s="5"/>
      <c r="AS486" s="5"/>
      <c r="AT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row>
    <row r="487" ht="12.75" customHeight="1" hidden="1" spans="36:132" x14ac:dyDescent="0.25">
      <c r="AJ487" s="5"/>
      <c r="AK487" s="5"/>
      <c r="AL487" s="5"/>
      <c r="AM487" s="5"/>
      <c r="AN487" s="5"/>
      <c r="AO487" s="5"/>
      <c r="AP487" s="5"/>
      <c r="AS487" s="5"/>
      <c r="AT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row>
    <row r="488" ht="12.75" customHeight="1" hidden="1" spans="36:132" x14ac:dyDescent="0.25">
      <c r="AJ488" s="5"/>
      <c r="AK488" s="5"/>
      <c r="AL488" s="5"/>
      <c r="AM488" s="5"/>
      <c r="AN488" s="5"/>
      <c r="AO488" s="5"/>
      <c r="AP488" s="5"/>
      <c r="AS488" s="5"/>
      <c r="AT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row>
    <row r="489" ht="12.75" customHeight="1" hidden="1" spans="36:132" x14ac:dyDescent="0.25">
      <c r="AJ489" s="5"/>
      <c r="AK489" s="5"/>
      <c r="AL489" s="5"/>
      <c r="AM489" s="5"/>
      <c r="AN489" s="5"/>
      <c r="AO489" s="5"/>
      <c r="AP489" s="5"/>
      <c r="AS489" s="5"/>
      <c r="AT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row>
    <row r="490" ht="12.75" customHeight="1" hidden="1" spans="36:132" x14ac:dyDescent="0.25">
      <c r="AJ490" s="5"/>
      <c r="AK490" s="5"/>
      <c r="AL490" s="5"/>
      <c r="AM490" s="5"/>
      <c r="AN490" s="5"/>
      <c r="AO490" s="5"/>
      <c r="AP490" s="5"/>
      <c r="AS490" s="5"/>
      <c r="AT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row>
    <row r="491" ht="12.75" customHeight="1" hidden="1" spans="36:132" x14ac:dyDescent="0.25">
      <c r="AJ491" s="5"/>
      <c r="AK491" s="5"/>
      <c r="AL491" s="5"/>
      <c r="AM491" s="5"/>
      <c r="AN491" s="5"/>
      <c r="AO491" s="5"/>
      <c r="AP491" s="5"/>
      <c r="AS491" s="5"/>
      <c r="AT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row>
    <row r="492" ht="12.75" customHeight="1" hidden="1" spans="36:132" x14ac:dyDescent="0.25">
      <c r="AJ492" s="5"/>
      <c r="AK492" s="5"/>
      <c r="AL492" s="5"/>
      <c r="AM492" s="5"/>
      <c r="AN492" s="5"/>
      <c r="AO492" s="5"/>
      <c r="AP492" s="5"/>
      <c r="AS492" s="5"/>
      <c r="AT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row>
    <row r="493" ht="12.75" customHeight="1" hidden="1" spans="36:132" x14ac:dyDescent="0.25">
      <c r="AJ493" s="5"/>
      <c r="AK493" s="5"/>
      <c r="AL493" s="5"/>
      <c r="AM493" s="5"/>
      <c r="AN493" s="5"/>
      <c r="AO493" s="5"/>
      <c r="AP493" s="5"/>
      <c r="AS493" s="5"/>
      <c r="AT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row>
    <row r="494" ht="12.75" customHeight="1" hidden="1" spans="36:132" x14ac:dyDescent="0.25">
      <c r="AJ494" s="5"/>
      <c r="AK494" s="5"/>
      <c r="AL494" s="5"/>
      <c r="AM494" s="5"/>
      <c r="AN494" s="5"/>
      <c r="AO494" s="5"/>
      <c r="AP494" s="5"/>
      <c r="AS494" s="5"/>
      <c r="AT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row>
    <row r="495" ht="12.75" customHeight="1" hidden="1" spans="36:132" x14ac:dyDescent="0.25">
      <c r="AJ495" s="5"/>
      <c r="AK495" s="5"/>
      <c r="AL495" s="5"/>
      <c r="AM495" s="5"/>
      <c r="AN495" s="5"/>
      <c r="AO495" s="5"/>
      <c r="AP495" s="5"/>
      <c r="AS495" s="5"/>
      <c r="AT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row>
    <row r="496" ht="12.75" customHeight="1" hidden="1" spans="36:132" x14ac:dyDescent="0.25">
      <c r="AJ496" s="5"/>
      <c r="AK496" s="5"/>
      <c r="AL496" s="5"/>
      <c r="AM496" s="5"/>
      <c r="AN496" s="5"/>
      <c r="AO496" s="5"/>
      <c r="AP496" s="5"/>
      <c r="AS496" s="5"/>
      <c r="AT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row>
    <row r="497" ht="12.75" customHeight="1" hidden="1" spans="36:132" x14ac:dyDescent="0.25">
      <c r="AJ497" s="5"/>
      <c r="AK497" s="5"/>
      <c r="AL497" s="5"/>
      <c r="AM497" s="5"/>
      <c r="AN497" s="5"/>
      <c r="AO497" s="5"/>
      <c r="AP497" s="5"/>
      <c r="AS497" s="5"/>
      <c r="AT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row>
    <row r="498" ht="12.75" customHeight="1" hidden="1" spans="36:132" x14ac:dyDescent="0.25">
      <c r="AJ498" s="5"/>
      <c r="AK498" s="5"/>
      <c r="AL498" s="5"/>
      <c r="AM498" s="5"/>
      <c r="AN498" s="5"/>
      <c r="AO498" s="5"/>
      <c r="AP498" s="5"/>
      <c r="AS498" s="5"/>
      <c r="AT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row>
    <row r="499" ht="12.75" customHeight="1" hidden="1" spans="36:132" x14ac:dyDescent="0.25">
      <c r="AJ499" s="5"/>
      <c r="AK499" s="5"/>
      <c r="AL499" s="5"/>
      <c r="AM499" s="5"/>
      <c r="AN499" s="5"/>
      <c r="AO499" s="5"/>
      <c r="AP499" s="5"/>
      <c r="AS499" s="5"/>
      <c r="AT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row>
    <row r="500" ht="12.75" customHeight="1" hidden="1" spans="36:132" x14ac:dyDescent="0.25">
      <c r="AJ500" s="5"/>
      <c r="AK500" s="5"/>
      <c r="AL500" s="5"/>
      <c r="AM500" s="5"/>
      <c r="AN500" s="5"/>
      <c r="AO500" s="5"/>
      <c r="AP500" s="5"/>
      <c r="AS500" s="5"/>
      <c r="AT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row>
    <row r="501" ht="12.75" customHeight="1" hidden="1" spans="36:132" x14ac:dyDescent="0.25">
      <c r="AJ501" s="5"/>
      <c r="AK501" s="5"/>
      <c r="AL501" s="5"/>
      <c r="AM501" s="5"/>
      <c r="AN501" s="5"/>
      <c r="AO501" s="5"/>
      <c r="AP501" s="5"/>
      <c r="AS501" s="5"/>
      <c r="AT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row>
    <row r="502" ht="12.75" customHeight="1" hidden="1" spans="36:132" x14ac:dyDescent="0.25">
      <c r="AJ502" s="5"/>
      <c r="AK502" s="5"/>
      <c r="AL502" s="5"/>
      <c r="AM502" s="5"/>
      <c r="AN502" s="5"/>
      <c r="AO502" s="5"/>
      <c r="AP502" s="5"/>
      <c r="AS502" s="5"/>
      <c r="AT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row>
    <row r="503" ht="12.75" customHeight="1" hidden="1" spans="36:132" x14ac:dyDescent="0.25">
      <c r="AJ503" s="5"/>
      <c r="AK503" s="5"/>
      <c r="AL503" s="5"/>
      <c r="AM503" s="5"/>
      <c r="AN503" s="5"/>
      <c r="AO503" s="5"/>
      <c r="AP503" s="5"/>
      <c r="AS503" s="5"/>
      <c r="AT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row>
    <row r="504" ht="12.75" customHeight="1" hidden="1" spans="36:132" x14ac:dyDescent="0.25">
      <c r="AJ504" s="5"/>
      <c r="AK504" s="5"/>
      <c r="AL504" s="5"/>
      <c r="AM504" s="5"/>
      <c r="AN504" s="5"/>
      <c r="AO504" s="5"/>
      <c r="AP504" s="5"/>
      <c r="AS504" s="5"/>
      <c r="AT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row>
    <row r="505" ht="12.75" customHeight="1" hidden="1" spans="36:132" x14ac:dyDescent="0.25">
      <c r="AJ505" s="5"/>
      <c r="AK505" s="5"/>
      <c r="AL505" s="5"/>
      <c r="AM505" s="5"/>
      <c r="AN505" s="5"/>
      <c r="AO505" s="5"/>
      <c r="AP505" s="5"/>
      <c r="AS505" s="5"/>
      <c r="AT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row>
    <row r="506" ht="12.75" customHeight="1" hidden="1" spans="36:132" x14ac:dyDescent="0.25">
      <c r="AJ506" s="5"/>
      <c r="AK506" s="5"/>
      <c r="AL506" s="5"/>
      <c r="AM506" s="5"/>
      <c r="AN506" s="5"/>
      <c r="AO506" s="5"/>
      <c r="AP506" s="5"/>
      <c r="AS506" s="5"/>
      <c r="AT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row>
    <row r="507" ht="12.75" customHeight="1" hidden="1" spans="36:132" x14ac:dyDescent="0.25">
      <c r="AJ507" s="5"/>
      <c r="AK507" s="5"/>
      <c r="AL507" s="5"/>
      <c r="AM507" s="5"/>
      <c r="AN507" s="5"/>
      <c r="AO507" s="5"/>
      <c r="AP507" s="5"/>
      <c r="AS507" s="5"/>
      <c r="AT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row>
    <row r="508" ht="12.75" customHeight="1" hidden="1" spans="36:132" x14ac:dyDescent="0.25">
      <c r="AJ508" s="5"/>
      <c r="AK508" s="5"/>
      <c r="AL508" s="5"/>
      <c r="AM508" s="5"/>
      <c r="AN508" s="5"/>
      <c r="AO508" s="5"/>
      <c r="AP508" s="5"/>
      <c r="AS508" s="5"/>
      <c r="AT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row>
    <row r="509" ht="12.75" customHeight="1" hidden="1" spans="36:132" x14ac:dyDescent="0.25">
      <c r="AJ509" s="5"/>
      <c r="AK509" s="5"/>
      <c r="AL509" s="5"/>
      <c r="AM509" s="5"/>
      <c r="AN509" s="5"/>
      <c r="AO509" s="5"/>
      <c r="AP509" s="5"/>
      <c r="AS509" s="5"/>
      <c r="AT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row>
    <row r="510" ht="12.75" customHeight="1" hidden="1" spans="36:132" x14ac:dyDescent="0.25">
      <c r="AJ510" s="5"/>
      <c r="AK510" s="5"/>
      <c r="AL510" s="5"/>
      <c r="AM510" s="5"/>
      <c r="AN510" s="5"/>
      <c r="AO510" s="5"/>
      <c r="AP510" s="5"/>
      <c r="AS510" s="5"/>
      <c r="AT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row>
    <row r="511" ht="12.75" customHeight="1" hidden="1" spans="36:132" x14ac:dyDescent="0.25">
      <c r="AJ511" s="5"/>
      <c r="AK511" s="5"/>
      <c r="AL511" s="5"/>
      <c r="AM511" s="5"/>
      <c r="AN511" s="5"/>
      <c r="AO511" s="5"/>
      <c r="AP511" s="5"/>
      <c r="AS511" s="5"/>
      <c r="AT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row>
    <row r="512" ht="12.75" customHeight="1" hidden="1" spans="36:132" x14ac:dyDescent="0.25">
      <c r="AJ512" s="5"/>
      <c r="AK512" s="5"/>
      <c r="AL512" s="5"/>
      <c r="AM512" s="5"/>
      <c r="AN512" s="5"/>
      <c r="AO512" s="5"/>
      <c r="AP512" s="5"/>
      <c r="AS512" s="5"/>
      <c r="AT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row>
    <row r="513" ht="12.75" customHeight="1" hidden="1" spans="36:132" x14ac:dyDescent="0.25">
      <c r="AJ513" s="5"/>
      <c r="AK513" s="5"/>
      <c r="AL513" s="5"/>
      <c r="AM513" s="5"/>
      <c r="AN513" s="5"/>
      <c r="AO513" s="5"/>
      <c r="AP513" s="5"/>
      <c r="AS513" s="5"/>
      <c r="AT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row>
    <row r="514" ht="12.75" customHeight="1" hidden="1" spans="36:132" x14ac:dyDescent="0.25">
      <c r="AJ514" s="5"/>
      <c r="AK514" s="5"/>
      <c r="AL514" s="5"/>
      <c r="AM514" s="5"/>
      <c r="AN514" s="5"/>
      <c r="AO514" s="5"/>
      <c r="AP514" s="5"/>
      <c r="AS514" s="5"/>
      <c r="AT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row>
    <row r="515" ht="12.75" customHeight="1" hidden="1" spans="36:132" x14ac:dyDescent="0.25">
      <c r="AJ515" s="5"/>
      <c r="AK515" s="5"/>
      <c r="AL515" s="5"/>
      <c r="AM515" s="5"/>
      <c r="AN515" s="5"/>
      <c r="AO515" s="5"/>
      <c r="AP515" s="5"/>
      <c r="AS515" s="5"/>
      <c r="AT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row>
    <row r="516" ht="12.75" customHeight="1" hidden="1" spans="36:132" x14ac:dyDescent="0.25">
      <c r="AJ516" s="5"/>
      <c r="AK516" s="5"/>
      <c r="AL516" s="5"/>
      <c r="AM516" s="5"/>
      <c r="AN516" s="5"/>
      <c r="AO516" s="5"/>
      <c r="AP516" s="5"/>
      <c r="AS516" s="5"/>
      <c r="AT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row>
    <row r="517" ht="12.75" customHeight="1" hidden="1" spans="36:132" x14ac:dyDescent="0.25">
      <c r="AJ517" s="5"/>
      <c r="AK517" s="5"/>
      <c r="AL517" s="5"/>
      <c r="AM517" s="5"/>
      <c r="AN517" s="5"/>
      <c r="AO517" s="5"/>
      <c r="AP517" s="5"/>
      <c r="AS517" s="5"/>
      <c r="AT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row>
    <row r="518" ht="12.75" customHeight="1" hidden="1" spans="36:132" x14ac:dyDescent="0.25">
      <c r="AJ518" s="5"/>
      <c r="AK518" s="5"/>
      <c r="AL518" s="5"/>
      <c r="AM518" s="5"/>
      <c r="AN518" s="5"/>
      <c r="AO518" s="5"/>
      <c r="AP518" s="5"/>
      <c r="AS518" s="5"/>
      <c r="AT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row>
    <row r="519" ht="12.75" customHeight="1" hidden="1" spans="36:132" x14ac:dyDescent="0.25">
      <c r="AJ519" s="5"/>
      <c r="AK519" s="5"/>
      <c r="AL519" s="5"/>
      <c r="AM519" s="5"/>
      <c r="AN519" s="5"/>
      <c r="AO519" s="5"/>
      <c r="AP519" s="5"/>
      <c r="AS519" s="5"/>
      <c r="AT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row>
    <row r="520" ht="12.75" customHeight="1" hidden="1" spans="36:132" x14ac:dyDescent="0.25">
      <c r="AJ520" s="5"/>
      <c r="AK520" s="5"/>
      <c r="AL520" s="5"/>
      <c r="AM520" s="5"/>
      <c r="AN520" s="5"/>
      <c r="AO520" s="5"/>
      <c r="AP520" s="5"/>
      <c r="AS520" s="5"/>
      <c r="AT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row>
    <row r="521" ht="12.75" customHeight="1" hidden="1" spans="36:132" x14ac:dyDescent="0.25">
      <c r="AJ521" s="5"/>
      <c r="AK521" s="5"/>
      <c r="AL521" s="5"/>
      <c r="AM521" s="5"/>
      <c r="AN521" s="5"/>
      <c r="AO521" s="5"/>
      <c r="AP521" s="5"/>
      <c r="AS521" s="5"/>
      <c r="AT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row>
    <row r="522" ht="12.75" customHeight="1" hidden="1" spans="36:132" x14ac:dyDescent="0.25">
      <c r="AJ522" s="5"/>
      <c r="AK522" s="5"/>
      <c r="AL522" s="5"/>
      <c r="AM522" s="5"/>
      <c r="AN522" s="5"/>
      <c r="AO522" s="5"/>
      <c r="AP522" s="5"/>
      <c r="AS522" s="5"/>
      <c r="AT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row>
    <row r="523" ht="12.75" customHeight="1" hidden="1" spans="36:132" x14ac:dyDescent="0.25">
      <c r="AJ523" s="5"/>
      <c r="AK523" s="5"/>
      <c r="AL523" s="5"/>
      <c r="AM523" s="5"/>
      <c r="AN523" s="5"/>
      <c r="AO523" s="5"/>
      <c r="AP523" s="5"/>
      <c r="AS523" s="5"/>
      <c r="AT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row>
    <row r="524" ht="12.75" customHeight="1" hidden="1" spans="36:132" x14ac:dyDescent="0.25">
      <c r="AJ524" s="5"/>
      <c r="AK524" s="5"/>
      <c r="AL524" s="5"/>
      <c r="AM524" s="5"/>
      <c r="AN524" s="5"/>
      <c r="AO524" s="5"/>
      <c r="AP524" s="5"/>
      <c r="AS524" s="5"/>
      <c r="AT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row>
    <row r="525" ht="12.75" customHeight="1" hidden="1" spans="36:132" x14ac:dyDescent="0.25">
      <c r="AJ525" s="5"/>
      <c r="AK525" s="5"/>
      <c r="AL525" s="5"/>
      <c r="AM525" s="5"/>
      <c r="AN525" s="5"/>
      <c r="AO525" s="5"/>
      <c r="AP525" s="5"/>
      <c r="AS525" s="5"/>
      <c r="AT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row>
    <row r="526" ht="12.75" customHeight="1" hidden="1" spans="36:132" x14ac:dyDescent="0.25">
      <c r="AJ526" s="5"/>
      <c r="AK526" s="5"/>
      <c r="AL526" s="5"/>
      <c r="AM526" s="5"/>
      <c r="AN526" s="5"/>
      <c r="AO526" s="5"/>
      <c r="AP526" s="5"/>
      <c r="AS526" s="5"/>
      <c r="AT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row>
    <row r="527" ht="12.75" customHeight="1" hidden="1" spans="36:132" x14ac:dyDescent="0.25">
      <c r="AJ527" s="5"/>
      <c r="AK527" s="5"/>
      <c r="AL527" s="5"/>
      <c r="AM527" s="5"/>
      <c r="AN527" s="5"/>
      <c r="AO527" s="5"/>
      <c r="AP527" s="5"/>
      <c r="AS527" s="5"/>
      <c r="AT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row>
    <row r="528" ht="12.75" customHeight="1" hidden="1" spans="36:132" x14ac:dyDescent="0.25">
      <c r="AJ528" s="5"/>
      <c r="AK528" s="5"/>
      <c r="AL528" s="5"/>
      <c r="AM528" s="5"/>
      <c r="AN528" s="5"/>
      <c r="AO528" s="5"/>
      <c r="AP528" s="5"/>
      <c r="AS528" s="5"/>
      <c r="AT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row>
    <row r="529" ht="12.75" customHeight="1" hidden="1" spans="36:132" x14ac:dyDescent="0.25">
      <c r="AJ529" s="5"/>
      <c r="AK529" s="5"/>
      <c r="AL529" s="5"/>
      <c r="AM529" s="5"/>
      <c r="AN529" s="5"/>
      <c r="AO529" s="5"/>
      <c r="AP529" s="5"/>
      <c r="AS529" s="5"/>
      <c r="AT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row>
    <row r="530" ht="12.75" customHeight="1" hidden="1" spans="36:132" x14ac:dyDescent="0.25">
      <c r="AJ530" s="5"/>
      <c r="AK530" s="5"/>
      <c r="AL530" s="5"/>
      <c r="AM530" s="5"/>
      <c r="AN530" s="5"/>
      <c r="AO530" s="5"/>
      <c r="AP530" s="5"/>
      <c r="AS530" s="5"/>
      <c r="AT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row>
    <row r="531" ht="12.75" customHeight="1" hidden="1" spans="36:132" x14ac:dyDescent="0.25">
      <c r="AJ531" s="5"/>
      <c r="AK531" s="5"/>
      <c r="AL531" s="5"/>
      <c r="AM531" s="5"/>
      <c r="AN531" s="5"/>
      <c r="AO531" s="5"/>
      <c r="AP531" s="5"/>
      <c r="AS531" s="5"/>
      <c r="AT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row>
    <row r="532" ht="12.75" customHeight="1" hidden="1" spans="36:132" x14ac:dyDescent="0.25">
      <c r="AJ532" s="5"/>
      <c r="AK532" s="5"/>
      <c r="AL532" s="5"/>
      <c r="AM532" s="5"/>
      <c r="AN532" s="5"/>
      <c r="AO532" s="5"/>
      <c r="AP532" s="5"/>
      <c r="AS532" s="5"/>
      <c r="AT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row>
    <row r="533" ht="12.75" customHeight="1" hidden="1" spans="36:132" x14ac:dyDescent="0.25">
      <c r="AJ533" s="5"/>
      <c r="AK533" s="5"/>
      <c r="AL533" s="5"/>
      <c r="AM533" s="5"/>
      <c r="AN533" s="5"/>
      <c r="AO533" s="5"/>
      <c r="AP533" s="5"/>
      <c r="AS533" s="5"/>
      <c r="AT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row>
    <row r="534" ht="12.75" customHeight="1" hidden="1" spans="36:132" x14ac:dyDescent="0.25">
      <c r="AJ534" s="5"/>
      <c r="AK534" s="5"/>
      <c r="AL534" s="5"/>
      <c r="AM534" s="5"/>
      <c r="AN534" s="5"/>
      <c r="AO534" s="5"/>
      <c r="AP534" s="5"/>
      <c r="AS534" s="5"/>
      <c r="AT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row>
    <row r="535" ht="12.75" customHeight="1" hidden="1" spans="36:132" x14ac:dyDescent="0.25">
      <c r="AJ535" s="5"/>
      <c r="AK535" s="5"/>
      <c r="AL535" s="5"/>
      <c r="AM535" s="5"/>
      <c r="AN535" s="5"/>
      <c r="AO535" s="5"/>
      <c r="AP535" s="5"/>
      <c r="AS535" s="5"/>
      <c r="AT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row>
    <row r="536" ht="12.75" customHeight="1" hidden="1" spans="36:132" x14ac:dyDescent="0.25">
      <c r="AJ536" s="5"/>
      <c r="AK536" s="5"/>
      <c r="AL536" s="5"/>
      <c r="AM536" s="5"/>
      <c r="AN536" s="5"/>
      <c r="AO536" s="5"/>
      <c r="AP536" s="5"/>
      <c r="AS536" s="5"/>
      <c r="AT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row>
    <row r="537" ht="12.75" customHeight="1" hidden="1" spans="36:132" x14ac:dyDescent="0.25">
      <c r="AJ537" s="5"/>
      <c r="AK537" s="5"/>
      <c r="AL537" s="5"/>
      <c r="AM537" s="5"/>
      <c r="AN537" s="5"/>
      <c r="AO537" s="5"/>
      <c r="AP537" s="5"/>
      <c r="AS537" s="5"/>
      <c r="AT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row>
    <row r="538" ht="12.75" customHeight="1" hidden="1" spans="36:132" x14ac:dyDescent="0.25">
      <c r="AJ538" s="5"/>
      <c r="AK538" s="5"/>
      <c r="AL538" s="5"/>
      <c r="AM538" s="5"/>
      <c r="AN538" s="5"/>
      <c r="AO538" s="5"/>
      <c r="AP538" s="5"/>
      <c r="AS538" s="5"/>
      <c r="AT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row>
    <row r="539" ht="12.75" customHeight="1" hidden="1" spans="36:132" x14ac:dyDescent="0.25">
      <c r="AJ539" s="5"/>
      <c r="AK539" s="5"/>
      <c r="AL539" s="5"/>
      <c r="AM539" s="5"/>
      <c r="AN539" s="5"/>
      <c r="AO539" s="5"/>
      <c r="AP539" s="5"/>
      <c r="AS539" s="5"/>
      <c r="AT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row>
    <row r="540" ht="12.75" customHeight="1" hidden="1" spans="36:132" x14ac:dyDescent="0.25">
      <c r="AJ540" s="5"/>
      <c r="AK540" s="5"/>
      <c r="AL540" s="5"/>
      <c r="AM540" s="5"/>
      <c r="AN540" s="5"/>
      <c r="AO540" s="5"/>
      <c r="AP540" s="5"/>
      <c r="AS540" s="5"/>
      <c r="AT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row>
    <row r="541" ht="12.75" customHeight="1" hidden="1" spans="36:132" x14ac:dyDescent="0.25">
      <c r="AJ541" s="5"/>
      <c r="AK541" s="5"/>
      <c r="AL541" s="5"/>
      <c r="AM541" s="5"/>
      <c r="AN541" s="5"/>
      <c r="AO541" s="5"/>
      <c r="AP541" s="5"/>
      <c r="AS541" s="5"/>
      <c r="AT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row>
    <row r="542" ht="12.75" customHeight="1" hidden="1" spans="36:132" x14ac:dyDescent="0.25">
      <c r="AJ542" s="5"/>
      <c r="AK542" s="5"/>
      <c r="AL542" s="5"/>
      <c r="AM542" s="5"/>
      <c r="AN542" s="5"/>
      <c r="AO542" s="5"/>
      <c r="AP542" s="5"/>
      <c r="AS542" s="5"/>
      <c r="AT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row>
    <row r="543" ht="12.75" customHeight="1" hidden="1" spans="36:132" x14ac:dyDescent="0.25">
      <c r="AJ543" s="5"/>
      <c r="AK543" s="5"/>
      <c r="AL543" s="5"/>
      <c r="AM543" s="5"/>
      <c r="AN543" s="5"/>
      <c r="AO543" s="5"/>
      <c r="AP543" s="5"/>
      <c r="AS543" s="5"/>
      <c r="AT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row>
    <row r="544" ht="12.75" customHeight="1" hidden="1" spans="36:132" x14ac:dyDescent="0.25">
      <c r="AJ544" s="5"/>
      <c r="AK544" s="5"/>
      <c r="AL544" s="5"/>
      <c r="AM544" s="5"/>
      <c r="AN544" s="5"/>
      <c r="AO544" s="5"/>
      <c r="AP544" s="5"/>
      <c r="AS544" s="5"/>
      <c r="AT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row>
    <row r="545" ht="12.75" customHeight="1" hidden="1" spans="36:132" x14ac:dyDescent="0.25">
      <c r="AJ545" s="5"/>
      <c r="AK545" s="5"/>
      <c r="AL545" s="5"/>
      <c r="AM545" s="5"/>
      <c r="AN545" s="5"/>
      <c r="AO545" s="5"/>
      <c r="AP545" s="5"/>
      <c r="AS545" s="5"/>
      <c r="AT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row>
    <row r="546" ht="12.75" customHeight="1" hidden="1" spans="36:132" x14ac:dyDescent="0.25">
      <c r="AJ546" s="5"/>
      <c r="AK546" s="5"/>
      <c r="AL546" s="5"/>
      <c r="AM546" s="5"/>
      <c r="AN546" s="5"/>
      <c r="AO546" s="5"/>
      <c r="AP546" s="5"/>
      <c r="AS546" s="5"/>
      <c r="AT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row>
    <row r="547" ht="12.75" customHeight="1" hidden="1" spans="36:132" x14ac:dyDescent="0.25">
      <c r="AJ547" s="5"/>
      <c r="AK547" s="5"/>
      <c r="AL547" s="5"/>
      <c r="AM547" s="5"/>
      <c r="AN547" s="5"/>
      <c r="AO547" s="5"/>
      <c r="AP547" s="5"/>
      <c r="AS547" s="5"/>
      <c r="AT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row>
    <row r="548" ht="12.75" customHeight="1" hidden="1" spans="36:132" x14ac:dyDescent="0.25">
      <c r="AJ548" s="5"/>
      <c r="AK548" s="5"/>
      <c r="AL548" s="5"/>
      <c r="AM548" s="5"/>
      <c r="AN548" s="5"/>
      <c r="AO548" s="5"/>
      <c r="AP548" s="5"/>
      <c r="AS548" s="5"/>
      <c r="AT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row>
    <row r="549" ht="12.75" customHeight="1" hidden="1" spans="36:132" x14ac:dyDescent="0.25">
      <c r="AJ549" s="5"/>
      <c r="AK549" s="5"/>
      <c r="AL549" s="5"/>
      <c r="AM549" s="5"/>
      <c r="AN549" s="5"/>
      <c r="AO549" s="5"/>
      <c r="AP549" s="5"/>
      <c r="AS549" s="5"/>
      <c r="AT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row>
    <row r="550" ht="12.75" customHeight="1" hidden="1" spans="36:132" x14ac:dyDescent="0.25">
      <c r="AJ550" s="5"/>
      <c r="AK550" s="5"/>
      <c r="AL550" s="5"/>
      <c r="AM550" s="5"/>
      <c r="AN550" s="5"/>
      <c r="AO550" s="5"/>
      <c r="AP550" s="5"/>
      <c r="AS550" s="5"/>
      <c r="AT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row>
    <row r="551" ht="12.75" customHeight="1" hidden="1" spans="36:132" x14ac:dyDescent="0.25">
      <c r="AJ551" s="5"/>
      <c r="AK551" s="5"/>
      <c r="AL551" s="5"/>
      <c r="AM551" s="5"/>
      <c r="AN551" s="5"/>
      <c r="AO551" s="5"/>
      <c r="AP551" s="5"/>
      <c r="AS551" s="5"/>
      <c r="AT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row>
    <row r="552" ht="12.75" customHeight="1" hidden="1" spans="36:132" x14ac:dyDescent="0.25">
      <c r="AJ552" s="5"/>
      <c r="AK552" s="5"/>
      <c r="AL552" s="5"/>
      <c r="AM552" s="5"/>
      <c r="AN552" s="5"/>
      <c r="AO552" s="5"/>
      <c r="AP552" s="5"/>
      <c r="AS552" s="5"/>
      <c r="AT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row>
    <row r="553" ht="12.75" customHeight="1" hidden="1" spans="36:132" x14ac:dyDescent="0.25">
      <c r="AJ553" s="5"/>
      <c r="AK553" s="5"/>
      <c r="AL553" s="5"/>
      <c r="AM553" s="5"/>
      <c r="AN553" s="5"/>
      <c r="AO553" s="5"/>
      <c r="AP553" s="5"/>
      <c r="AS553" s="5"/>
      <c r="AT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row>
    <row r="554" ht="12.75" customHeight="1" hidden="1" spans="36:132" x14ac:dyDescent="0.25">
      <c r="AJ554" s="5"/>
      <c r="AK554" s="5"/>
      <c r="AL554" s="5"/>
      <c r="AM554" s="5"/>
      <c r="AN554" s="5"/>
      <c r="AO554" s="5"/>
      <c r="AP554" s="5"/>
      <c r="AS554" s="5"/>
      <c r="AT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row>
    <row r="555" ht="12.75" customHeight="1" hidden="1" spans="36:132" x14ac:dyDescent="0.25">
      <c r="AJ555" s="5"/>
      <c r="AK555" s="5"/>
      <c r="AL555" s="5"/>
      <c r="AM555" s="5"/>
      <c r="AN555" s="5"/>
      <c r="AO555" s="5"/>
      <c r="AP555" s="5"/>
      <c r="AS555" s="5"/>
      <c r="AT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row>
    <row r="556" ht="12.75" customHeight="1" hidden="1" spans="36:132" x14ac:dyDescent="0.25">
      <c r="AJ556" s="5"/>
      <c r="AK556" s="5"/>
      <c r="AL556" s="5"/>
      <c r="AM556" s="5"/>
      <c r="AN556" s="5"/>
      <c r="AO556" s="5"/>
      <c r="AP556" s="5"/>
      <c r="AS556" s="5"/>
      <c r="AT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row>
    <row r="557" ht="12.75" customHeight="1" hidden="1" spans="36:132" x14ac:dyDescent="0.25">
      <c r="AJ557" s="5"/>
      <c r="AK557" s="5"/>
      <c r="AL557" s="5"/>
      <c r="AM557" s="5"/>
      <c r="AN557" s="5"/>
      <c r="AO557" s="5"/>
      <c r="AP557" s="5"/>
      <c r="AS557" s="5"/>
      <c r="AT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row>
    <row r="558" ht="12.75" customHeight="1" hidden="1" spans="36:132" x14ac:dyDescent="0.25">
      <c r="AJ558" s="5"/>
      <c r="AK558" s="5"/>
      <c r="AL558" s="5"/>
      <c r="AM558" s="5"/>
      <c r="AN558" s="5"/>
      <c r="AO558" s="5"/>
      <c r="AP558" s="5"/>
      <c r="AS558" s="5"/>
      <c r="AT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row>
    <row r="559" ht="12.75" customHeight="1" hidden="1" spans="36:132" x14ac:dyDescent="0.25">
      <c r="AJ559" s="5"/>
      <c r="AK559" s="5"/>
      <c r="AL559" s="5"/>
      <c r="AM559" s="5"/>
      <c r="AN559" s="5"/>
      <c r="AO559" s="5"/>
      <c r="AP559" s="5"/>
      <c r="AS559" s="5"/>
      <c r="AT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row>
    <row r="560" ht="12.75" customHeight="1" hidden="1" spans="36:132" x14ac:dyDescent="0.25">
      <c r="AJ560" s="5"/>
      <c r="AK560" s="5"/>
      <c r="AL560" s="5"/>
      <c r="AM560" s="5"/>
      <c r="AN560" s="5"/>
      <c r="AO560" s="5"/>
      <c r="AP560" s="5"/>
      <c r="AS560" s="5"/>
      <c r="AT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row>
    <row r="561" ht="12.75" customHeight="1" hidden="1" spans="36:132" x14ac:dyDescent="0.25">
      <c r="AJ561" s="5"/>
      <c r="AK561" s="5"/>
      <c r="AL561" s="5"/>
      <c r="AM561" s="5"/>
      <c r="AN561" s="5"/>
      <c r="AO561" s="5"/>
      <c r="AP561" s="5"/>
      <c r="AS561" s="5"/>
      <c r="AT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row>
    <row r="562" ht="12.75" customHeight="1" hidden="1" spans="36:132" x14ac:dyDescent="0.25">
      <c r="AJ562" s="5"/>
      <c r="AK562" s="5"/>
      <c r="AL562" s="5"/>
      <c r="AM562" s="5"/>
      <c r="AN562" s="5"/>
      <c r="AO562" s="5"/>
      <c r="AP562" s="5"/>
      <c r="AS562" s="5"/>
      <c r="AT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row>
    <row r="563" ht="12.75" customHeight="1" hidden="1" spans="36:132" x14ac:dyDescent="0.25">
      <c r="AJ563" s="5"/>
      <c r="AK563" s="5"/>
      <c r="AL563" s="5"/>
      <c r="AM563" s="5"/>
      <c r="AN563" s="5"/>
      <c r="AO563" s="5"/>
      <c r="AP563" s="5"/>
      <c r="AS563" s="5"/>
      <c r="AT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row>
    <row r="564" ht="12.75" customHeight="1" hidden="1" spans="36:132" x14ac:dyDescent="0.25">
      <c r="AJ564" s="5"/>
      <c r="AK564" s="5"/>
      <c r="AL564" s="5"/>
      <c r="AM564" s="5"/>
      <c r="AN564" s="5"/>
      <c r="AO564" s="5"/>
      <c r="AP564" s="5"/>
      <c r="AS564" s="5"/>
      <c r="AT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row>
    <row r="565" ht="12.75" customHeight="1" hidden="1" spans="36:132" x14ac:dyDescent="0.25">
      <c r="AJ565" s="5"/>
      <c r="AK565" s="5"/>
      <c r="AL565" s="5"/>
      <c r="AM565" s="5"/>
      <c r="AN565" s="5"/>
      <c r="AO565" s="5"/>
      <c r="AP565" s="5"/>
      <c r="AS565" s="5"/>
      <c r="AT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row>
    <row r="566" ht="12.75" customHeight="1" hidden="1" spans="36:132" x14ac:dyDescent="0.25">
      <c r="AJ566" s="5"/>
      <c r="AK566" s="5"/>
      <c r="AL566" s="5"/>
      <c r="AM566" s="5"/>
      <c r="AN566" s="5"/>
      <c r="AO566" s="5"/>
      <c r="AP566" s="5"/>
      <c r="AS566" s="5"/>
      <c r="AT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row>
    <row r="567" ht="12.75" customHeight="1" hidden="1" spans="36:132" x14ac:dyDescent="0.25">
      <c r="AJ567" s="5"/>
      <c r="AK567" s="5"/>
      <c r="AL567" s="5"/>
      <c r="AM567" s="5"/>
      <c r="AN567" s="5"/>
      <c r="AO567" s="5"/>
      <c r="AP567" s="5"/>
      <c r="AS567" s="5"/>
      <c r="AT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row>
    <row r="568" ht="12.75" customHeight="1" hidden="1" spans="36:132" x14ac:dyDescent="0.25">
      <c r="AJ568" s="5"/>
      <c r="AK568" s="5"/>
      <c r="AL568" s="5"/>
      <c r="AM568" s="5"/>
      <c r="AN568" s="5"/>
      <c r="AO568" s="5"/>
      <c r="AP568" s="5"/>
      <c r="AS568" s="5"/>
      <c r="AT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row>
    <row r="569" ht="12.75" customHeight="1" hidden="1" spans="36:132" x14ac:dyDescent="0.25">
      <c r="AJ569" s="5"/>
      <c r="AK569" s="5"/>
      <c r="AL569" s="5"/>
      <c r="AM569" s="5"/>
      <c r="AN569" s="5"/>
      <c r="AO569" s="5"/>
      <c r="AP569" s="5"/>
      <c r="AS569" s="5"/>
      <c r="AT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row>
    <row r="570" ht="12.75" customHeight="1" hidden="1" spans="36:132" x14ac:dyDescent="0.25">
      <c r="AJ570" s="5"/>
      <c r="AK570" s="5"/>
      <c r="AL570" s="5"/>
      <c r="AM570" s="5"/>
      <c r="AN570" s="5"/>
      <c r="AO570" s="5"/>
      <c r="AP570" s="5"/>
      <c r="AS570" s="5"/>
      <c r="AT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row>
    <row r="571" ht="12.75" customHeight="1" hidden="1" spans="36:132" x14ac:dyDescent="0.25">
      <c r="AJ571" s="5"/>
      <c r="AK571" s="5"/>
      <c r="AL571" s="5"/>
      <c r="AM571" s="5"/>
      <c r="AN571" s="5"/>
      <c r="AO571" s="5"/>
      <c r="AP571" s="5"/>
      <c r="AS571" s="5"/>
      <c r="AT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row>
    <row r="572" ht="12.75" customHeight="1" hidden="1" spans="36:132" x14ac:dyDescent="0.25">
      <c r="AJ572" s="5"/>
      <c r="AK572" s="5"/>
      <c r="AL572" s="5"/>
      <c r="AM572" s="5"/>
      <c r="AN572" s="5"/>
      <c r="AO572" s="5"/>
      <c r="AP572" s="5"/>
      <c r="AS572" s="5"/>
      <c r="AT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row>
    <row r="573" ht="12.75" customHeight="1" hidden="1" spans="36:132" x14ac:dyDescent="0.25">
      <c r="AJ573" s="5"/>
      <c r="AK573" s="5"/>
      <c r="AL573" s="5"/>
      <c r="AM573" s="5"/>
      <c r="AN573" s="5"/>
      <c r="AO573" s="5"/>
      <c r="AP573" s="5"/>
      <c r="AS573" s="5"/>
      <c r="AT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row>
    <row r="574" ht="12.75" customHeight="1" hidden="1" spans="36:132" x14ac:dyDescent="0.25">
      <c r="AJ574" s="5"/>
      <c r="AK574" s="5"/>
      <c r="AL574" s="5"/>
      <c r="AM574" s="5"/>
      <c r="AN574" s="5"/>
      <c r="AO574" s="5"/>
      <c r="AP574" s="5"/>
      <c r="AS574" s="5"/>
      <c r="AT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row>
    <row r="575" ht="12.75" customHeight="1" hidden="1" spans="36:132" x14ac:dyDescent="0.25">
      <c r="AJ575" s="5"/>
      <c r="AK575" s="5"/>
      <c r="AL575" s="5"/>
      <c r="AM575" s="5"/>
      <c r="AN575" s="5"/>
      <c r="AO575" s="5"/>
      <c r="AP575" s="5"/>
      <c r="AS575" s="5"/>
      <c r="AT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row>
    <row r="576" ht="12.75" customHeight="1" hidden="1" spans="36:132" x14ac:dyDescent="0.25">
      <c r="AJ576" s="5"/>
      <c r="AK576" s="5"/>
      <c r="AL576" s="5"/>
      <c r="AM576" s="5"/>
      <c r="AN576" s="5"/>
      <c r="AO576" s="5"/>
      <c r="AP576" s="5"/>
      <c r="AS576" s="5"/>
      <c r="AT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row>
    <row r="577" ht="12.75" customHeight="1" hidden="1" spans="36:132" x14ac:dyDescent="0.25">
      <c r="AJ577" s="5"/>
      <c r="AK577" s="5"/>
      <c r="AL577" s="5"/>
      <c r="AM577" s="5"/>
      <c r="AN577" s="5"/>
      <c r="AO577" s="5"/>
      <c r="AP577" s="5"/>
      <c r="AS577" s="5"/>
      <c r="AT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row>
    <row r="578" ht="12.75" customHeight="1" hidden="1" spans="36:132" x14ac:dyDescent="0.25">
      <c r="AJ578" s="5"/>
      <c r="AK578" s="5"/>
      <c r="AL578" s="5"/>
      <c r="AM578" s="5"/>
      <c r="AN578" s="5"/>
      <c r="AO578" s="5"/>
      <c r="AP578" s="5"/>
      <c r="AS578" s="5"/>
      <c r="AT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row>
    <row r="579" ht="12.75" customHeight="1" hidden="1" spans="36:132" x14ac:dyDescent="0.25">
      <c r="AJ579" s="5"/>
      <c r="AK579" s="5"/>
      <c r="AL579" s="5"/>
      <c r="AM579" s="5"/>
      <c r="AN579" s="5"/>
      <c r="AO579" s="5"/>
      <c r="AP579" s="5"/>
      <c r="AS579" s="5"/>
      <c r="AT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row>
    <row r="580" ht="12.75" customHeight="1" hidden="1" spans="36:132" x14ac:dyDescent="0.25">
      <c r="AJ580" s="5"/>
      <c r="AK580" s="5"/>
      <c r="AL580" s="5"/>
      <c r="AM580" s="5"/>
      <c r="AN580" s="5"/>
      <c r="AO580" s="5"/>
      <c r="AP580" s="5"/>
      <c r="AS580" s="5"/>
      <c r="AT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row>
    <row r="581" ht="12.75" customHeight="1" hidden="1" spans="36:132" x14ac:dyDescent="0.25">
      <c r="AJ581" s="5"/>
      <c r="AK581" s="5"/>
      <c r="AL581" s="5"/>
      <c r="AM581" s="5"/>
      <c r="AN581" s="5"/>
      <c r="AO581" s="5"/>
      <c r="AP581" s="5"/>
      <c r="AS581" s="5"/>
      <c r="AT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row>
    <row r="582" ht="12.75" customHeight="1" hidden="1" spans="36:132" x14ac:dyDescent="0.25">
      <c r="AJ582" s="5"/>
      <c r="AK582" s="5"/>
      <c r="AL582" s="5"/>
      <c r="AM582" s="5"/>
      <c r="AN582" s="5"/>
      <c r="AO582" s="5"/>
      <c r="AP582" s="5"/>
      <c r="AS582" s="5"/>
      <c r="AT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row>
    <row r="583" ht="12.75" customHeight="1" hidden="1" spans="36:132" x14ac:dyDescent="0.25">
      <c r="AJ583" s="5"/>
      <c r="AK583" s="5"/>
      <c r="AL583" s="5"/>
      <c r="AM583" s="5"/>
      <c r="AN583" s="5"/>
      <c r="AO583" s="5"/>
      <c r="AP583" s="5"/>
      <c r="AS583" s="5"/>
      <c r="AT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row>
    <row r="584" ht="12.75" customHeight="1" hidden="1" spans="36:132" x14ac:dyDescent="0.25">
      <c r="AJ584" s="5"/>
      <c r="AK584" s="5"/>
      <c r="AL584" s="5"/>
      <c r="AM584" s="5"/>
      <c r="AN584" s="5"/>
      <c r="AO584" s="5"/>
      <c r="AP584" s="5"/>
      <c r="AS584" s="5"/>
      <c r="AT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row>
    <row r="585" ht="12.75" customHeight="1" hidden="1" spans="36:132" x14ac:dyDescent="0.25">
      <c r="AJ585" s="5"/>
      <c r="AK585" s="5"/>
      <c r="AL585" s="5"/>
      <c r="AM585" s="5"/>
      <c r="AN585" s="5"/>
      <c r="AO585" s="5"/>
      <c r="AP585" s="5"/>
      <c r="AS585" s="5"/>
      <c r="AT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row>
    <row r="586" ht="12.75" customHeight="1" hidden="1" spans="36:132" x14ac:dyDescent="0.25">
      <c r="AJ586" s="5"/>
      <c r="AK586" s="5"/>
      <c r="AL586" s="5"/>
      <c r="AM586" s="5"/>
      <c r="AN586" s="5"/>
      <c r="AO586" s="5"/>
      <c r="AP586" s="5"/>
      <c r="AS586" s="5"/>
      <c r="AT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row>
    <row r="587" ht="12.75" customHeight="1" hidden="1" spans="36:132" x14ac:dyDescent="0.25">
      <c r="AJ587" s="5"/>
      <c r="AK587" s="5"/>
      <c r="AL587" s="5"/>
      <c r="AM587" s="5"/>
      <c r="AN587" s="5"/>
      <c r="AO587" s="5"/>
      <c r="AP587" s="5"/>
      <c r="AS587" s="5"/>
      <c r="AT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row>
    <row r="588" ht="12.75" customHeight="1" hidden="1" spans="36:132" x14ac:dyDescent="0.25">
      <c r="AJ588" s="5"/>
      <c r="AK588" s="5"/>
      <c r="AL588" s="5"/>
      <c r="AM588" s="5"/>
      <c r="AN588" s="5"/>
      <c r="AO588" s="5"/>
      <c r="AP588" s="5"/>
      <c r="AS588" s="5"/>
      <c r="AT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row>
    <row r="589" ht="12.75" customHeight="1" hidden="1" spans="36:132" x14ac:dyDescent="0.25">
      <c r="AJ589" s="5"/>
      <c r="AK589" s="5"/>
      <c r="AL589" s="5"/>
      <c r="AM589" s="5"/>
      <c r="AN589" s="5"/>
      <c r="AO589" s="5"/>
      <c r="AP589" s="5"/>
      <c r="AS589" s="5"/>
      <c r="AT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row>
    <row r="590" ht="12.75" customHeight="1" hidden="1" spans="36:132" x14ac:dyDescent="0.25">
      <c r="AJ590" s="5"/>
      <c r="AK590" s="5"/>
      <c r="AL590" s="5"/>
      <c r="AM590" s="5"/>
      <c r="AN590" s="5"/>
      <c r="AO590" s="5"/>
      <c r="AP590" s="5"/>
      <c r="AS590" s="5"/>
      <c r="AT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row>
    <row r="591" ht="12.75" customHeight="1" hidden="1" spans="36:132" x14ac:dyDescent="0.25">
      <c r="AJ591" s="5"/>
      <c r="AK591" s="5"/>
      <c r="AL591" s="5"/>
      <c r="AM591" s="5"/>
      <c r="AN591" s="5"/>
      <c r="AO591" s="5"/>
      <c r="AP591" s="5"/>
      <c r="AS591" s="5"/>
      <c r="AT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row>
    <row r="592" ht="12.75" customHeight="1" hidden="1" spans="36:132" x14ac:dyDescent="0.25">
      <c r="AJ592" s="5"/>
      <c r="AK592" s="5"/>
      <c r="AL592" s="5"/>
      <c r="AM592" s="5"/>
      <c r="AN592" s="5"/>
      <c r="AO592" s="5"/>
      <c r="AP592" s="5"/>
      <c r="AS592" s="5"/>
      <c r="AT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row>
    <row r="593" ht="12.75" customHeight="1" hidden="1" spans="36:132" x14ac:dyDescent="0.25">
      <c r="AJ593" s="5"/>
      <c r="AK593" s="5"/>
      <c r="AL593" s="5"/>
      <c r="AM593" s="5"/>
      <c r="AN593" s="5"/>
      <c r="AO593" s="5"/>
      <c r="AP593" s="5"/>
      <c r="AS593" s="5"/>
      <c r="AT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row>
    <row r="594" ht="12.75" customHeight="1" hidden="1" spans="36:132" x14ac:dyDescent="0.25">
      <c r="AJ594" s="5"/>
      <c r="AK594" s="5"/>
      <c r="AL594" s="5"/>
      <c r="AM594" s="5"/>
      <c r="AN594" s="5"/>
      <c r="AO594" s="5"/>
      <c r="AP594" s="5"/>
      <c r="AS594" s="5"/>
      <c r="AT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row>
    <row r="595" ht="12.75" customHeight="1" hidden="1" spans="36:132" x14ac:dyDescent="0.25">
      <c r="AJ595" s="5"/>
      <c r="AK595" s="5"/>
      <c r="AL595" s="5"/>
      <c r="AM595" s="5"/>
      <c r="AN595" s="5"/>
      <c r="AO595" s="5"/>
      <c r="AP595" s="5"/>
      <c r="AS595" s="5"/>
      <c r="AT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row>
    <row r="596" ht="12.75" customHeight="1" hidden="1" spans="36:132" x14ac:dyDescent="0.25">
      <c r="AJ596" s="5"/>
      <c r="AK596" s="5"/>
      <c r="AL596" s="5"/>
      <c r="AM596" s="5"/>
      <c r="AN596" s="5"/>
      <c r="AO596" s="5"/>
      <c r="AP596" s="5"/>
      <c r="AS596" s="5"/>
      <c r="AT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row>
    <row r="597" ht="12.75" customHeight="1" hidden="1" spans="36:132" x14ac:dyDescent="0.25">
      <c r="AJ597" s="5"/>
      <c r="AK597" s="5"/>
      <c r="AL597" s="5"/>
      <c r="AM597" s="5"/>
      <c r="AN597" s="5"/>
      <c r="AO597" s="5"/>
      <c r="AP597" s="5"/>
      <c r="AS597" s="5"/>
      <c r="AT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row>
    <row r="598" ht="12.75" customHeight="1" hidden="1" spans="36:132" x14ac:dyDescent="0.25">
      <c r="AJ598" s="5"/>
      <c r="AK598" s="5"/>
      <c r="AL598" s="5"/>
      <c r="AM598" s="5"/>
      <c r="AN598" s="5"/>
      <c r="AO598" s="5"/>
      <c r="AP598" s="5"/>
      <c r="AS598" s="5"/>
      <c r="AT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row>
    <row r="599" ht="12.75" customHeight="1" hidden="1" spans="36:132" x14ac:dyDescent="0.25">
      <c r="AJ599" s="5"/>
      <c r="AK599" s="5"/>
      <c r="AL599" s="5"/>
      <c r="AM599" s="5"/>
      <c r="AN599" s="5"/>
      <c r="AO599" s="5"/>
      <c r="AP599" s="5"/>
      <c r="AS599" s="5"/>
      <c r="AT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row>
    <row r="600" ht="12.75" customHeight="1" hidden="1" spans="36:132" x14ac:dyDescent="0.25">
      <c r="AJ600" s="5"/>
      <c r="AK600" s="5"/>
      <c r="AL600" s="5"/>
      <c r="AM600" s="5"/>
      <c r="AN600" s="5"/>
      <c r="AO600" s="5"/>
      <c r="AP600" s="5"/>
      <c r="AS600" s="5"/>
      <c r="AT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row>
    <row r="601" ht="12.75" customHeight="1" hidden="1" spans="36:132" x14ac:dyDescent="0.25">
      <c r="AJ601" s="5"/>
      <c r="AK601" s="5"/>
      <c r="AL601" s="5"/>
      <c r="AM601" s="5"/>
      <c r="AN601" s="5"/>
      <c r="AO601" s="5"/>
      <c r="AP601" s="5"/>
      <c r="AS601" s="5"/>
      <c r="AT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row>
    <row r="602" ht="12.75" customHeight="1" hidden="1" spans="36:132" x14ac:dyDescent="0.25">
      <c r="AJ602" s="5"/>
      <c r="AK602" s="5"/>
      <c r="AL602" s="5"/>
      <c r="AM602" s="5"/>
      <c r="AN602" s="5"/>
      <c r="AO602" s="5"/>
      <c r="AP602" s="5"/>
      <c r="AS602" s="5"/>
      <c r="AT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row>
    <row r="603" ht="12.75" customHeight="1" hidden="1" spans="36:132" x14ac:dyDescent="0.25">
      <c r="AJ603" s="5"/>
      <c r="AK603" s="5"/>
      <c r="AL603" s="5"/>
      <c r="AM603" s="5"/>
      <c r="AN603" s="5"/>
      <c r="AO603" s="5"/>
      <c r="AP603" s="5"/>
      <c r="AS603" s="5"/>
      <c r="AT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row>
    <row r="604" ht="12.75" customHeight="1" hidden="1" spans="36:132" x14ac:dyDescent="0.25">
      <c r="AJ604" s="5"/>
      <c r="AK604" s="5"/>
      <c r="AL604" s="5"/>
      <c r="AM604" s="5"/>
      <c r="AN604" s="5"/>
      <c r="AO604" s="5"/>
      <c r="AP604" s="5"/>
      <c r="AS604" s="5"/>
      <c r="AT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row>
    <row r="605" ht="12.75" customHeight="1" hidden="1" spans="36:132" x14ac:dyDescent="0.25">
      <c r="AJ605" s="5"/>
      <c r="AK605" s="5"/>
      <c r="AL605" s="5"/>
      <c r="AM605" s="5"/>
      <c r="AN605" s="5"/>
      <c r="AO605" s="5"/>
      <c r="AP605" s="5"/>
      <c r="AS605" s="5"/>
      <c r="AT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row>
    <row r="606" ht="12.75" customHeight="1" hidden="1" spans="36:132" x14ac:dyDescent="0.25">
      <c r="AJ606" s="5"/>
      <c r="AK606" s="5"/>
      <c r="AL606" s="5"/>
      <c r="AM606" s="5"/>
      <c r="AN606" s="5"/>
      <c r="AO606" s="5"/>
      <c r="AP606" s="5"/>
      <c r="AS606" s="5"/>
      <c r="AT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row>
    <row r="607" ht="12.75" customHeight="1" hidden="1" spans="36:132" x14ac:dyDescent="0.25">
      <c r="AJ607" s="5"/>
      <c r="AK607" s="5"/>
      <c r="AL607" s="5"/>
      <c r="AM607" s="5"/>
      <c r="AN607" s="5"/>
      <c r="AO607" s="5"/>
      <c r="AP607" s="5"/>
      <c r="AS607" s="5"/>
      <c r="AT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row>
    <row r="608" ht="12.75" customHeight="1" hidden="1" spans="36:132" x14ac:dyDescent="0.25">
      <c r="AJ608" s="5"/>
      <c r="AK608" s="5"/>
      <c r="AL608" s="5"/>
      <c r="AM608" s="5"/>
      <c r="AN608" s="5"/>
      <c r="AO608" s="5"/>
      <c r="AP608" s="5"/>
      <c r="AS608" s="5"/>
      <c r="AT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row>
    <row r="609" ht="12.75" customHeight="1" hidden="1" spans="36:132" x14ac:dyDescent="0.25">
      <c r="AJ609" s="5"/>
      <c r="AK609" s="5"/>
      <c r="AL609" s="5"/>
      <c r="AM609" s="5"/>
      <c r="AN609" s="5"/>
      <c r="AO609" s="5"/>
      <c r="AP609" s="5"/>
      <c r="AS609" s="5"/>
      <c r="AT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row>
    <row r="610" ht="12.75" customHeight="1" hidden="1" spans="36:132" x14ac:dyDescent="0.25">
      <c r="AJ610" s="5"/>
      <c r="AK610" s="5"/>
      <c r="AL610" s="5"/>
      <c r="AM610" s="5"/>
      <c r="AN610" s="5"/>
      <c r="AO610" s="5"/>
      <c r="AP610" s="5"/>
      <c r="AS610" s="5"/>
      <c r="AT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row>
    <row r="611" ht="12.75" customHeight="1" hidden="1" spans="36:132" x14ac:dyDescent="0.25">
      <c r="AJ611" s="5"/>
      <c r="AK611" s="5"/>
      <c r="AL611" s="5"/>
      <c r="AM611" s="5"/>
      <c r="AN611" s="5"/>
      <c r="AO611" s="5"/>
      <c r="AP611" s="5"/>
      <c r="AS611" s="5"/>
      <c r="AT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row>
    <row r="612" ht="12.75" customHeight="1" hidden="1" spans="36:132" x14ac:dyDescent="0.25">
      <c r="AJ612" s="5"/>
      <c r="AK612" s="5"/>
      <c r="AL612" s="5"/>
      <c r="AM612" s="5"/>
      <c r="AN612" s="5"/>
      <c r="AO612" s="5"/>
      <c r="AP612" s="5"/>
      <c r="AS612" s="5"/>
      <c r="AT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row>
    <row r="613" ht="12.75" customHeight="1" hidden="1" spans="36:132" x14ac:dyDescent="0.25">
      <c r="AJ613" s="5"/>
      <c r="AK613" s="5"/>
      <c r="AL613" s="5"/>
      <c r="AM613" s="5"/>
      <c r="AN613" s="5"/>
      <c r="AO613" s="5"/>
      <c r="AP613" s="5"/>
      <c r="AS613" s="5"/>
      <c r="AT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row>
    <row r="614" ht="12.75" customHeight="1" hidden="1" spans="36:132" x14ac:dyDescent="0.25">
      <c r="AJ614" s="5"/>
      <c r="AK614" s="5"/>
      <c r="AL614" s="5"/>
      <c r="AM614" s="5"/>
      <c r="AN614" s="5"/>
      <c r="AO614" s="5"/>
      <c r="AP614" s="5"/>
      <c r="AS614" s="5"/>
      <c r="AT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row>
    <row r="615" ht="12.75" customHeight="1" hidden="1" spans="36:132" x14ac:dyDescent="0.25">
      <c r="AJ615" s="5"/>
      <c r="AK615" s="5"/>
      <c r="AL615" s="5"/>
      <c r="AM615" s="5"/>
      <c r="AN615" s="5"/>
      <c r="AO615" s="5"/>
      <c r="AP615" s="5"/>
      <c r="AS615" s="5"/>
      <c r="AT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row>
    <row r="616" ht="12.75" customHeight="1" hidden="1" spans="36:132" x14ac:dyDescent="0.25">
      <c r="AJ616" s="5"/>
      <c r="AK616" s="5"/>
      <c r="AL616" s="5"/>
      <c r="AM616" s="5"/>
      <c r="AN616" s="5"/>
      <c r="AO616" s="5"/>
      <c r="AP616" s="5"/>
      <c r="AS616" s="5"/>
      <c r="AT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row>
    <row r="617" ht="12.75" customHeight="1" hidden="1" spans="36:132" x14ac:dyDescent="0.25">
      <c r="AJ617" s="5"/>
      <c r="AK617" s="5"/>
      <c r="AL617" s="5"/>
      <c r="AM617" s="5"/>
      <c r="AN617" s="5"/>
      <c r="AO617" s="5"/>
      <c r="AP617" s="5"/>
      <c r="AS617" s="5"/>
      <c r="AT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row>
    <row r="618" ht="12.75" customHeight="1" hidden="1" spans="36:132" x14ac:dyDescent="0.25">
      <c r="AJ618" s="5"/>
      <c r="AK618" s="5"/>
      <c r="AL618" s="5"/>
      <c r="AM618" s="5"/>
      <c r="AN618" s="5"/>
      <c r="AO618" s="5"/>
      <c r="AP618" s="5"/>
      <c r="AS618" s="5"/>
      <c r="AT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row>
    <row r="619" ht="12.75" customHeight="1" hidden="1" spans="36:132" x14ac:dyDescent="0.25">
      <c r="AJ619" s="5"/>
      <c r="AK619" s="5"/>
      <c r="AL619" s="5"/>
      <c r="AM619" s="5"/>
      <c r="AN619" s="5"/>
      <c r="AO619" s="5"/>
      <c r="AP619" s="5"/>
      <c r="AS619" s="5"/>
      <c r="AT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row>
    <row r="620" ht="12.75" customHeight="1" hidden="1" spans="36:132" x14ac:dyDescent="0.25">
      <c r="AJ620" s="5"/>
      <c r="AK620" s="5"/>
      <c r="AL620" s="5"/>
      <c r="AM620" s="5"/>
      <c r="AN620" s="5"/>
      <c r="AO620" s="5"/>
      <c r="AP620" s="5"/>
      <c r="AS620" s="5"/>
      <c r="AT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row>
    <row r="621" ht="12.75" customHeight="1" hidden="1" spans="36:132" x14ac:dyDescent="0.25">
      <c r="AJ621" s="5"/>
      <c r="AK621" s="5"/>
      <c r="AL621" s="5"/>
      <c r="AM621" s="5"/>
      <c r="AN621" s="5"/>
      <c r="AO621" s="5"/>
      <c r="AP621" s="5"/>
      <c r="AS621" s="5"/>
      <c r="AT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row>
    <row r="622" ht="12.75" customHeight="1" hidden="1" spans="36:132" x14ac:dyDescent="0.25">
      <c r="AJ622" s="5"/>
      <c r="AK622" s="5"/>
      <c r="AL622" s="5"/>
      <c r="AM622" s="5"/>
      <c r="AN622" s="5"/>
      <c r="AO622" s="5"/>
      <c r="AP622" s="5"/>
      <c r="AS622" s="5"/>
      <c r="AT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row>
    <row r="623" ht="12.75" customHeight="1" hidden="1" spans="36:132" x14ac:dyDescent="0.25">
      <c r="AJ623" s="5"/>
      <c r="AK623" s="5"/>
      <c r="AL623" s="5"/>
      <c r="AM623" s="5"/>
      <c r="AN623" s="5"/>
      <c r="AO623" s="5"/>
      <c r="AP623" s="5"/>
      <c r="AS623" s="5"/>
      <c r="AT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row>
    <row r="624" ht="12.75" customHeight="1" hidden="1" spans="36:132" x14ac:dyDescent="0.25">
      <c r="AJ624" s="5"/>
      <c r="AK624" s="5"/>
      <c r="AL624" s="5"/>
      <c r="AM624" s="5"/>
      <c r="AN624" s="5"/>
      <c r="AO624" s="5"/>
      <c r="AP624" s="5"/>
      <c r="AS624" s="5"/>
      <c r="AT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row>
    <row r="625" ht="12.75" customHeight="1" hidden="1" spans="36:132" x14ac:dyDescent="0.25">
      <c r="AJ625" s="5"/>
      <c r="AK625" s="5"/>
      <c r="AL625" s="5"/>
      <c r="AM625" s="5"/>
      <c r="AN625" s="5"/>
      <c r="AO625" s="5"/>
      <c r="AP625" s="5"/>
      <c r="AS625" s="5"/>
      <c r="AT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row>
    <row r="626" ht="12.75" customHeight="1" hidden="1" spans="36:132" x14ac:dyDescent="0.25">
      <c r="AJ626" s="5"/>
      <c r="AK626" s="5"/>
      <c r="AL626" s="5"/>
      <c r="AM626" s="5"/>
      <c r="AN626" s="5"/>
      <c r="AO626" s="5"/>
      <c r="AP626" s="5"/>
      <c r="AS626" s="5"/>
      <c r="AT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row>
    <row r="627" ht="12.75" customHeight="1" hidden="1" spans="36:132" x14ac:dyDescent="0.25">
      <c r="AJ627" s="5"/>
      <c r="AK627" s="5"/>
      <c r="AL627" s="5"/>
      <c r="AM627" s="5"/>
      <c r="AN627" s="5"/>
      <c r="AO627" s="5"/>
      <c r="AP627" s="5"/>
      <c r="AS627" s="5"/>
      <c r="AT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row>
    <row r="628" ht="12.75" customHeight="1" hidden="1" spans="36:132" x14ac:dyDescent="0.25">
      <c r="AJ628" s="5"/>
      <c r="AK628" s="5"/>
      <c r="AL628" s="5"/>
      <c r="AM628" s="5"/>
      <c r="AN628" s="5"/>
      <c r="AO628" s="5"/>
      <c r="AP628" s="5"/>
      <c r="AS628" s="5"/>
      <c r="AT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row>
    <row r="629" ht="12.75" customHeight="1" hidden="1" spans="36:132" x14ac:dyDescent="0.25">
      <c r="AJ629" s="5"/>
      <c r="AK629" s="5"/>
      <c r="AL629" s="5"/>
      <c r="AM629" s="5"/>
      <c r="AN629" s="5"/>
      <c r="AO629" s="5"/>
      <c r="AP629" s="5"/>
      <c r="AS629" s="5"/>
      <c r="AT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row>
    <row r="630" ht="12.75" customHeight="1" hidden="1" spans="36:132" x14ac:dyDescent="0.25">
      <c r="AJ630" s="5"/>
      <c r="AK630" s="5"/>
      <c r="AL630" s="5"/>
      <c r="AM630" s="5"/>
      <c r="AN630" s="5"/>
      <c r="AO630" s="5"/>
      <c r="AP630" s="5"/>
      <c r="AS630" s="5"/>
      <c r="AT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row>
    <row r="631" ht="12.75" customHeight="1" hidden="1" spans="36:132" x14ac:dyDescent="0.25">
      <c r="AJ631" s="5"/>
      <c r="AK631" s="5"/>
      <c r="AL631" s="5"/>
      <c r="AM631" s="5"/>
      <c r="AN631" s="5"/>
      <c r="AO631" s="5"/>
      <c r="AP631" s="5"/>
      <c r="AS631" s="5"/>
      <c r="AT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row>
    <row r="632" ht="12.75" customHeight="1" hidden="1" spans="36:132" x14ac:dyDescent="0.25">
      <c r="AJ632" s="5"/>
      <c r="AK632" s="5"/>
      <c r="AL632" s="5"/>
      <c r="AM632" s="5"/>
      <c r="AN632" s="5"/>
      <c r="AO632" s="5"/>
      <c r="AP632" s="5"/>
      <c r="AS632" s="5"/>
      <c r="AT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row>
    <row r="633" ht="12.75" customHeight="1" hidden="1" spans="36:132" x14ac:dyDescent="0.25">
      <c r="AJ633" s="5"/>
      <c r="AK633" s="5"/>
      <c r="AL633" s="5"/>
      <c r="AM633" s="5"/>
      <c r="AN633" s="5"/>
      <c r="AO633" s="5"/>
      <c r="AP633" s="5"/>
      <c r="AS633" s="5"/>
      <c r="AT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row>
    <row r="634" ht="12.75" customHeight="1" hidden="1" spans="36:132" x14ac:dyDescent="0.25">
      <c r="AJ634" s="5"/>
      <c r="AK634" s="5"/>
      <c r="AL634" s="5"/>
      <c r="AM634" s="5"/>
      <c r="AN634" s="5"/>
      <c r="AO634" s="5"/>
      <c r="AP634" s="5"/>
      <c r="AS634" s="5"/>
      <c r="AT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row>
    <row r="635" ht="12.75" customHeight="1" hidden="1" spans="36:132" x14ac:dyDescent="0.25">
      <c r="AJ635" s="5"/>
      <c r="AK635" s="5"/>
      <c r="AL635" s="5"/>
      <c r="AM635" s="5"/>
      <c r="AN635" s="5"/>
      <c r="AO635" s="5"/>
      <c r="AP635" s="5"/>
      <c r="AS635" s="5"/>
      <c r="AT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row>
    <row r="636" ht="12.75" customHeight="1" hidden="1" spans="36:132" x14ac:dyDescent="0.25">
      <c r="AJ636" s="5"/>
      <c r="AK636" s="5"/>
      <c r="AL636" s="5"/>
      <c r="AM636" s="5"/>
      <c r="AN636" s="5"/>
      <c r="AO636" s="5"/>
      <c r="AP636" s="5"/>
      <c r="AS636" s="5"/>
      <c r="AT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row>
    <row r="637" ht="12.75" customHeight="1" hidden="1" spans="36:132" x14ac:dyDescent="0.25">
      <c r="AJ637" s="5"/>
      <c r="AK637" s="5"/>
      <c r="AL637" s="5"/>
      <c r="AM637" s="5"/>
      <c r="AN637" s="5"/>
      <c r="AO637" s="5"/>
      <c r="AP637" s="5"/>
      <c r="AS637" s="5"/>
      <c r="AT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row>
    <row r="638" ht="12.75" customHeight="1" hidden="1" spans="36:132" x14ac:dyDescent="0.25">
      <c r="AJ638" s="5"/>
      <c r="AK638" s="5"/>
      <c r="AL638" s="5"/>
      <c r="AM638" s="5"/>
      <c r="AN638" s="5"/>
      <c r="AO638" s="5"/>
      <c r="AP638" s="5"/>
      <c r="AS638" s="5"/>
      <c r="AT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row>
    <row r="639" ht="12.75" customHeight="1" hidden="1" spans="36:132" x14ac:dyDescent="0.25">
      <c r="AJ639" s="5"/>
      <c r="AK639" s="5"/>
      <c r="AL639" s="5"/>
      <c r="AM639" s="5"/>
      <c r="AN639" s="5"/>
      <c r="AO639" s="5"/>
      <c r="AP639" s="5"/>
      <c r="AS639" s="5"/>
      <c r="AT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row>
    <row r="640" ht="12.75" customHeight="1" hidden="1" spans="36:132" x14ac:dyDescent="0.25">
      <c r="AJ640" s="5"/>
      <c r="AK640" s="5"/>
      <c r="AL640" s="5"/>
      <c r="AM640" s="5"/>
      <c r="AN640" s="5"/>
      <c r="AO640" s="5"/>
      <c r="AP640" s="5"/>
      <c r="AS640" s="5"/>
      <c r="AT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row>
    <row r="641" ht="12.75" customHeight="1" hidden="1" spans="36:132" x14ac:dyDescent="0.25">
      <c r="AJ641" s="5"/>
      <c r="AK641" s="5"/>
      <c r="AL641" s="5"/>
      <c r="AM641" s="5"/>
      <c r="AN641" s="5"/>
      <c r="AO641" s="5"/>
      <c r="AP641" s="5"/>
      <c r="AS641" s="5"/>
      <c r="AT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row>
    <row r="642" ht="12.75" customHeight="1" hidden="1" spans="36:132" x14ac:dyDescent="0.25">
      <c r="AJ642" s="5"/>
      <c r="AK642" s="5"/>
      <c r="AL642" s="5"/>
      <c r="AM642" s="5"/>
      <c r="AN642" s="5"/>
      <c r="AO642" s="5"/>
      <c r="AP642" s="5"/>
      <c r="AS642" s="5"/>
      <c r="AT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row>
    <row r="643" ht="12.75" customHeight="1" hidden="1" spans="36:132" x14ac:dyDescent="0.25">
      <c r="AJ643" s="5"/>
      <c r="AK643" s="5"/>
      <c r="AL643" s="5"/>
      <c r="AM643" s="5"/>
      <c r="AN643" s="5"/>
      <c r="AO643" s="5"/>
      <c r="AP643" s="5"/>
      <c r="AS643" s="5"/>
      <c r="AT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row>
    <row r="644" ht="12.75" customHeight="1" hidden="1" spans="36:132" x14ac:dyDescent="0.25">
      <c r="AJ644" s="5"/>
      <c r="AK644" s="5"/>
      <c r="AL644" s="5"/>
      <c r="AM644" s="5"/>
      <c r="AN644" s="5"/>
      <c r="AO644" s="5"/>
      <c r="AP644" s="5"/>
      <c r="AS644" s="5"/>
      <c r="AT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row>
    <row r="645" ht="12.75" customHeight="1" hidden="1" spans="36:132" x14ac:dyDescent="0.25">
      <c r="AJ645" s="5"/>
      <c r="AK645" s="5"/>
      <c r="AL645" s="5"/>
      <c r="AM645" s="5"/>
      <c r="AN645" s="5"/>
      <c r="AO645" s="5"/>
      <c r="AP645" s="5"/>
      <c r="AS645" s="5"/>
      <c r="AT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row>
    <row r="646" ht="12.75" customHeight="1" hidden="1" spans="36:132" x14ac:dyDescent="0.25">
      <c r="AJ646" s="5"/>
      <c r="AK646" s="5"/>
      <c r="AL646" s="5"/>
      <c r="AM646" s="5"/>
      <c r="AN646" s="5"/>
      <c r="AO646" s="5"/>
      <c r="AP646" s="5"/>
      <c r="AS646" s="5"/>
      <c r="AT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row>
    <row r="647" ht="12.75" customHeight="1" hidden="1" spans="36:132" x14ac:dyDescent="0.25">
      <c r="AJ647" s="5"/>
      <c r="AK647" s="5"/>
      <c r="AL647" s="5"/>
      <c r="AM647" s="5"/>
      <c r="AN647" s="5"/>
      <c r="AO647" s="5"/>
      <c r="AP647" s="5"/>
      <c r="AS647" s="5"/>
      <c r="AT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row>
    <row r="648" ht="12.75" customHeight="1" hidden="1" spans="36:132" x14ac:dyDescent="0.25">
      <c r="AJ648" s="5"/>
      <c r="AK648" s="5"/>
      <c r="AL648" s="5"/>
      <c r="AM648" s="5"/>
      <c r="AN648" s="5"/>
      <c r="AO648" s="5"/>
      <c r="AP648" s="5"/>
      <c r="AS648" s="5"/>
      <c r="AT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row>
    <row r="649" ht="12.75" customHeight="1" hidden="1" spans="36:132" x14ac:dyDescent="0.25">
      <c r="AJ649" s="5"/>
      <c r="AK649" s="5"/>
      <c r="AL649" s="5"/>
      <c r="AM649" s="5"/>
      <c r="AN649" s="5"/>
      <c r="AO649" s="5"/>
      <c r="AP649" s="5"/>
      <c r="AS649" s="5"/>
      <c r="AT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row>
    <row r="650" ht="12.75" customHeight="1" hidden="1" spans="36:132" x14ac:dyDescent="0.25">
      <c r="AJ650" s="5"/>
      <c r="AK650" s="5"/>
      <c r="AL650" s="5"/>
      <c r="AM650" s="5"/>
      <c r="AN650" s="5"/>
      <c r="AO650" s="5"/>
      <c r="AP650" s="5"/>
      <c r="AS650" s="5"/>
      <c r="AT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row>
    <row r="651" ht="12.75" customHeight="1" hidden="1" spans="36:132" x14ac:dyDescent="0.25">
      <c r="AJ651" s="5"/>
      <c r="AK651" s="5"/>
      <c r="AL651" s="5"/>
      <c r="AM651" s="5"/>
      <c r="AN651" s="5"/>
      <c r="AO651" s="5"/>
      <c r="AP651" s="5"/>
      <c r="AS651" s="5"/>
      <c r="AT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row>
    <row r="652" ht="12.75" customHeight="1" hidden="1" spans="36:132" x14ac:dyDescent="0.25">
      <c r="AJ652" s="5"/>
      <c r="AK652" s="5"/>
      <c r="AL652" s="5"/>
      <c r="AM652" s="5"/>
      <c r="AN652" s="5"/>
      <c r="AO652" s="5"/>
      <c r="AP652" s="5"/>
      <c r="AS652" s="5"/>
      <c r="AT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row>
    <row r="653" ht="12.75" customHeight="1" hidden="1" spans="36:132" x14ac:dyDescent="0.25">
      <c r="AJ653" s="5"/>
      <c r="AK653" s="5"/>
      <c r="AL653" s="5"/>
      <c r="AM653" s="5"/>
      <c r="AN653" s="5"/>
      <c r="AO653" s="5"/>
      <c r="AP653" s="5"/>
      <c r="AS653" s="5"/>
      <c r="AT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row>
    <row r="654" ht="12.75" customHeight="1" hidden="1" spans="36:132" x14ac:dyDescent="0.25">
      <c r="AJ654" s="5"/>
      <c r="AK654" s="5"/>
      <c r="AL654" s="5"/>
      <c r="AM654" s="5"/>
      <c r="AN654" s="5"/>
      <c r="AO654" s="5"/>
      <c r="AP654" s="5"/>
      <c r="AS654" s="5"/>
      <c r="AT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row>
    <row r="655" ht="12.75" customHeight="1" hidden="1" spans="36:132" x14ac:dyDescent="0.25">
      <c r="AJ655" s="5"/>
      <c r="AK655" s="5"/>
      <c r="AL655" s="5"/>
      <c r="AM655" s="5"/>
      <c r="AN655" s="5"/>
      <c r="AO655" s="5"/>
      <c r="AP655" s="5"/>
      <c r="AS655" s="5"/>
      <c r="AT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row>
    <row r="656" ht="12.75" customHeight="1" hidden="1" spans="36:132" x14ac:dyDescent="0.25">
      <c r="AJ656" s="5"/>
      <c r="AK656" s="5"/>
      <c r="AL656" s="5"/>
      <c r="AM656" s="5"/>
      <c r="AN656" s="5"/>
      <c r="AO656" s="5"/>
      <c r="AP656" s="5"/>
      <c r="AS656" s="5"/>
      <c r="AT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row>
    <row r="657" ht="12.75" customHeight="1" hidden="1" spans="36:132" x14ac:dyDescent="0.25">
      <c r="AJ657" s="5"/>
      <c r="AK657" s="5"/>
      <c r="AL657" s="5"/>
      <c r="AM657" s="5"/>
      <c r="AN657" s="5"/>
      <c r="AO657" s="5"/>
      <c r="AP657" s="5"/>
      <c r="AS657" s="5"/>
      <c r="AT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row>
    <row r="658" ht="12.75" customHeight="1" hidden="1" spans="36:132" x14ac:dyDescent="0.25">
      <c r="AJ658" s="5"/>
      <c r="AK658" s="5"/>
      <c r="AL658" s="5"/>
      <c r="AM658" s="5"/>
      <c r="AN658" s="5"/>
      <c r="AO658" s="5"/>
      <c r="AP658" s="5"/>
      <c r="AS658" s="5"/>
      <c r="AT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row>
    <row r="659" ht="12.75" customHeight="1" hidden="1" spans="36:132" x14ac:dyDescent="0.25">
      <c r="AJ659" s="5"/>
      <c r="AK659" s="5"/>
      <c r="AL659" s="5"/>
      <c r="AM659" s="5"/>
      <c r="AN659" s="5"/>
      <c r="AO659" s="5"/>
      <c r="AP659" s="5"/>
      <c r="AS659" s="5"/>
      <c r="AT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row>
    <row r="660" ht="12.75" customHeight="1" hidden="1" spans="36:132" x14ac:dyDescent="0.25">
      <c r="AJ660" s="5"/>
      <c r="AK660" s="5"/>
      <c r="AL660" s="5"/>
      <c r="AM660" s="5"/>
      <c r="AN660" s="5"/>
      <c r="AO660" s="5"/>
      <c r="AP660" s="5"/>
      <c r="AS660" s="5"/>
      <c r="AT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row>
    <row r="661" ht="12.75" customHeight="1" hidden="1" spans="36:132" x14ac:dyDescent="0.25">
      <c r="AJ661" s="5"/>
      <c r="AK661" s="5"/>
      <c r="AL661" s="5"/>
      <c r="AM661" s="5"/>
      <c r="AN661" s="5"/>
      <c r="AO661" s="5"/>
      <c r="AP661" s="5"/>
      <c r="AS661" s="5"/>
      <c r="AT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row>
    <row r="662" ht="12.75" customHeight="1" hidden="1" spans="36:132" x14ac:dyDescent="0.25">
      <c r="AJ662" s="5"/>
      <c r="AK662" s="5"/>
      <c r="AL662" s="5"/>
      <c r="AM662" s="5"/>
      <c r="AN662" s="5"/>
      <c r="AO662" s="5"/>
      <c r="AP662" s="5"/>
      <c r="AS662" s="5"/>
      <c r="AT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row>
    <row r="663" ht="12.75" customHeight="1" hidden="1" spans="36:132" x14ac:dyDescent="0.25">
      <c r="AJ663" s="5"/>
      <c r="AK663" s="5"/>
      <c r="AL663" s="5"/>
      <c r="AM663" s="5"/>
      <c r="AN663" s="5"/>
      <c r="AO663" s="5"/>
      <c r="AP663" s="5"/>
      <c r="AS663" s="5"/>
      <c r="AT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row>
    <row r="664" ht="12.75" customHeight="1" hidden="1" spans="36:132" x14ac:dyDescent="0.25">
      <c r="AJ664" s="5"/>
      <c r="AK664" s="5"/>
      <c r="AL664" s="5"/>
      <c r="AM664" s="5"/>
      <c r="AN664" s="5"/>
      <c r="AO664" s="5"/>
      <c r="AP664" s="5"/>
      <c r="AS664" s="5"/>
      <c r="AT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row>
    <row r="665" ht="12.75" customHeight="1" hidden="1" spans="36:132" x14ac:dyDescent="0.25">
      <c r="AJ665" s="5"/>
      <c r="AK665" s="5"/>
      <c r="AL665" s="5"/>
      <c r="AM665" s="5"/>
      <c r="AN665" s="5"/>
      <c r="AO665" s="5"/>
      <c r="AP665" s="5"/>
      <c r="AS665" s="5"/>
      <c r="AT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row>
    <row r="666" ht="12.75" customHeight="1" hidden="1" spans="36:132" x14ac:dyDescent="0.25">
      <c r="AJ666" s="5"/>
      <c r="AK666" s="5"/>
      <c r="AL666" s="5"/>
      <c r="AM666" s="5"/>
      <c r="AN666" s="5"/>
      <c r="AO666" s="5"/>
      <c r="AP666" s="5"/>
      <c r="AS666" s="5"/>
      <c r="AT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row>
    <row r="667" ht="12.75" customHeight="1" hidden="1" spans="36:132" x14ac:dyDescent="0.25">
      <c r="AJ667" s="5"/>
      <c r="AK667" s="5"/>
      <c r="AL667" s="5"/>
      <c r="AM667" s="5"/>
      <c r="AN667" s="5"/>
      <c r="AO667" s="5"/>
      <c r="AP667" s="5"/>
      <c r="AS667" s="5"/>
      <c r="AT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row>
    <row r="668" ht="12.75" customHeight="1" hidden="1" spans="36:132" x14ac:dyDescent="0.25">
      <c r="AJ668" s="5"/>
      <c r="AK668" s="5"/>
      <c r="AL668" s="5"/>
      <c r="AM668" s="5"/>
      <c r="AN668" s="5"/>
      <c r="AO668" s="5"/>
      <c r="AP668" s="5"/>
      <c r="AS668" s="5"/>
      <c r="AT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row>
    <row r="669" ht="12.75" customHeight="1" hidden="1" spans="36:132" x14ac:dyDescent="0.25">
      <c r="AJ669" s="5"/>
      <c r="AK669" s="5"/>
      <c r="AL669" s="5"/>
      <c r="AM669" s="5"/>
      <c r="AN669" s="5"/>
      <c r="AO669" s="5"/>
      <c r="AP669" s="5"/>
      <c r="AS669" s="5"/>
      <c r="AT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row>
    <row r="670" ht="12.75" customHeight="1" hidden="1" spans="36:132" x14ac:dyDescent="0.25">
      <c r="AJ670" s="5"/>
      <c r="AK670" s="5"/>
      <c r="AL670" s="5"/>
      <c r="AM670" s="5"/>
      <c r="AN670" s="5"/>
      <c r="AO670" s="5"/>
      <c r="AP670" s="5"/>
      <c r="AS670" s="5"/>
      <c r="AT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row>
    <row r="671" ht="12.75" customHeight="1" hidden="1" spans="36:132" x14ac:dyDescent="0.25">
      <c r="AJ671" s="5"/>
      <c r="AK671" s="5"/>
      <c r="AL671" s="5"/>
      <c r="AM671" s="5"/>
      <c r="AN671" s="5"/>
      <c r="AO671" s="5"/>
      <c r="AP671" s="5"/>
      <c r="AS671" s="5"/>
      <c r="AT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row>
    <row r="672" ht="12.75" customHeight="1" hidden="1" spans="36:132" x14ac:dyDescent="0.25">
      <c r="AJ672" s="5"/>
      <c r="AK672" s="5"/>
      <c r="AL672" s="5"/>
      <c r="AM672" s="5"/>
      <c r="AN672" s="5"/>
      <c r="AO672" s="5"/>
      <c r="AP672" s="5"/>
      <c r="AS672" s="5"/>
      <c r="AT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row>
    <row r="673" ht="12.75" customHeight="1" hidden="1" spans="36:132" x14ac:dyDescent="0.25">
      <c r="AJ673" s="5"/>
      <c r="AK673" s="5"/>
      <c r="AL673" s="5"/>
      <c r="AM673" s="5"/>
      <c r="AN673" s="5"/>
      <c r="AO673" s="5"/>
      <c r="AP673" s="5"/>
      <c r="AS673" s="5"/>
      <c r="AT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row>
    <row r="674" ht="12.75" customHeight="1" hidden="1" spans="36:132" x14ac:dyDescent="0.25">
      <c r="AJ674" s="5"/>
      <c r="AK674" s="5"/>
      <c r="AL674" s="5"/>
      <c r="AM674" s="5"/>
      <c r="AN674" s="5"/>
      <c r="AO674" s="5"/>
      <c r="AP674" s="5"/>
      <c r="AS674" s="5"/>
      <c r="AT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row>
    <row r="675" ht="12.75" customHeight="1" hidden="1" spans="36:132" x14ac:dyDescent="0.25">
      <c r="AJ675" s="5"/>
      <c r="AK675" s="5"/>
      <c r="AL675" s="5"/>
      <c r="AM675" s="5"/>
      <c r="AN675" s="5"/>
      <c r="AO675" s="5"/>
      <c r="AP675" s="5"/>
      <c r="AS675" s="5"/>
      <c r="AT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row>
    <row r="676" ht="12.75" customHeight="1" hidden="1" spans="36:132" x14ac:dyDescent="0.25">
      <c r="AJ676" s="5"/>
      <c r="AK676" s="5"/>
      <c r="AL676" s="5"/>
      <c r="AM676" s="5"/>
      <c r="AN676" s="5"/>
      <c r="AO676" s="5"/>
      <c r="AP676" s="5"/>
      <c r="AS676" s="5"/>
      <c r="AT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row>
    <row r="677" ht="12.75" customHeight="1" hidden="1" spans="36:132" x14ac:dyDescent="0.25">
      <c r="AJ677" s="5"/>
      <c r="AK677" s="5"/>
      <c r="AL677" s="5"/>
      <c r="AM677" s="5"/>
      <c r="AN677" s="5"/>
      <c r="AO677" s="5"/>
      <c r="AP677" s="5"/>
      <c r="AS677" s="5"/>
      <c r="AT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row>
    <row r="678" ht="12.75" customHeight="1" hidden="1" spans="36:132" x14ac:dyDescent="0.25">
      <c r="AJ678" s="5"/>
      <c r="AK678" s="5"/>
      <c r="AL678" s="5"/>
      <c r="AM678" s="5"/>
      <c r="AN678" s="5"/>
      <c r="AO678" s="5"/>
      <c r="AP678" s="5"/>
      <c r="AS678" s="5"/>
      <c r="AT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row>
    <row r="679" ht="12.75" customHeight="1" hidden="1" spans="36:132" x14ac:dyDescent="0.25">
      <c r="AJ679" s="5"/>
      <c r="AK679" s="5"/>
      <c r="AL679" s="5"/>
      <c r="AM679" s="5"/>
      <c r="AN679" s="5"/>
      <c r="AO679" s="5"/>
      <c r="AP679" s="5"/>
      <c r="AS679" s="5"/>
      <c r="AT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row>
    <row r="680" ht="12.75" customHeight="1" hidden="1" spans="36:132" x14ac:dyDescent="0.25">
      <c r="AJ680" s="5"/>
      <c r="AK680" s="5"/>
      <c r="AL680" s="5"/>
      <c r="AM680" s="5"/>
      <c r="AN680" s="5"/>
      <c r="AO680" s="5"/>
      <c r="AP680" s="5"/>
      <c r="AS680" s="5"/>
      <c r="AT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row>
    <row r="681" ht="12.75" customHeight="1" hidden="1" spans="36:132" x14ac:dyDescent="0.25">
      <c r="AJ681" s="5"/>
      <c r="AK681" s="5"/>
      <c r="AL681" s="5"/>
      <c r="AM681" s="5"/>
      <c r="AN681" s="5"/>
      <c r="AO681" s="5"/>
      <c r="AP681" s="5"/>
      <c r="AS681" s="5"/>
      <c r="AT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row>
    <row r="682" ht="12.75" customHeight="1" hidden="1" spans="36:132" x14ac:dyDescent="0.25">
      <c r="AJ682" s="5"/>
      <c r="AK682" s="5"/>
      <c r="AL682" s="5"/>
      <c r="AM682" s="5"/>
      <c r="AN682" s="5"/>
      <c r="AO682" s="5"/>
      <c r="AP682" s="5"/>
      <c r="AS682" s="5"/>
      <c r="AT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row>
    <row r="683" ht="12.75" customHeight="1" hidden="1" spans="36:132" x14ac:dyDescent="0.25">
      <c r="AJ683" s="5"/>
      <c r="AK683" s="5"/>
      <c r="AL683" s="5"/>
      <c r="AM683" s="5"/>
      <c r="AN683" s="5"/>
      <c r="AO683" s="5"/>
      <c r="AP683" s="5"/>
      <c r="AS683" s="5"/>
      <c r="AT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row>
    <row r="684" ht="12.75" customHeight="1" hidden="1" spans="36:132" x14ac:dyDescent="0.25">
      <c r="AJ684" s="5"/>
      <c r="AK684" s="5"/>
      <c r="AL684" s="5"/>
      <c r="AM684" s="5"/>
      <c r="AN684" s="5"/>
      <c r="AO684" s="5"/>
      <c r="AP684" s="5"/>
      <c r="AS684" s="5"/>
      <c r="AT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row>
    <row r="685" ht="12.75" customHeight="1" hidden="1" spans="36:132" x14ac:dyDescent="0.25">
      <c r="AJ685" s="5"/>
      <c r="AK685" s="5"/>
      <c r="AL685" s="5"/>
      <c r="AM685" s="5"/>
      <c r="AN685" s="5"/>
      <c r="AO685" s="5"/>
      <c r="AP685" s="5"/>
      <c r="AS685" s="5"/>
      <c r="AT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row>
    <row r="686" ht="12.75" customHeight="1" hidden="1" x14ac:dyDescent="0.25"/>
    <row r="687" ht="12.75" customHeight="1" hidden="1" x14ac:dyDescent="0.25"/>
    <row r="688" ht="12.75" customHeight="1" hidden="1" x14ac:dyDescent="0.25"/>
    <row r="689" ht="12.75" customHeight="1" hidden="1" x14ac:dyDescent="0.25"/>
    <row r="690" ht="12.75" customHeight="1" hidden="1" x14ac:dyDescent="0.25"/>
    <row r="691" ht="12.75" customHeight="1" hidden="1" x14ac:dyDescent="0.25"/>
    <row r="692" ht="12.75" customHeight="1" hidden="1" x14ac:dyDescent="0.25"/>
    <row r="693" ht="12.75" customHeight="1" hidden="1" x14ac:dyDescent="0.25"/>
    <row r="694" ht="12.75" customHeight="1" hidden="1" x14ac:dyDescent="0.25"/>
    <row r="695" ht="12.75" customHeight="1" hidden="1" x14ac:dyDescent="0.25"/>
    <row r="696" ht="12.75" customHeight="1" hidden="1" spans="3:33" x14ac:dyDescent="0.25">
      <c r="C696" s="281"/>
      <c r="D696" s="281"/>
      <c r="E696" s="281"/>
      <c r="F696" s="281"/>
      <c r="G696" s="281"/>
      <c r="H696" s="281"/>
      <c r="I696" s="281"/>
      <c r="J696" s="281"/>
      <c r="K696" s="281"/>
      <c r="L696" s="281"/>
      <c r="M696" s="281"/>
      <c r="N696" s="281"/>
      <c r="O696" s="281"/>
      <c r="P696" s="281"/>
      <c r="Q696" s="281"/>
      <c r="R696" s="281"/>
      <c r="S696" s="281"/>
      <c r="T696" s="281"/>
      <c r="U696" s="281"/>
      <c r="V696" s="281"/>
      <c r="W696" s="281"/>
      <c r="X696" s="281"/>
      <c r="Y696" s="281"/>
      <c r="Z696" s="281"/>
      <c r="AA696" s="281"/>
      <c r="AB696" s="281"/>
      <c r="AC696" s="281"/>
      <c r="AD696" s="281"/>
      <c r="AE696" s="281"/>
      <c r="AF696" s="281"/>
      <c r="AG696" s="281"/>
    </row>
    <row r="697" ht="12.75" customHeight="1" hidden="1" spans="3:33" x14ac:dyDescent="0.25">
      <c r="C697" s="281"/>
      <c r="D697" s="281"/>
      <c r="E697" s="281"/>
      <c r="F697" s="281"/>
      <c r="G697" s="281"/>
      <c r="H697" s="281"/>
      <c r="I697" s="281"/>
      <c r="J697" s="281"/>
      <c r="K697" s="281"/>
      <c r="L697" s="281"/>
      <c r="M697" s="281"/>
      <c r="N697" s="281"/>
      <c r="O697" s="281"/>
      <c r="P697" s="281"/>
      <c r="Q697" s="281"/>
      <c r="R697" s="281"/>
      <c r="S697" s="281"/>
      <c r="T697" s="281"/>
      <c r="U697" s="281"/>
      <c r="V697" s="281"/>
      <c r="W697" s="281"/>
      <c r="X697" s="281"/>
      <c r="Y697" s="281"/>
      <c r="Z697" s="281"/>
      <c r="AA697" s="281"/>
      <c r="AB697" s="281"/>
      <c r="AC697" s="281"/>
      <c r="AD697" s="281"/>
      <c r="AE697" s="281"/>
      <c r="AF697" s="281"/>
      <c r="AG697" s="281"/>
    </row>
    <row r="698" ht="12.75" customHeight="1" hidden="1" spans="3:33" x14ac:dyDescent="0.25">
      <c r="C698" s="281"/>
      <c r="D698" s="281"/>
      <c r="E698" s="281"/>
      <c r="F698" s="281"/>
      <c r="G698" s="281"/>
      <c r="H698" s="281"/>
      <c r="I698" s="281"/>
      <c r="J698" s="281"/>
      <c r="K698" s="281"/>
      <c r="L698" s="281"/>
      <c r="M698" s="281"/>
      <c r="N698" s="281"/>
      <c r="O698" s="281"/>
      <c r="P698" s="281"/>
      <c r="Q698" s="281"/>
      <c r="R698" s="281"/>
      <c r="S698" s="281"/>
      <c r="T698" s="281"/>
      <c r="U698" s="281"/>
      <c r="V698" s="281"/>
      <c r="W698" s="281"/>
      <c r="X698" s="281"/>
      <c r="Y698" s="281"/>
      <c r="Z698" s="281"/>
      <c r="AA698" s="281"/>
      <c r="AB698" s="281"/>
      <c r="AC698" s="281"/>
      <c r="AD698" s="281"/>
      <c r="AE698" s="281"/>
      <c r="AF698" s="281"/>
      <c r="AG698" s="281"/>
    </row>
    <row r="699" ht="12.75" customHeight="1" hidden="1" spans="3:33" x14ac:dyDescent="0.25">
      <c r="C699" s="281"/>
      <c r="D699" s="281"/>
      <c r="E699" s="281"/>
      <c r="F699" s="281"/>
      <c r="G699" s="281"/>
      <c r="H699" s="281"/>
      <c r="I699" s="281"/>
      <c r="J699" s="281"/>
      <c r="K699" s="281"/>
      <c r="L699" s="281"/>
      <c r="M699" s="281"/>
      <c r="N699" s="281"/>
      <c r="O699" s="281"/>
      <c r="P699" s="281"/>
      <c r="Q699" s="281"/>
      <c r="R699" s="281"/>
      <c r="S699" s="281"/>
      <c r="T699" s="281"/>
      <c r="U699" s="281"/>
      <c r="V699" s="281"/>
      <c r="W699" s="281"/>
      <c r="X699" s="281"/>
      <c r="Y699" s="281"/>
      <c r="Z699" s="281"/>
      <c r="AA699" s="281"/>
      <c r="AB699" s="281"/>
      <c r="AC699" s="281"/>
      <c r="AD699" s="281"/>
      <c r="AE699" s="281"/>
      <c r="AF699" s="281"/>
      <c r="AG699" s="281"/>
    </row>
    <row r="700" ht="12.75" customHeight="1" hidden="1" x14ac:dyDescent="0.25"/>
    <row r="701" ht="12.75" customHeight="1" hidden="1" spans="34:34" x14ac:dyDescent="0.25">
      <c r="AH701" s="281"/>
    </row>
    <row r="702" ht="12.75" customHeight="1" hidden="1" spans="34:34" x14ac:dyDescent="0.25">
      <c r="AH702" s="281"/>
    </row>
    <row r="703" ht="12.75" customHeight="1" hidden="1" spans="34:34" x14ac:dyDescent="0.25">
      <c r="AH703" s="281"/>
    </row>
    <row r="704" ht="12.75" customHeight="1" hidden="1" spans="34:34" x14ac:dyDescent="0.25">
      <c r="AH704" s="281"/>
    </row>
    <row r="705" ht="12.75" customHeight="1" hidden="1" x14ac:dyDescent="0.25"/>
  </sheetData>
  <sheetProtection sheet="1" selectLockedCells="1" objects="1" scenarios="1"/>
  <mergeCells count="532">
    <mergeCell ref="AJ2:AO2"/>
    <mergeCell ref="C3:Y4"/>
    <mergeCell ref="AJ3:AO3"/>
    <mergeCell ref="D5:Q6"/>
    <mergeCell ref="D7:Q7"/>
    <mergeCell ref="T7:W7"/>
    <mergeCell ref="T8:W8"/>
    <mergeCell ref="D11:F11"/>
    <mergeCell ref="T11:W11"/>
    <mergeCell ref="D12:H12"/>
    <mergeCell ref="K12:O12"/>
    <mergeCell ref="T12:X12"/>
    <mergeCell ref="AK12:AO12"/>
    <mergeCell ref="D13:H13"/>
    <mergeCell ref="K13:O13"/>
    <mergeCell ref="T13:X13"/>
    <mergeCell ref="D15:H15"/>
    <mergeCell ref="K15:O15"/>
    <mergeCell ref="T15:X15"/>
    <mergeCell ref="D16:H16"/>
    <mergeCell ref="K16:O16"/>
    <mergeCell ref="T16:X16"/>
    <mergeCell ref="D17:P17"/>
    <mergeCell ref="D19:F19"/>
    <mergeCell ref="G19:Q19"/>
    <mergeCell ref="T19:V19"/>
    <mergeCell ref="F20:I20"/>
    <mergeCell ref="J20:M20"/>
    <mergeCell ref="N20:P20"/>
    <mergeCell ref="C21:E21"/>
    <mergeCell ref="F21:I21"/>
    <mergeCell ref="J21:M21"/>
    <mergeCell ref="N21:P21"/>
    <mergeCell ref="T21:X21"/>
    <mergeCell ref="AA21:AE21"/>
    <mergeCell ref="C22:E22"/>
    <mergeCell ref="F22:I22"/>
    <mergeCell ref="J22:M22"/>
    <mergeCell ref="N22:P22"/>
    <mergeCell ref="T22:X22"/>
    <mergeCell ref="AA22:AE22"/>
    <mergeCell ref="C23:E23"/>
    <mergeCell ref="F23:I23"/>
    <mergeCell ref="J23:M23"/>
    <mergeCell ref="N23:P23"/>
    <mergeCell ref="T24:X24"/>
    <mergeCell ref="AA24:AE24"/>
    <mergeCell ref="C25:E25"/>
    <mergeCell ref="F25:I25"/>
    <mergeCell ref="J25:M25"/>
    <mergeCell ref="N25:P25"/>
    <mergeCell ref="T25:X25"/>
    <mergeCell ref="AA25:AE25"/>
    <mergeCell ref="C26:E26"/>
    <mergeCell ref="F26:I26"/>
    <mergeCell ref="J26:M26"/>
    <mergeCell ref="N26:P26"/>
    <mergeCell ref="C27:E27"/>
    <mergeCell ref="F27:I27"/>
    <mergeCell ref="J27:M27"/>
    <mergeCell ref="N27:P27"/>
    <mergeCell ref="D28:P28"/>
    <mergeCell ref="C30:D30"/>
    <mergeCell ref="E30:F30"/>
    <mergeCell ref="G30:J30"/>
    <mergeCell ref="K30:O30"/>
    <mergeCell ref="P30:S30"/>
    <mergeCell ref="T30:W30"/>
    <mergeCell ref="X30:AB30"/>
    <mergeCell ref="AC30:AG30"/>
    <mergeCell ref="C31:D31"/>
    <mergeCell ref="E31:F31"/>
    <mergeCell ref="G31:J31"/>
    <mergeCell ref="K31:O31"/>
    <mergeCell ref="P31:S31"/>
    <mergeCell ref="T31:W31"/>
    <mergeCell ref="X31:AB31"/>
    <mergeCell ref="AC31:AG31"/>
    <mergeCell ref="C32:D32"/>
    <mergeCell ref="E32:F32"/>
    <mergeCell ref="G32:J32"/>
    <mergeCell ref="K32:O32"/>
    <mergeCell ref="P32:S32"/>
    <mergeCell ref="T32:W32"/>
    <mergeCell ref="X32:AB32"/>
    <mergeCell ref="AC32:AG32"/>
    <mergeCell ref="C33:D33"/>
    <mergeCell ref="E33:F33"/>
    <mergeCell ref="G33:J33"/>
    <mergeCell ref="K33:O33"/>
    <mergeCell ref="P33:S33"/>
    <mergeCell ref="T33:W33"/>
    <mergeCell ref="X33:AB33"/>
    <mergeCell ref="AC33:AG33"/>
    <mergeCell ref="C34:D34"/>
    <mergeCell ref="E34:F34"/>
    <mergeCell ref="G34:J34"/>
    <mergeCell ref="K34:O34"/>
    <mergeCell ref="P34:S34"/>
    <mergeCell ref="T34:W34"/>
    <mergeCell ref="X34:AB34"/>
    <mergeCell ref="AC34:AG34"/>
    <mergeCell ref="C35:D35"/>
    <mergeCell ref="E35:F35"/>
    <mergeCell ref="G35:J35"/>
    <mergeCell ref="K35:O35"/>
    <mergeCell ref="P35:S35"/>
    <mergeCell ref="T35:W35"/>
    <mergeCell ref="X35:AB35"/>
    <mergeCell ref="AC35:AG35"/>
    <mergeCell ref="C36:D36"/>
    <mergeCell ref="E36:F36"/>
    <mergeCell ref="G36:J36"/>
    <mergeCell ref="K36:O36"/>
    <mergeCell ref="P36:S36"/>
    <mergeCell ref="T36:W36"/>
    <mergeCell ref="X36:AB36"/>
    <mergeCell ref="AC36:AG36"/>
    <mergeCell ref="C37:D37"/>
    <mergeCell ref="E37:F37"/>
    <mergeCell ref="G37:J37"/>
    <mergeCell ref="K37:O37"/>
    <mergeCell ref="P37:S37"/>
    <mergeCell ref="T37:W37"/>
    <mergeCell ref="X37:AB37"/>
    <mergeCell ref="AC37:AG37"/>
    <mergeCell ref="C38:D38"/>
    <mergeCell ref="E38:F38"/>
    <mergeCell ref="G38:J38"/>
    <mergeCell ref="K38:O38"/>
    <mergeCell ref="P38:S38"/>
    <mergeCell ref="T38:W38"/>
    <mergeCell ref="X38:AB38"/>
    <mergeCell ref="AC38:AG38"/>
    <mergeCell ref="C39:D39"/>
    <mergeCell ref="E39:F39"/>
    <mergeCell ref="G39:J39"/>
    <mergeCell ref="K39:O39"/>
    <mergeCell ref="P39:S39"/>
    <mergeCell ref="T39:W39"/>
    <mergeCell ref="X39:AB39"/>
    <mergeCell ref="AC39:AG39"/>
    <mergeCell ref="C40:D40"/>
    <mergeCell ref="E40:F40"/>
    <mergeCell ref="G40:J40"/>
    <mergeCell ref="K40:O40"/>
    <mergeCell ref="P40:S40"/>
    <mergeCell ref="T40:W40"/>
    <mergeCell ref="X40:AB40"/>
    <mergeCell ref="AC40:AG40"/>
    <mergeCell ref="C41:D41"/>
    <mergeCell ref="E41:F41"/>
    <mergeCell ref="G41:J41"/>
    <mergeCell ref="K41:O41"/>
    <mergeCell ref="P41:S41"/>
    <mergeCell ref="T41:W41"/>
    <mergeCell ref="X41:AB41"/>
    <mergeCell ref="AC41:AG41"/>
    <mergeCell ref="C42:D42"/>
    <mergeCell ref="E42:F42"/>
    <mergeCell ref="G42:J42"/>
    <mergeCell ref="K42:O42"/>
    <mergeCell ref="P42:S42"/>
    <mergeCell ref="T42:W42"/>
    <mergeCell ref="X42:AB42"/>
    <mergeCell ref="AC42:AG42"/>
    <mergeCell ref="C43:D43"/>
    <mergeCell ref="E43:F43"/>
    <mergeCell ref="G43:J43"/>
    <mergeCell ref="K43:O43"/>
    <mergeCell ref="P43:S43"/>
    <mergeCell ref="T43:W43"/>
    <mergeCell ref="X43:AB43"/>
    <mergeCell ref="AC43:AG43"/>
    <mergeCell ref="C44:D44"/>
    <mergeCell ref="E44:F44"/>
    <mergeCell ref="G44:J44"/>
    <mergeCell ref="K44:O44"/>
    <mergeCell ref="P44:S44"/>
    <mergeCell ref="T44:W44"/>
    <mergeCell ref="X44:AB44"/>
    <mergeCell ref="AC44:AG44"/>
    <mergeCell ref="C45:D45"/>
    <mergeCell ref="E45:F45"/>
    <mergeCell ref="G45:J45"/>
    <mergeCell ref="K45:O45"/>
    <mergeCell ref="P45:S45"/>
    <mergeCell ref="T45:W45"/>
    <mergeCell ref="X45:AB45"/>
    <mergeCell ref="AC45:AG45"/>
    <mergeCell ref="C46:D46"/>
    <mergeCell ref="E46:F46"/>
    <mergeCell ref="G46:J46"/>
    <mergeCell ref="K46:O46"/>
    <mergeCell ref="P46:S46"/>
    <mergeCell ref="T46:W46"/>
    <mergeCell ref="X46:AB46"/>
    <mergeCell ref="AC46:AG46"/>
    <mergeCell ref="C47:D47"/>
    <mergeCell ref="E47:F47"/>
    <mergeCell ref="G47:J47"/>
    <mergeCell ref="K47:O47"/>
    <mergeCell ref="P47:S47"/>
    <mergeCell ref="T47:W47"/>
    <mergeCell ref="X47:AB47"/>
    <mergeCell ref="AC47:AG47"/>
    <mergeCell ref="C48:D48"/>
    <mergeCell ref="E48:F48"/>
    <mergeCell ref="G48:J48"/>
    <mergeCell ref="K48:O48"/>
    <mergeCell ref="P48:S48"/>
    <mergeCell ref="T48:W48"/>
    <mergeCell ref="X48:AB48"/>
    <mergeCell ref="AC48:AG48"/>
    <mergeCell ref="C49:D49"/>
    <mergeCell ref="E49:F49"/>
    <mergeCell ref="G49:J49"/>
    <mergeCell ref="K49:O49"/>
    <mergeCell ref="P49:S49"/>
    <mergeCell ref="T49:W49"/>
    <mergeCell ref="X49:AB49"/>
    <mergeCell ref="AC49:AG49"/>
    <mergeCell ref="C50:D50"/>
    <mergeCell ref="E50:F50"/>
    <mergeCell ref="G50:J50"/>
    <mergeCell ref="K50:O50"/>
    <mergeCell ref="P50:S50"/>
    <mergeCell ref="T50:W50"/>
    <mergeCell ref="X50:AB50"/>
    <mergeCell ref="AC50:AG50"/>
    <mergeCell ref="C51:D51"/>
    <mergeCell ref="E51:F51"/>
    <mergeCell ref="G51:J51"/>
    <mergeCell ref="K51:O51"/>
    <mergeCell ref="P51:S51"/>
    <mergeCell ref="T51:W51"/>
    <mergeCell ref="X51:AB51"/>
    <mergeCell ref="AC51:AG51"/>
    <mergeCell ref="C52:D52"/>
    <mergeCell ref="E52:F52"/>
    <mergeCell ref="G52:J52"/>
    <mergeCell ref="K52:O52"/>
    <mergeCell ref="P52:S52"/>
    <mergeCell ref="T52:W52"/>
    <mergeCell ref="X52:AB52"/>
    <mergeCell ref="AC52:AG52"/>
    <mergeCell ref="C53:D53"/>
    <mergeCell ref="E53:F53"/>
    <mergeCell ref="G53:J53"/>
    <mergeCell ref="K53:O53"/>
    <mergeCell ref="P53:S53"/>
    <mergeCell ref="T53:W53"/>
    <mergeCell ref="X53:AB53"/>
    <mergeCell ref="AC53:AG53"/>
    <mergeCell ref="C54:D54"/>
    <mergeCell ref="E54:F54"/>
    <mergeCell ref="G54:J54"/>
    <mergeCell ref="K54:O54"/>
    <mergeCell ref="P54:S54"/>
    <mergeCell ref="T54:W54"/>
    <mergeCell ref="X54:AB54"/>
    <mergeCell ref="AC54:AG54"/>
    <mergeCell ref="C55:D55"/>
    <mergeCell ref="E55:F55"/>
    <mergeCell ref="G55:J55"/>
    <mergeCell ref="K55:O55"/>
    <mergeCell ref="P55:S55"/>
    <mergeCell ref="T55:W55"/>
    <mergeCell ref="X55:AB55"/>
    <mergeCell ref="AC55:AG55"/>
    <mergeCell ref="K56:O56"/>
    <mergeCell ref="X56:AB56"/>
    <mergeCell ref="K57:O57"/>
    <mergeCell ref="X57:AB57"/>
    <mergeCell ref="C58:AG60"/>
    <mergeCell ref="D61:AF61"/>
    <mergeCell ref="D63:AF64"/>
    <mergeCell ref="AJ69:AN69"/>
    <mergeCell ref="AJ81:BL81"/>
    <mergeCell ref="AJ87:AL87"/>
    <mergeCell ref="BE88:BH88"/>
    <mergeCell ref="BI88:BL88"/>
    <mergeCell ref="BM88:BP88"/>
    <mergeCell ref="AJ88:AJ90"/>
    <mergeCell ref="AK88:AK90"/>
    <mergeCell ref="AL88:AL90"/>
    <mergeCell ref="AM88:AM90"/>
    <mergeCell ref="BA89:BD89"/>
    <mergeCell ref="BE89:BH89"/>
    <mergeCell ref="BI89:BL89"/>
    <mergeCell ref="BM89:BP89"/>
    <mergeCell ref="BS89:BY89"/>
    <mergeCell ref="BA90:BD90"/>
    <mergeCell ref="BE90:BH90"/>
    <mergeCell ref="BI90:BL90"/>
    <mergeCell ref="BM90:BP90"/>
    <mergeCell ref="BA91:BD91"/>
    <mergeCell ref="BE91:BH91"/>
    <mergeCell ref="BI91:BL91"/>
    <mergeCell ref="BM91:BP91"/>
    <mergeCell ref="BS91:BY91"/>
    <mergeCell ref="H95:R96"/>
    <mergeCell ref="V95:Z95"/>
    <mergeCell ref="I97:R97"/>
    <mergeCell ref="C98:E100"/>
    <mergeCell ref="F98:G100"/>
    <mergeCell ref="I98:J100"/>
    <mergeCell ref="L98:O100"/>
    <mergeCell ref="P98:S100"/>
    <mergeCell ref="T98:X100"/>
    <mergeCell ref="Z98:AC100"/>
    <mergeCell ref="AD98:AG100"/>
    <mergeCell ref="C102:E102"/>
    <mergeCell ref="F102:G102"/>
    <mergeCell ref="I102:J102"/>
    <mergeCell ref="L102:O102"/>
    <mergeCell ref="P102:S102"/>
    <mergeCell ref="T102:X102"/>
    <mergeCell ref="Z102:AC102"/>
    <mergeCell ref="AD102:AG102"/>
    <mergeCell ref="C103:E103"/>
    <mergeCell ref="F103:G103"/>
    <mergeCell ref="I103:J103"/>
    <mergeCell ref="L103:O103"/>
    <mergeCell ref="P103:S103"/>
    <mergeCell ref="T103:X103"/>
    <mergeCell ref="Z103:AC103"/>
    <mergeCell ref="AD103:AG103"/>
    <mergeCell ref="C104:E104"/>
    <mergeCell ref="F104:G104"/>
    <mergeCell ref="I104:J104"/>
    <mergeCell ref="L104:O104"/>
    <mergeCell ref="P104:S104"/>
    <mergeCell ref="T104:X104"/>
    <mergeCell ref="Z104:AC104"/>
    <mergeCell ref="AD104:AG104"/>
    <mergeCell ref="C105:E105"/>
    <mergeCell ref="F105:G105"/>
    <mergeCell ref="I105:J105"/>
    <mergeCell ref="L105:O105"/>
    <mergeCell ref="P105:S105"/>
    <mergeCell ref="T105:X105"/>
    <mergeCell ref="Z105:AC105"/>
    <mergeCell ref="AD105:AG105"/>
    <mergeCell ref="C106:E106"/>
    <mergeCell ref="F106:G106"/>
    <mergeCell ref="I106:J106"/>
    <mergeCell ref="L106:O106"/>
    <mergeCell ref="P106:S106"/>
    <mergeCell ref="T106:X106"/>
    <mergeCell ref="Z106:AC106"/>
    <mergeCell ref="AD106:AG106"/>
    <mergeCell ref="C107:E107"/>
    <mergeCell ref="F107:G107"/>
    <mergeCell ref="I107:J107"/>
    <mergeCell ref="L107:O107"/>
    <mergeCell ref="P107:S107"/>
    <mergeCell ref="T107:X107"/>
    <mergeCell ref="Z107:AC107"/>
    <mergeCell ref="AD107:AG107"/>
    <mergeCell ref="C108:E108"/>
    <mergeCell ref="F108:G108"/>
    <mergeCell ref="I108:J108"/>
    <mergeCell ref="L108:O108"/>
    <mergeCell ref="P108:S108"/>
    <mergeCell ref="T108:X108"/>
    <mergeCell ref="Z108:AC108"/>
    <mergeCell ref="AD108:AG108"/>
    <mergeCell ref="C109:E109"/>
    <mergeCell ref="F109:G109"/>
    <mergeCell ref="I109:J109"/>
    <mergeCell ref="L109:O109"/>
    <mergeCell ref="P109:S109"/>
    <mergeCell ref="T109:X109"/>
    <mergeCell ref="Z109:AC109"/>
    <mergeCell ref="AD109:AG109"/>
    <mergeCell ref="C110:E110"/>
    <mergeCell ref="F110:G110"/>
    <mergeCell ref="I110:J110"/>
    <mergeCell ref="L110:O110"/>
    <mergeCell ref="P110:S110"/>
    <mergeCell ref="T110:X110"/>
    <mergeCell ref="Z110:AC110"/>
    <mergeCell ref="AD110:AG110"/>
    <mergeCell ref="C111:E111"/>
    <mergeCell ref="F111:G111"/>
    <mergeCell ref="I111:J111"/>
    <mergeCell ref="L111:O111"/>
    <mergeCell ref="P111:S111"/>
    <mergeCell ref="T111:X111"/>
    <mergeCell ref="Z111:AC111"/>
    <mergeCell ref="AD111:AG111"/>
    <mergeCell ref="C112:E112"/>
    <mergeCell ref="F112:G112"/>
    <mergeCell ref="I112:J112"/>
    <mergeCell ref="L112:O112"/>
    <mergeCell ref="P112:S112"/>
    <mergeCell ref="T112:X112"/>
    <mergeCell ref="Z112:AC112"/>
    <mergeCell ref="AD112:AG112"/>
    <mergeCell ref="C113:E113"/>
    <mergeCell ref="F113:G113"/>
    <mergeCell ref="I113:J113"/>
    <mergeCell ref="L113:O113"/>
    <mergeCell ref="P113:S113"/>
    <mergeCell ref="T113:X113"/>
    <mergeCell ref="Z113:AC113"/>
    <mergeCell ref="AD113:AG113"/>
    <mergeCell ref="C114:E114"/>
    <mergeCell ref="F114:G114"/>
    <mergeCell ref="I114:J114"/>
    <mergeCell ref="L114:O114"/>
    <mergeCell ref="P114:S114"/>
    <mergeCell ref="T114:X114"/>
    <mergeCell ref="Z114:AC114"/>
    <mergeCell ref="AD114:AG114"/>
    <mergeCell ref="C115:E115"/>
    <mergeCell ref="F115:G115"/>
    <mergeCell ref="I115:J115"/>
    <mergeCell ref="L115:O115"/>
    <mergeCell ref="P115:S115"/>
    <mergeCell ref="T115:X115"/>
    <mergeCell ref="Z115:AC115"/>
    <mergeCell ref="AD115:AG115"/>
    <mergeCell ref="C116:E116"/>
    <mergeCell ref="F116:G116"/>
    <mergeCell ref="I116:J116"/>
    <mergeCell ref="L116:O116"/>
    <mergeCell ref="P116:S116"/>
    <mergeCell ref="T116:X116"/>
    <mergeCell ref="Z116:AC116"/>
    <mergeCell ref="AD116:AG116"/>
    <mergeCell ref="C117:E117"/>
    <mergeCell ref="F117:G117"/>
    <mergeCell ref="I117:J117"/>
    <mergeCell ref="L117:O117"/>
    <mergeCell ref="P117:S117"/>
    <mergeCell ref="T117:X117"/>
    <mergeCell ref="Z117:AC117"/>
    <mergeCell ref="AD117:AG117"/>
    <mergeCell ref="C118:E118"/>
    <mergeCell ref="F118:G118"/>
    <mergeCell ref="I118:J118"/>
    <mergeCell ref="L118:O118"/>
    <mergeCell ref="P118:S118"/>
    <mergeCell ref="T118:X118"/>
    <mergeCell ref="Z118:AC118"/>
    <mergeCell ref="AD118:AG118"/>
    <mergeCell ref="C119:E119"/>
    <mergeCell ref="F119:G119"/>
    <mergeCell ref="I119:J119"/>
    <mergeCell ref="L119:O119"/>
    <mergeCell ref="P119:S119"/>
    <mergeCell ref="T119:X119"/>
    <mergeCell ref="Z119:AC119"/>
    <mergeCell ref="AD119:AG119"/>
    <mergeCell ref="C120:E120"/>
    <mergeCell ref="F120:G120"/>
    <mergeCell ref="I120:J120"/>
    <mergeCell ref="L120:O120"/>
    <mergeCell ref="P120:S120"/>
    <mergeCell ref="T120:X120"/>
    <mergeCell ref="Z120:AC120"/>
    <mergeCell ref="AD120:AG120"/>
    <mergeCell ref="C121:E121"/>
    <mergeCell ref="F121:G121"/>
    <mergeCell ref="I121:J121"/>
    <mergeCell ref="L121:O121"/>
    <mergeCell ref="P121:S121"/>
    <mergeCell ref="T121:X121"/>
    <mergeCell ref="Z121:AC121"/>
    <mergeCell ref="AD121:AG121"/>
    <mergeCell ref="C122:E122"/>
    <mergeCell ref="F122:G122"/>
    <mergeCell ref="I122:J122"/>
    <mergeCell ref="L122:O122"/>
    <mergeCell ref="P122:S122"/>
    <mergeCell ref="T122:X122"/>
    <mergeCell ref="Z122:AC122"/>
    <mergeCell ref="AD122:AG122"/>
    <mergeCell ref="C123:E123"/>
    <mergeCell ref="F123:G123"/>
    <mergeCell ref="I123:J123"/>
    <mergeCell ref="L123:O123"/>
    <mergeCell ref="P123:S123"/>
    <mergeCell ref="T123:X123"/>
    <mergeCell ref="Z123:AC123"/>
    <mergeCell ref="AD123:AG123"/>
    <mergeCell ref="C124:E124"/>
    <mergeCell ref="F124:G124"/>
    <mergeCell ref="I124:J124"/>
    <mergeCell ref="L124:O124"/>
    <mergeCell ref="P124:S124"/>
    <mergeCell ref="T124:X124"/>
    <mergeCell ref="Z124:AC124"/>
    <mergeCell ref="AD124:AG124"/>
    <mergeCell ref="C125:E125"/>
    <mergeCell ref="F125:G125"/>
    <mergeCell ref="I125:J125"/>
    <mergeCell ref="L125:O125"/>
    <mergeCell ref="P125:S125"/>
    <mergeCell ref="T125:X125"/>
    <mergeCell ref="Z125:AC125"/>
    <mergeCell ref="AD125:AG125"/>
    <mergeCell ref="C126:E126"/>
    <mergeCell ref="F126:G126"/>
    <mergeCell ref="I126:J126"/>
    <mergeCell ref="L126:O126"/>
    <mergeCell ref="P126:S126"/>
    <mergeCell ref="T126:X126"/>
    <mergeCell ref="Z126:AC126"/>
    <mergeCell ref="AD126:AG126"/>
    <mergeCell ref="P127:S127"/>
    <mergeCell ref="U128:Y128"/>
    <mergeCell ref="AD128:AG128"/>
    <mergeCell ref="P130:S130"/>
    <mergeCell ref="U130:AE130"/>
    <mergeCell ref="AF130:AG130"/>
    <mergeCell ref="P131:S131"/>
    <mergeCell ref="U131:AE131"/>
    <mergeCell ref="AF131:AG131"/>
    <mergeCell ref="P132:S132"/>
    <mergeCell ref="U132:AE132"/>
    <mergeCell ref="AF132:AG132"/>
    <mergeCell ref="P133:S133"/>
    <mergeCell ref="U133:AE133"/>
    <mergeCell ref="AF133:AG133"/>
    <mergeCell ref="P134:S134"/>
    <mergeCell ref="U134:AE134"/>
    <mergeCell ref="AF134:AG134"/>
    <mergeCell ref="D137:AG142"/>
    <mergeCell ref="D143:AG146"/>
  </mergeCells>
  <conditionalFormatting sqref="D128:D129 E128:F135 D131:D135">
    <cfRule type="cellIs" dxfId="0" priority="1" operator="equal">
      <formula>0</formula>
    </cfRule>
  </conditionalFormatting>
  <dataValidations count="13">
    <dataValidation showInputMessage="1" showErrorMessage="1" sqref="AA10"/>
    <dataValidation showInputMessage="1" showErrorMessage="1" sqref="AA9:AA10"/>
    <dataValidation type="list" allowBlank="1" showInputMessage="1" showErrorMessage="1" sqref="AJ2">
      <formula1>$AQ$4:$AQ$6</formula1>
    </dataValidation>
    <dataValidation type="list" allowBlank="1" showInputMessage="1" showErrorMessage="1" sqref="AJ3">
      <formula1>$AU$4:$AU$20</formula1>
    </dataValidation>
    <dataValidation type="list" allowBlank="1" showInputMessage="1" showErrorMessage="1" sqref="D15:G15">
      <formula1>$AR$4:$AR$24</formula1>
    </dataValidation>
    <dataValidation type="list" allowBlank="1" showInputMessage="1" showErrorMessage="1" sqref="K12:O12">
      <formula1>$AS$4:$AS$7</formula1>
    </dataValidation>
    <dataValidation type="list" allowBlank="1" showInputMessage="1" showErrorMessage="1" sqref="K15:O15">
      <formula1>$AT$4:$AT$5</formula1>
    </dataValidation>
    <dataValidation type="custom" allowBlank="1" showInputMessage="1" showErrorMessage="1" sqref="K24:N24">
      <formula1>K24&gt;=0</formula1>
    </dataValidation>
    <dataValidation type="custom" allowBlank="1" showInputMessage="1" showErrorMessage="1" sqref="K30:N30">
      <formula1>K24&gt;=0</formula1>
    </dataValidation>
    <dataValidation type="list" allowBlank="1" showInputMessage="1" showErrorMessage="1" sqref="T12:X12">
      <formula1>$AO$4:$AO$6</formula1>
    </dataValidation>
    <dataValidation type="list" allowBlank="1" showInputMessage="1" showErrorMessage="1" sqref="T15:X15">
      <formula1>$AU$4:$AU$11</formula1>
    </dataValidation>
    <dataValidation type="list" allowBlank="1" showInputMessage="1" showErrorMessage="1" sqref="T7:W7">
      <formula1>$AV$3:$AV$60</formula1>
    </dataValidation>
    <dataValidation type="list" allowBlank="1" showInputMessage="1" showErrorMessage="1" sqref="Y25">
      <formula1>$AK$15:$AK$19</formula1>
    </dataValidation>
  </dataValidations>
  <printOptions horizontalCentered="1"/>
  <pageMargins left="0.1968503937007874" right="0.1968503937007874" top="0.1968503937007874" bottom="0.1968503937007874" header="0" footer="0"/>
  <pageSetup orientation="portrait" horizontalDpi="4294967295" verticalDpi="4294967295" scale="66" fitToWidth="1" fitToHeight="1" firstPageNumber="1" useFirstPageNumber="1" copies="1"/>
  <drawing r:id="rId3"/>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55"/>
  <sheetViews>
    <sheetView workbookViewId="0" zoomScale="100" zoomScaleNormal="100">
      <selection activeCell="C22" sqref="C22"/>
    </sheetView>
  </sheetViews>
  <sheetFormatPr defaultRowHeight="11.25" outlineLevelRow="0" outlineLevelCol="0" x14ac:dyDescent="0" customHeight="1"/>
  <cols>
    <col min="1" max="1" width="11.42578125" style="356" customWidth="1"/>
    <col min="2" max="2" width="4" style="356" customWidth="1"/>
    <col min="3" max="5" width="7" style="357" customWidth="1"/>
    <col min="6" max="8" width="11.42578125" style="356" customWidth="1"/>
    <col min="9" max="9" width="14.28515625" style="356" customWidth="1"/>
    <col min="10" max="10" width="15" style="356" customWidth="1"/>
    <col min="11" max="13" width="11.42578125" style="356" customWidth="1"/>
    <col min="14" max="14" width="4" style="356" customWidth="1"/>
    <col min="15" max="15" width="11.42578125" style="358" customWidth="1"/>
    <col min="16" max="17" width="11.42578125" style="356" customWidth="1"/>
    <col min="18" max="18" width="13" style="356" customWidth="1"/>
    <col min="19" max="21" width="11.42578125" style="356" customWidth="1"/>
    <col min="22" max="22" width="11.42578125" style="359" customWidth="1"/>
    <col min="23" max="23" width="11.42578125" style="356" customWidth="1"/>
    <col min="24" max="24" width="11.42578125" style="359" customWidth="1"/>
    <col min="25" max="25" width="13" style="356" customWidth="1"/>
    <col min="26" max="26" width="11.42578125" style="356" customWidth="1"/>
    <col min="27" max="33" width="11.42578125" style="357" customWidth="1"/>
    <col min="34" max="34" width="12.42578125" style="356" customWidth="1"/>
    <col min="35" max="16384" width="11.42578125" style="356" customWidth="1"/>
  </cols>
  <sheetData>
    <row r="1" spans="1:28" s="356" customFormat="1" x14ac:dyDescent="0.25">
      <c r="A1" s="360"/>
      <c r="B1" s="360"/>
      <c r="C1" s="361"/>
      <c r="D1" s="361"/>
      <c r="E1" s="361"/>
      <c r="F1" s="360"/>
      <c r="G1" s="360"/>
      <c r="H1" s="360"/>
      <c r="I1" s="360"/>
      <c r="J1" s="360"/>
      <c r="K1" s="360"/>
      <c r="L1" s="360"/>
      <c r="M1" s="360"/>
      <c r="V1" s="359"/>
      <c r="X1" s="359"/>
      <c r="AA1" s="357"/>
      <c r="AB1" s="357"/>
    </row>
    <row r="2" spans="1:28" s="356" customFormat="1" x14ac:dyDescent="0.25">
      <c r="A2" s="360"/>
      <c r="B2" s="360"/>
      <c r="C2" s="361"/>
      <c r="D2" s="361"/>
      <c r="E2" s="361"/>
      <c r="F2" s="360" t="s">
        <v>23</v>
      </c>
      <c r="G2" s="362">
        <f>+'OptiMaxx plus'!T7</f>
        <v>29</v>
      </c>
      <c r="H2" s="360"/>
      <c r="I2" s="363" t="s">
        <v>77</v>
      </c>
      <c r="J2" s="364" t="s">
        <v>78</v>
      </c>
      <c r="K2" s="360"/>
      <c r="L2" s="360"/>
      <c r="M2" s="360"/>
      <c r="V2" s="359"/>
      <c r="X2" s="359"/>
      <c r="AA2" s="357"/>
      <c r="AB2" s="357"/>
    </row>
    <row r="3" spans="1:28" s="356" customFormat="1" x14ac:dyDescent="0.25">
      <c r="A3" s="360"/>
      <c r="B3" s="360"/>
      <c r="C3" s="361"/>
      <c r="D3" s="361"/>
      <c r="E3" s="361"/>
      <c r="F3" s="360" t="s">
        <v>26</v>
      </c>
      <c r="G3" s="362">
        <f>+'OptiMaxx plus'!D12</f>
        <v>10000</v>
      </c>
      <c r="H3" s="360"/>
      <c r="I3" s="360" t="s">
        <v>79</v>
      </c>
      <c r="J3" s="365">
        <v>0.06</v>
      </c>
      <c r="K3" s="366">
        <f t="shared" ref="K3:K17" si="0">+J3</f>
        <v>0.06</v>
      </c>
      <c r="L3" s="367">
        <f>+'OptiMaxx plus'!F21</f>
        <v>0</v>
      </c>
      <c r="M3" s="360"/>
      <c r="V3" s="359"/>
      <c r="X3" s="359"/>
      <c r="AA3" s="357"/>
      <c r="AB3" s="357"/>
    </row>
    <row r="4" spans="1:28" s="356" customFormat="1" x14ac:dyDescent="0.25">
      <c r="A4" s="360"/>
      <c r="B4" s="360"/>
      <c r="C4" s="361"/>
      <c r="D4" s="361"/>
      <c r="E4" s="361"/>
      <c r="F4" s="360" t="s">
        <v>3</v>
      </c>
      <c r="G4" s="362" t="str">
        <f>+'OptiMaxx plus'!K12</f>
        <v>Mensual</v>
      </c>
      <c r="H4" s="360"/>
      <c r="I4" s="360" t="s">
        <v>80</v>
      </c>
      <c r="J4" s="365">
        <v>0.09</v>
      </c>
      <c r="K4" s="366">
        <f t="shared" si="0"/>
        <v>0.09</v>
      </c>
      <c r="L4" s="367">
        <f>+'OptiMaxx plus'!J21</f>
        <v>0</v>
      </c>
      <c r="M4" s="360"/>
      <c r="V4" s="359"/>
      <c r="X4" s="359"/>
      <c r="AA4" s="357"/>
      <c r="AB4" s="357"/>
    </row>
    <row r="5" spans="1:28" s="356" customFormat="1" x14ac:dyDescent="0.25">
      <c r="A5" s="360"/>
      <c r="B5" s="360"/>
      <c r="C5" s="361"/>
      <c r="D5" s="361"/>
      <c r="E5" s="361"/>
      <c r="F5" s="360" t="s">
        <v>2</v>
      </c>
      <c r="G5" s="362">
        <f>+'OptiMaxx plus'!D15</f>
        <v>25</v>
      </c>
      <c r="H5" s="360"/>
      <c r="I5" s="360" t="s">
        <v>81</v>
      </c>
      <c r="J5" s="365">
        <v>0.12</v>
      </c>
      <c r="K5" s="366">
        <f t="shared" si="0"/>
        <v>0.12</v>
      </c>
      <c r="L5" s="367">
        <f>+'OptiMaxx plus'!N21</f>
        <v>0</v>
      </c>
      <c r="M5" s="360"/>
      <c r="V5" s="359"/>
      <c r="X5" s="359"/>
      <c r="AA5" s="357"/>
      <c r="AB5" s="357"/>
    </row>
    <row r="6" spans="1:28" s="356" customFormat="1" x14ac:dyDescent="0.25">
      <c r="A6" s="360"/>
      <c r="B6" s="360"/>
      <c r="C6" s="361"/>
      <c r="D6" s="361"/>
      <c r="E6" s="361"/>
      <c r="F6" s="360" t="s">
        <v>77</v>
      </c>
      <c r="G6" s="362">
        <f>L20</f>
        <v>0.1</v>
      </c>
      <c r="H6" s="360"/>
      <c r="I6" s="360" t="s">
        <v>82</v>
      </c>
      <c r="J6" s="365">
        <v>0.03</v>
      </c>
      <c r="K6" s="366">
        <f t="shared" si="0"/>
        <v>0.03</v>
      </c>
      <c r="L6" s="367">
        <f>+'OptiMaxx plus'!F22</f>
        <v>0</v>
      </c>
      <c r="M6" s="360"/>
      <c r="V6" s="359"/>
      <c r="X6" s="359"/>
      <c r="AA6" s="357"/>
      <c r="AB6" s="357"/>
    </row>
    <row r="7" spans="1:28" s="356" customFormat="1" x14ac:dyDescent="0.25">
      <c r="A7" s="360"/>
      <c r="B7" s="360"/>
      <c r="C7" s="361"/>
      <c r="D7" s="361"/>
      <c r="E7" s="361"/>
      <c r="F7" s="360" t="s">
        <v>83</v>
      </c>
      <c r="G7" s="368">
        <f>+L20</f>
        <v>0.1</v>
      </c>
      <c r="H7" s="360"/>
      <c r="I7" s="360" t="s">
        <v>84</v>
      </c>
      <c r="J7" s="365">
        <v>0.06</v>
      </c>
      <c r="K7" s="366">
        <f t="shared" si="0"/>
        <v>0.06</v>
      </c>
      <c r="L7" s="367">
        <f>+'OptiMaxx plus'!J22</f>
        <v>0</v>
      </c>
      <c r="M7" s="360"/>
      <c r="V7" s="359"/>
      <c r="X7" s="359"/>
      <c r="AA7" s="357"/>
      <c r="AB7" s="357"/>
    </row>
    <row r="8" spans="1:28" s="356" customFormat="1" x14ac:dyDescent="0.25">
      <c r="A8" s="360"/>
      <c r="B8" s="360"/>
      <c r="C8" s="361"/>
      <c r="D8" s="361"/>
      <c r="E8" s="361"/>
      <c r="F8" s="360" t="s">
        <v>85</v>
      </c>
      <c r="G8" s="368">
        <f>(1+G7)^(1/12)-1</f>
        <v>0.007974140428903764</v>
      </c>
      <c r="H8" s="360"/>
      <c r="I8" s="360" t="s">
        <v>86</v>
      </c>
      <c r="J8" s="365">
        <v>0.1</v>
      </c>
      <c r="K8" s="366">
        <f t="shared" si="0"/>
        <v>0.1</v>
      </c>
      <c r="L8" s="367">
        <f>+'OptiMaxx plus'!N22</f>
        <v>1</v>
      </c>
      <c r="M8" s="360"/>
      <c r="V8" s="359"/>
      <c r="X8" s="359"/>
      <c r="AA8" s="357"/>
      <c r="AB8" s="357"/>
    </row>
    <row r="9" spans="1:28" s="356" customFormat="1" x14ac:dyDescent="0.25">
      <c r="A9" s="360"/>
      <c r="B9" s="360"/>
      <c r="C9" s="361"/>
      <c r="D9" s="361"/>
      <c r="E9" s="361"/>
      <c r="F9" s="360" t="s">
        <v>87</v>
      </c>
      <c r="G9" s="369">
        <f>+Bono!F9</f>
        <v>1</v>
      </c>
      <c r="H9" s="360"/>
      <c r="I9" s="360" t="s">
        <v>88</v>
      </c>
      <c r="J9" s="365">
        <v>0.03</v>
      </c>
      <c r="K9" s="366">
        <f t="shared" si="0"/>
        <v>0.03</v>
      </c>
      <c r="L9" s="367">
        <f>+'OptiMaxx plus'!F23</f>
        <v>0</v>
      </c>
      <c r="M9" s="360"/>
      <c r="V9" s="359"/>
      <c r="X9" s="359"/>
      <c r="AA9" s="357"/>
      <c r="AB9" s="357"/>
    </row>
    <row r="10" spans="1:28" s="356" customFormat="1" x14ac:dyDescent="0.25">
      <c r="A10" s="360"/>
      <c r="B10" s="360"/>
      <c r="C10" s="361"/>
      <c r="D10" s="361"/>
      <c r="E10" s="361"/>
      <c r="F10" s="360"/>
      <c r="G10" s="369"/>
      <c r="H10" s="360"/>
      <c r="I10" s="360" t="s">
        <v>89</v>
      </c>
      <c r="J10" s="365">
        <v>0.06</v>
      </c>
      <c r="K10" s="366">
        <f t="shared" si="0"/>
        <v>0.06</v>
      </c>
      <c r="L10" s="367">
        <f>+'OptiMaxx plus'!J23</f>
        <v>0</v>
      </c>
      <c r="M10" s="360"/>
      <c r="V10" s="359"/>
      <c r="X10" s="359"/>
      <c r="AA10" s="357"/>
      <c r="AB10" s="357"/>
    </row>
    <row r="11" spans="1:28" s="356" customFormat="1" x14ac:dyDescent="0.25">
      <c r="A11" s="360"/>
      <c r="B11" s="360"/>
      <c r="C11" s="361"/>
      <c r="D11" s="361"/>
      <c r="E11" s="361"/>
      <c r="F11" s="360"/>
      <c r="G11" s="369"/>
      <c r="H11" s="360"/>
      <c r="I11" s="360" t="s">
        <v>90</v>
      </c>
      <c r="J11" s="365">
        <v>0.09</v>
      </c>
      <c r="K11" s="366">
        <f t="shared" si="0"/>
        <v>0.09</v>
      </c>
      <c r="L11" s="367">
        <f>+'OptiMaxx plus'!N23</f>
        <v>0</v>
      </c>
      <c r="M11" s="360"/>
      <c r="V11" s="359"/>
      <c r="X11" s="359"/>
      <c r="AA11" s="357"/>
      <c r="AB11" s="357"/>
    </row>
    <row r="12" spans="1:28" s="356" customFormat="1" x14ac:dyDescent="0.25">
      <c r="A12" s="360"/>
      <c r="B12" s="360"/>
      <c r="C12" s="361"/>
      <c r="D12" s="361"/>
      <c r="E12" s="361"/>
      <c r="F12" s="360"/>
      <c r="G12" s="369"/>
      <c r="H12" s="360"/>
      <c r="I12" s="360" t="s">
        <v>91</v>
      </c>
      <c r="J12" s="365">
        <v>0.08</v>
      </c>
      <c r="K12" s="366">
        <f t="shared" si="0"/>
        <v>0.08</v>
      </c>
      <c r="L12" s="367">
        <f>+'OptiMaxx plus'!F25</f>
        <v>0</v>
      </c>
      <c r="M12" s="360"/>
      <c r="V12" s="359"/>
      <c r="X12" s="359"/>
      <c r="AA12" s="357"/>
      <c r="AB12" s="357"/>
    </row>
    <row r="13" spans="1:28" s="356" customFormat="1" x14ac:dyDescent="0.25">
      <c r="A13" s="360"/>
      <c r="B13" s="360"/>
      <c r="C13" s="361"/>
      <c r="D13" s="361"/>
      <c r="E13" s="361"/>
      <c r="F13" s="360"/>
      <c r="G13" s="369"/>
      <c r="H13" s="360"/>
      <c r="I13" s="360" t="s">
        <v>52</v>
      </c>
      <c r="J13" s="365">
        <v>0.12</v>
      </c>
      <c r="K13" s="366">
        <f t="shared" si="0"/>
        <v>0.12</v>
      </c>
      <c r="L13" s="367">
        <f>+'OptiMaxx plus'!F27</f>
        <v>0</v>
      </c>
      <c r="M13" s="360"/>
      <c r="V13" s="359"/>
      <c r="X13" s="359"/>
      <c r="AA13" s="357"/>
      <c r="AB13" s="357"/>
    </row>
    <row r="14" spans="1:28" s="356" customFormat="1" x14ac:dyDescent="0.25">
      <c r="A14" s="360"/>
      <c r="B14" s="360"/>
      <c r="C14" s="361"/>
      <c r="D14" s="361"/>
      <c r="E14" s="361"/>
      <c r="F14" s="360"/>
      <c r="G14" s="369"/>
      <c r="H14" s="360"/>
      <c r="I14" s="360" t="s">
        <v>45</v>
      </c>
      <c r="J14" s="365">
        <v>0.12</v>
      </c>
      <c r="K14" s="366">
        <f t="shared" si="0"/>
        <v>0.12</v>
      </c>
      <c r="L14" s="367">
        <f>+'OptiMaxx plus'!N25</f>
        <v>0</v>
      </c>
      <c r="M14" s="360"/>
      <c r="V14" s="359"/>
      <c r="X14" s="359"/>
      <c r="AA14" s="357"/>
      <c r="AB14" s="357"/>
    </row>
    <row r="15" spans="1:28" s="356" customFormat="1" x14ac:dyDescent="0.25">
      <c r="A15" s="360"/>
      <c r="B15" s="360"/>
      <c r="C15" s="361"/>
      <c r="D15" s="361"/>
      <c r="E15" s="361"/>
      <c r="F15" s="360"/>
      <c r="G15" s="369"/>
      <c r="H15" s="360"/>
      <c r="I15" s="360" t="s">
        <v>49</v>
      </c>
      <c r="J15" s="365">
        <v>0.12</v>
      </c>
      <c r="K15" s="366">
        <f t="shared" si="0"/>
        <v>0.12</v>
      </c>
      <c r="L15" s="367">
        <f>+'OptiMaxx plus'!F26</f>
        <v>0</v>
      </c>
      <c r="M15" s="360"/>
      <c r="V15" s="359"/>
      <c r="X15" s="359"/>
      <c r="AA15" s="357"/>
      <c r="AB15" s="357"/>
    </row>
    <row r="16" spans="1:28" s="356" customFormat="1" x14ac:dyDescent="0.25">
      <c r="A16" s="360"/>
      <c r="B16" s="360"/>
      <c r="C16" s="361"/>
      <c r="D16" s="361"/>
      <c r="E16" s="361"/>
      <c r="F16" s="360"/>
      <c r="G16" s="369"/>
      <c r="H16" s="360"/>
      <c r="I16" s="360" t="s">
        <v>53</v>
      </c>
      <c r="J16" s="365">
        <v>0.05</v>
      </c>
      <c r="K16" s="366">
        <f t="shared" si="0"/>
        <v>0.05</v>
      </c>
      <c r="L16" s="367">
        <f>+'OptiMaxx plus'!N27</f>
        <v>0</v>
      </c>
      <c r="M16" s="360"/>
      <c r="V16" s="359"/>
      <c r="X16" s="359"/>
      <c r="AA16" s="357"/>
      <c r="AB16" s="357"/>
    </row>
    <row r="17" spans="1:28" s="356" customFormat="1" x14ac:dyDescent="0.25">
      <c r="A17" s="360"/>
      <c r="B17" s="360"/>
      <c r="C17" s="361"/>
      <c r="D17" s="361"/>
      <c r="E17" s="361"/>
      <c r="F17" s="360" t="s">
        <v>92</v>
      </c>
      <c r="G17" s="362" t="str">
        <f>+'OptiMaxx plus'!K15</f>
        <v>No</v>
      </c>
      <c r="H17" s="360"/>
      <c r="I17" s="360" t="s">
        <v>93</v>
      </c>
      <c r="J17" s="365">
        <v>0.12</v>
      </c>
      <c r="K17" s="366">
        <f t="shared" si="0"/>
        <v>0.12</v>
      </c>
      <c r="L17" s="367">
        <f>+'OptiMaxx plus'!N26</f>
        <v>0</v>
      </c>
      <c r="M17" s="360"/>
      <c r="Q17" s="359"/>
      <c r="V17" s="359"/>
      <c r="X17" s="359"/>
      <c r="AA17" s="357"/>
      <c r="AB17" s="357"/>
    </row>
    <row r="18" spans="1:28" s="356" customFormat="1" x14ac:dyDescent="0.25">
      <c r="A18" s="360"/>
      <c r="B18" s="360"/>
      <c r="C18" s="361"/>
      <c r="D18" s="361"/>
      <c r="E18" s="361"/>
      <c r="F18" s="360" t="s">
        <v>94</v>
      </c>
      <c r="G18" s="369">
        <v>0.04</v>
      </c>
      <c r="H18" s="360"/>
      <c r="I18" s="360"/>
      <c r="J18" s="365"/>
      <c r="K18" s="360"/>
      <c r="L18" s="360"/>
      <c r="M18" s="360"/>
      <c r="V18" s="359"/>
      <c r="X18" s="359"/>
      <c r="AA18" s="357"/>
      <c r="AB18" s="357"/>
    </row>
    <row r="19" spans="1:28" s="356" customFormat="1" x14ac:dyDescent="0.25">
      <c r="A19" s="360"/>
      <c r="B19" s="360"/>
      <c r="C19" s="361"/>
      <c r="D19" s="361"/>
      <c r="E19" s="361"/>
      <c r="F19" s="360" t="s">
        <v>95</v>
      </c>
      <c r="G19" s="370">
        <v>5.08</v>
      </c>
      <c r="H19" s="360"/>
      <c r="I19" s="360"/>
      <c r="J19" s="365"/>
      <c r="K19" s="360"/>
      <c r="L19" s="360"/>
      <c r="M19" s="360"/>
      <c r="V19" s="359"/>
      <c r="X19" s="359"/>
      <c r="AA19" s="357"/>
      <c r="AB19" s="357"/>
    </row>
    <row r="20" spans="1:28" s="356" customFormat="1" x14ac:dyDescent="0.25">
      <c r="A20" s="360"/>
      <c r="B20" s="360"/>
      <c r="C20" s="361"/>
      <c r="D20" s="361"/>
      <c r="E20" s="361"/>
      <c r="F20" s="360"/>
      <c r="G20" s="369">
        <f>+G18</f>
        <v>0.04</v>
      </c>
      <c r="H20" s="360"/>
      <c r="I20" s="363" t="s">
        <v>96</v>
      </c>
      <c r="J20" s="371"/>
      <c r="K20" s="363"/>
      <c r="L20" s="372">
        <f>SUMPRODUCT(L3:L17,K3:K17)</f>
        <v>0.1</v>
      </c>
      <c r="M20" s="360"/>
      <c r="V20" s="359"/>
      <c r="X20" s="359"/>
      <c r="AA20" s="357"/>
      <c r="AB20" s="357"/>
    </row>
    <row r="21" spans="10:15" x14ac:dyDescent="0.25">
      <c r="J21" s="373">
        <f>3.6%/4</f>
        <v>0.009000000000000001</v>
      </c>
      <c r="O21" s="356"/>
    </row>
    <row r="22" spans="3:28" x14ac:dyDescent="0.25">
      <c r="C22" s="374" t="s">
        <v>97</v>
      </c>
      <c r="D22" s="374"/>
      <c r="E22" s="374"/>
      <c r="F22" s="374"/>
      <c r="G22" s="374"/>
      <c r="H22" s="374"/>
      <c r="I22" s="374"/>
      <c r="J22" s="374"/>
      <c r="K22" s="374"/>
      <c r="L22" s="374"/>
      <c r="O22" s="374" t="s">
        <v>98</v>
      </c>
      <c r="P22" s="374"/>
      <c r="Q22" s="374"/>
      <c r="R22" s="374"/>
      <c r="S22" s="374"/>
      <c r="T22" s="374"/>
      <c r="U22" s="374"/>
      <c r="V22" s="374"/>
      <c r="W22" s="374"/>
      <c r="X22" s="374"/>
      <c r="Y22" s="374"/>
      <c r="AA22" s="374" t="s">
        <v>99</v>
      </c>
      <c r="AB22" s="357"/>
    </row>
    <row r="23" ht="36.75" customHeight="1" spans="3:30" x14ac:dyDescent="0.25">
      <c r="C23" s="375" t="s">
        <v>55</v>
      </c>
      <c r="D23" s="375" t="s">
        <v>100</v>
      </c>
      <c r="E23" s="375" t="s">
        <v>23</v>
      </c>
      <c r="F23" s="375" t="s">
        <v>101</v>
      </c>
      <c r="G23" s="375" t="s">
        <v>26</v>
      </c>
      <c r="H23" s="375" t="s">
        <v>102</v>
      </c>
      <c r="I23" s="375" t="s">
        <v>103</v>
      </c>
      <c r="J23" s="375" t="s">
        <v>104</v>
      </c>
      <c r="K23" s="375" t="s">
        <v>105</v>
      </c>
      <c r="L23" s="375" t="s">
        <v>106</v>
      </c>
      <c r="O23" s="375" t="s">
        <v>55</v>
      </c>
      <c r="P23" s="375" t="s">
        <v>100</v>
      </c>
      <c r="Q23" s="375" t="s">
        <v>23</v>
      </c>
      <c r="R23" s="375" t="s">
        <v>101</v>
      </c>
      <c r="S23" s="375" t="s">
        <v>26</v>
      </c>
      <c r="T23" s="375" t="s">
        <v>99</v>
      </c>
      <c r="U23" s="375" t="s">
        <v>102</v>
      </c>
      <c r="V23" s="376" t="s">
        <v>103</v>
      </c>
      <c r="W23" s="375" t="s">
        <v>104</v>
      </c>
      <c r="X23" s="376" t="s">
        <v>105</v>
      </c>
      <c r="Y23" s="375" t="s">
        <v>106</v>
      </c>
      <c r="AA23" s="375" t="s">
        <v>106</v>
      </c>
      <c r="AB23" s="377"/>
      <c r="AD23" s="375" t="s">
        <v>107</v>
      </c>
    </row>
    <row r="24" spans="2:34" x14ac:dyDescent="0.25">
      <c r="B24" s="356">
        <v>1</v>
      </c>
      <c r="C24" s="357">
        <v>0</v>
      </c>
      <c r="D24" s="357">
        <v>1</v>
      </c>
      <c r="E24" s="357">
        <f>G2</f>
        <v>29</v>
      </c>
      <c r="F24" s="356">
        <v>0</v>
      </c>
      <c r="G24" s="356">
        <f>G3</f>
        <v>10000</v>
      </c>
      <c r="H24" s="356">
        <f t="shared" ref="H24:H87" si="1">SUM(F24:G24)*$G$8</f>
        <v>79.74140428903765</v>
      </c>
      <c r="I24" s="356">
        <v>-500</v>
      </c>
      <c r="J24" s="356">
        <v>0</v>
      </c>
      <c r="K24" s="356">
        <f>-SUM(F24:J24)*0.1%</f>
        <v>-9.579741404289038</v>
      </c>
      <c r="L24" s="356">
        <f>SUM(F24:K24)</f>
        <v>9570.16166288475</v>
      </c>
      <c r="N24" s="356">
        <v>1</v>
      </c>
      <c r="O24" s="357">
        <v>0</v>
      </c>
      <c r="P24" s="357">
        <v>1</v>
      </c>
      <c r="Q24" s="357">
        <f>S9</f>
        <v>0</v>
      </c>
      <c r="R24" s="356">
        <v>0</v>
      </c>
      <c r="S24" s="356"/>
      <c r="T24" s="356">
        <f t="shared" ref="T24:T35" si="2">S24*$G$9</f>
        <v>0</v>
      </c>
      <c r="U24" s="356">
        <f>SUM(R24:T24)*$G$8</f>
        <v>0</v>
      </c>
      <c r="V24" s="359">
        <v>0</v>
      </c>
      <c r="X24" s="359">
        <f t="shared" ref="X24:X42" si="3">-SUM(R24:U24)*0.1%</f>
        <v>0</v>
      </c>
      <c r="Y24" s="356">
        <f>SUM(R24:X24)</f>
        <v>0</v>
      </c>
      <c r="AA24" s="357">
        <f>+Bono!J24</f>
        <v>10062.001159928206</v>
      </c>
      <c r="AC24" s="378">
        <f>+B24/12</f>
        <v>0.08333333333333333</v>
      </c>
      <c r="AD24" s="356">
        <f>+AA24+Y24+L24</f>
        <v>19632.162822812956</v>
      </c>
      <c r="AG24" s="379" t="s">
        <v>108</v>
      </c>
      <c r="AH24" s="380" t="s">
        <v>56</v>
      </c>
    </row>
    <row r="25" spans="2:38" x14ac:dyDescent="0.25">
      <c r="B25" s="356">
        <f t="shared" ref="B25:B88" si="4">+B24+1</f>
        <v>2</v>
      </c>
      <c r="C25" s="357">
        <v>0</v>
      </c>
      <c r="D25" s="357">
        <v>2</v>
      </c>
      <c r="E25" s="357">
        <f t="shared" ref="E25:E35" si="5">E24</f>
        <v>29</v>
      </c>
      <c r="F25" s="356">
        <f>L24</f>
        <v>9570.16166288475</v>
      </c>
      <c r="G25" s="356">
        <f>IF($G$4="mensual",$G$3,0)</f>
        <v>10000</v>
      </c>
      <c r="H25" s="356">
        <f t="shared" si="1"/>
        <v>156.0552173161918</v>
      </c>
      <c r="I25" s="356">
        <v>0</v>
      </c>
      <c r="J25" s="356">
        <v>0</v>
      </c>
      <c r="K25" s="356">
        <f t="shared" ref="K25:K88" si="6">-SUM(F25:J25)*0.1%</f>
        <v>-19.72621688020094</v>
      </c>
      <c r="L25" s="356">
        <f t="shared" ref="L25:L87" si="7">SUM(F25:K25)</f>
        <v>19706.49066332074</v>
      </c>
      <c r="N25" s="356">
        <f t="shared" ref="N25:N88" si="8">+N24+1</f>
        <v>2</v>
      </c>
      <c r="O25" s="357">
        <v>0</v>
      </c>
      <c r="P25" s="357">
        <v>2</v>
      </c>
      <c r="Q25" s="357">
        <f t="shared" ref="Q25:Q35" si="9">Q24</f>
        <v>0</v>
      </c>
      <c r="R25" s="356">
        <f t="shared" ref="R25:R88" si="10">Y24</f>
        <v>0</v>
      </c>
      <c r="S25" s="356"/>
      <c r="T25" s="356">
        <f t="shared" si="2"/>
        <v>0</v>
      </c>
      <c r="U25" s="356">
        <v>0</v>
      </c>
      <c r="V25" s="359">
        <v>0</v>
      </c>
      <c r="X25" s="359">
        <f t="shared" si="3"/>
        <v>0</v>
      </c>
      <c r="Y25" s="356">
        <f t="shared" ref="Y25:Y87" si="11">SUM(R25:X25)</f>
        <v>0</v>
      </c>
      <c r="AA25" s="357">
        <f>+Bono!J25</f>
        <v>20186.387894167863</v>
      </c>
      <c r="AC25" s="378">
        <f t="shared" ref="AC25:AC88" si="12">+B25/12</f>
        <v>0.16666666666666666</v>
      </c>
      <c r="AD25" s="356">
        <f t="shared" ref="AD25:AD88" si="13">+AA25+Y25+L25</f>
        <v>39892.8785574886</v>
      </c>
      <c r="AG25" s="356">
        <v>1</v>
      </c>
      <c r="AH25" s="356">
        <f>VLOOKUP(G4,$AK$25:$AL$28,2,0)*G3</f>
        <v>120000</v>
      </c>
      <c r="AK25" s="381" t="s">
        <v>9</v>
      </c>
      <c r="AL25" s="381">
        <v>12</v>
      </c>
    </row>
    <row r="26" spans="2:38" x14ac:dyDescent="0.25">
      <c r="B26" s="356">
        <f t="shared" si="4"/>
        <v>3</v>
      </c>
      <c r="C26" s="357">
        <v>0</v>
      </c>
      <c r="D26" s="357">
        <v>3</v>
      </c>
      <c r="E26" s="357">
        <f t="shared" si="5"/>
        <v>29</v>
      </c>
      <c r="F26" s="356">
        <f t="shared" ref="F26:F88" si="14">L25</f>
        <v>19706.49066332074</v>
      </c>
      <c r="G26" s="356">
        <f>IF($G$4="mensual",$G$3,0)</f>
        <v>10000</v>
      </c>
      <c r="H26" s="356">
        <f t="shared" si="1"/>
        <v>236.8837281992381</v>
      </c>
      <c r="I26" s="356">
        <v>0</v>
      </c>
      <c r="J26" s="360">
        <f>-SUM(F26:H26)*$J$21</f>
        <v>-269.4903695236798</v>
      </c>
      <c r="K26" s="356">
        <f t="shared" si="6"/>
        <v>-29.6738840219963</v>
      </c>
      <c r="L26" s="356">
        <f t="shared" si="7"/>
        <v>29644.210137974304</v>
      </c>
      <c r="N26" s="356">
        <f t="shared" si="8"/>
        <v>3</v>
      </c>
      <c r="O26" s="357">
        <v>0</v>
      </c>
      <c r="P26" s="357">
        <v>3</v>
      </c>
      <c r="Q26" s="357">
        <f t="shared" si="9"/>
        <v>0</v>
      </c>
      <c r="R26" s="356">
        <f t="shared" si="10"/>
        <v>0</v>
      </c>
      <c r="S26" s="356"/>
      <c r="T26" s="356">
        <f t="shared" si="2"/>
        <v>0</v>
      </c>
      <c r="U26" s="356">
        <v>0</v>
      </c>
      <c r="V26" s="359">
        <v>0</v>
      </c>
      <c r="X26" s="359">
        <f t="shared" si="3"/>
        <v>0</v>
      </c>
      <c r="Y26" s="356">
        <f t="shared" si="11"/>
        <v>0</v>
      </c>
      <c r="AA26" s="357">
        <f>+Bono!J26</f>
        <v>30099.911441952772</v>
      </c>
      <c r="AC26" s="378">
        <f t="shared" si="12"/>
        <v>0.25</v>
      </c>
      <c r="AD26" s="356">
        <f t="shared" si="13"/>
        <v>59744.12157992707</v>
      </c>
      <c r="AG26" s="356">
        <f>+AG25+1</f>
        <v>2</v>
      </c>
      <c r="AH26" s="356">
        <f>IF($G$17="Si",(1+$G$20)*AH25,AH25)</f>
        <v>120000</v>
      </c>
      <c r="AK26" s="381" t="s">
        <v>14</v>
      </c>
      <c r="AL26" s="381">
        <v>4</v>
      </c>
    </row>
    <row r="27" spans="2:38" x14ac:dyDescent="0.25">
      <c r="B27" s="356">
        <f t="shared" si="4"/>
        <v>4</v>
      </c>
      <c r="C27" s="357">
        <v>0</v>
      </c>
      <c r="D27" s="357">
        <v>4</v>
      </c>
      <c r="E27" s="357">
        <f t="shared" si="5"/>
        <v>29</v>
      </c>
      <c r="F27" s="356">
        <f t="shared" si="14"/>
        <v>29644.210137974304</v>
      </c>
      <c r="G27" s="356">
        <f>IF($G$4="mensual",$G$3,IF($G$4="trimestral",G3,0))</f>
        <v>10000</v>
      </c>
      <c r="H27" s="356">
        <f t="shared" si="1"/>
        <v>316.1284988331774</v>
      </c>
      <c r="I27" s="356">
        <v>0</v>
      </c>
      <c r="J27" s="356">
        <v>0</v>
      </c>
      <c r="K27" s="356">
        <f t="shared" si="6"/>
        <v>-39.96033863680748</v>
      </c>
      <c r="L27" s="356">
        <f t="shared" si="7"/>
        <v>39920.37829817067</v>
      </c>
      <c r="N27" s="356">
        <f t="shared" si="8"/>
        <v>4</v>
      </c>
      <c r="O27" s="357">
        <v>0</v>
      </c>
      <c r="P27" s="357">
        <v>4</v>
      </c>
      <c r="Q27" s="357">
        <f t="shared" si="9"/>
        <v>0</v>
      </c>
      <c r="R27" s="356">
        <f t="shared" si="10"/>
        <v>0</v>
      </c>
      <c r="S27" s="356"/>
      <c r="T27" s="356">
        <f t="shared" si="2"/>
        <v>0</v>
      </c>
      <c r="U27" s="356">
        <f>SUM(R27:T27)*$G$8</f>
        <v>0</v>
      </c>
      <c r="V27" s="359">
        <v>0</v>
      </c>
      <c r="X27" s="359">
        <f t="shared" si="3"/>
        <v>0</v>
      </c>
      <c r="Y27" s="356">
        <f t="shared" si="11"/>
        <v>0</v>
      </c>
      <c r="AA27" s="357">
        <f>+Bono!J27</f>
        <v>40348.53554419472</v>
      </c>
      <c r="AC27" s="378">
        <f t="shared" si="12"/>
        <v>0.3333333333333333</v>
      </c>
      <c r="AD27" s="356">
        <f t="shared" si="13"/>
        <v>80268.91384236538</v>
      </c>
      <c r="AG27" s="356">
        <f t="shared" ref="AG27:AG49" si="15">+AG26+1</f>
        <v>3</v>
      </c>
      <c r="AH27" s="356">
        <f t="shared" ref="AH27:AH49" si="16">IF($G$17="Si",(1+$G$20)*AH26,AH26)</f>
        <v>120000</v>
      </c>
      <c r="AK27" s="381" t="s">
        <v>18</v>
      </c>
      <c r="AL27" s="381">
        <v>2</v>
      </c>
    </row>
    <row r="28" spans="2:38" x14ac:dyDescent="0.25">
      <c r="B28" s="356">
        <f t="shared" si="4"/>
        <v>5</v>
      </c>
      <c r="C28" s="357">
        <v>0</v>
      </c>
      <c r="D28" s="357">
        <v>5</v>
      </c>
      <c r="E28" s="357">
        <f t="shared" si="5"/>
        <v>29</v>
      </c>
      <c r="F28" s="356">
        <f t="shared" si="14"/>
        <v>39920.37829817067</v>
      </c>
      <c r="G28" s="356">
        <f>IF($G$4="mensual",$G$3,0)</f>
        <v>10000</v>
      </c>
      <c r="H28" s="356">
        <f t="shared" si="1"/>
        <v>398.07210681361283</v>
      </c>
      <c r="I28" s="356">
        <v>0</v>
      </c>
      <c r="J28" s="356">
        <v>0</v>
      </c>
      <c r="K28" s="356">
        <f t="shared" si="6"/>
        <v>-50.31845040498428</v>
      </c>
      <c r="L28" s="356">
        <f t="shared" si="7"/>
        <v>50268.131954579294</v>
      </c>
      <c r="N28" s="356">
        <f t="shared" si="8"/>
        <v>5</v>
      </c>
      <c r="O28" s="357">
        <v>0</v>
      </c>
      <c r="P28" s="357">
        <v>5</v>
      </c>
      <c r="Q28" s="357">
        <f t="shared" si="9"/>
        <v>0</v>
      </c>
      <c r="R28" s="356">
        <f t="shared" si="10"/>
        <v>0</v>
      </c>
      <c r="S28" s="356"/>
      <c r="T28" s="356">
        <f t="shared" si="2"/>
        <v>0</v>
      </c>
      <c r="U28" s="356">
        <v>0</v>
      </c>
      <c r="V28" s="359">
        <v>0</v>
      </c>
      <c r="X28" s="359">
        <f t="shared" si="3"/>
        <v>0</v>
      </c>
      <c r="Y28" s="356">
        <f t="shared" si="11"/>
        <v>0</v>
      </c>
      <c r="AA28" s="357">
        <f>+Bono!J28</f>
        <v>50660.70230463738</v>
      </c>
      <c r="AC28" s="378">
        <f t="shared" si="12"/>
        <v>0.4166666666666667</v>
      </c>
      <c r="AD28" s="356">
        <f t="shared" si="13"/>
        <v>100928.83425921667</v>
      </c>
      <c r="AG28" s="356">
        <f t="shared" si="15"/>
        <v>4</v>
      </c>
      <c r="AH28" s="356">
        <f t="shared" si="16"/>
        <v>120000</v>
      </c>
      <c r="AK28" s="381" t="s">
        <v>21</v>
      </c>
      <c r="AL28" s="381">
        <v>1</v>
      </c>
    </row>
    <row r="29" spans="2:34" x14ac:dyDescent="0.25">
      <c r="B29" s="356">
        <f t="shared" si="4"/>
        <v>6</v>
      </c>
      <c r="C29" s="357">
        <v>0</v>
      </c>
      <c r="D29" s="357">
        <v>6</v>
      </c>
      <c r="E29" s="357">
        <f t="shared" si="5"/>
        <v>29</v>
      </c>
      <c r="F29" s="356">
        <f t="shared" si="14"/>
        <v>50268.131954579294</v>
      </c>
      <c r="G29" s="356">
        <f>IF($G$4="mensual",$G$3,0)</f>
        <v>10000</v>
      </c>
      <c r="H29" s="356">
        <f t="shared" si="1"/>
        <v>480.5865475935176</v>
      </c>
      <c r="I29" s="356">
        <v>0</v>
      </c>
      <c r="J29" s="360">
        <f>-SUM(F29:H29)*$J$21</f>
        <v>-546.7384665195553</v>
      </c>
      <c r="K29" s="356">
        <f t="shared" si="6"/>
        <v>-60.20198003565326</v>
      </c>
      <c r="L29" s="356">
        <f t="shared" si="7"/>
        <v>60141.77805561761</v>
      </c>
      <c r="N29" s="356">
        <f t="shared" si="8"/>
        <v>6</v>
      </c>
      <c r="O29" s="357">
        <v>0</v>
      </c>
      <c r="P29" s="357">
        <v>6</v>
      </c>
      <c r="Q29" s="357">
        <f t="shared" si="9"/>
        <v>0</v>
      </c>
      <c r="R29" s="356">
        <f t="shared" si="10"/>
        <v>0</v>
      </c>
      <c r="S29" s="356"/>
      <c r="T29" s="356">
        <f t="shared" si="2"/>
        <v>0</v>
      </c>
      <c r="U29" s="356">
        <v>0</v>
      </c>
      <c r="V29" s="359">
        <v>0</v>
      </c>
      <c r="X29" s="359">
        <f t="shared" si="3"/>
        <v>0</v>
      </c>
      <c r="Y29" s="356">
        <f t="shared" si="11"/>
        <v>0</v>
      </c>
      <c r="AA29" s="357">
        <f>+Bono!J29</f>
        <v>60486.924562743516</v>
      </c>
      <c r="AC29" s="378">
        <f t="shared" si="12"/>
        <v>0.5</v>
      </c>
      <c r="AD29" s="356">
        <f t="shared" si="13"/>
        <v>120628.70261836113</v>
      </c>
      <c r="AG29" s="356">
        <f t="shared" si="15"/>
        <v>5</v>
      </c>
      <c r="AH29" s="356">
        <f t="shared" si="16"/>
        <v>120000</v>
      </c>
    </row>
    <row r="30" spans="2:34" x14ac:dyDescent="0.25">
      <c r="B30" s="356">
        <f t="shared" si="4"/>
        <v>7</v>
      </c>
      <c r="C30" s="357">
        <v>0</v>
      </c>
      <c r="D30" s="357">
        <v>7</v>
      </c>
      <c r="E30" s="357">
        <f t="shared" si="5"/>
        <v>29</v>
      </c>
      <c r="F30" s="356">
        <f t="shared" si="14"/>
        <v>60141.77805561761</v>
      </c>
      <c r="G30" s="356">
        <f>IF($G$4="mensual",$G$3,IF($G$4="trimestral",$G$3,IF(G4="semestral",$G$3,0)))</f>
        <v>10000</v>
      </c>
      <c r="H30" s="356">
        <f t="shared" si="1"/>
        <v>559.3203881484953</v>
      </c>
      <c r="I30" s="356">
        <v>0</v>
      </c>
      <c r="J30" s="356">
        <v>0</v>
      </c>
      <c r="K30" s="356">
        <f t="shared" si="6"/>
        <v>-70.70109844376611</v>
      </c>
      <c r="L30" s="356">
        <f t="shared" si="7"/>
        <v>70630.39734532234</v>
      </c>
      <c r="N30" s="356">
        <f t="shared" si="8"/>
        <v>7</v>
      </c>
      <c r="O30" s="357">
        <v>0</v>
      </c>
      <c r="P30" s="357">
        <v>7</v>
      </c>
      <c r="Q30" s="357">
        <f t="shared" si="9"/>
        <v>0</v>
      </c>
      <c r="R30" s="356">
        <f t="shared" si="10"/>
        <v>0</v>
      </c>
      <c r="S30" s="356"/>
      <c r="T30" s="356">
        <f t="shared" si="2"/>
        <v>0</v>
      </c>
      <c r="U30" s="356">
        <f>SUM(R30:T30)*$G$8</f>
        <v>0</v>
      </c>
      <c r="V30" s="359">
        <v>0</v>
      </c>
      <c r="X30" s="359">
        <f t="shared" si="3"/>
        <v>0</v>
      </c>
      <c r="Y30" s="356">
        <f t="shared" si="11"/>
        <v>0</v>
      </c>
      <c r="AA30" s="357">
        <f>+Bono!J30</f>
        <v>70923.95167100971</v>
      </c>
      <c r="AC30" s="378">
        <f t="shared" si="12"/>
        <v>0.5833333333333334</v>
      </c>
      <c r="AD30" s="356">
        <f t="shared" si="13"/>
        <v>141554.34901633207</v>
      </c>
      <c r="AG30" s="356">
        <f t="shared" si="15"/>
        <v>6</v>
      </c>
      <c r="AH30" s="356">
        <f t="shared" si="16"/>
        <v>120000</v>
      </c>
    </row>
    <row r="31" spans="2:34" x14ac:dyDescent="0.25">
      <c r="B31" s="356">
        <f t="shared" si="4"/>
        <v>8</v>
      </c>
      <c r="C31" s="357">
        <v>0</v>
      </c>
      <c r="D31" s="357">
        <v>8</v>
      </c>
      <c r="E31" s="357">
        <f t="shared" si="5"/>
        <v>29</v>
      </c>
      <c r="F31" s="356">
        <f t="shared" si="14"/>
        <v>70630.39734532234</v>
      </c>
      <c r="G31" s="356">
        <f>IF($G$4="mensual",$G$3,0)</f>
        <v>10000</v>
      </c>
      <c r="H31" s="356">
        <f t="shared" si="1"/>
        <v>642.9581112699096</v>
      </c>
      <c r="I31" s="356">
        <v>0</v>
      </c>
      <c r="J31" s="356">
        <v>0</v>
      </c>
      <c r="K31" s="356">
        <f t="shared" si="6"/>
        <v>-81.27335545659226</v>
      </c>
      <c r="L31" s="356">
        <f t="shared" si="7"/>
        <v>81192.08210113566</v>
      </c>
      <c r="N31" s="356">
        <f t="shared" si="8"/>
        <v>8</v>
      </c>
      <c r="O31" s="357">
        <v>0</v>
      </c>
      <c r="P31" s="357">
        <v>8</v>
      </c>
      <c r="Q31" s="357">
        <f t="shared" si="9"/>
        <v>0</v>
      </c>
      <c r="R31" s="356">
        <f t="shared" si="10"/>
        <v>0</v>
      </c>
      <c r="S31" s="356"/>
      <c r="T31" s="356">
        <f t="shared" si="2"/>
        <v>0</v>
      </c>
      <c r="U31" s="356">
        <v>0</v>
      </c>
      <c r="V31" s="359">
        <v>0</v>
      </c>
      <c r="X31" s="359">
        <f t="shared" si="3"/>
        <v>0</v>
      </c>
      <c r="Y31" s="356">
        <f t="shared" si="11"/>
        <v>0</v>
      </c>
      <c r="AA31" s="357">
        <f>+Bono!J31</f>
        <v>81425.68955796737</v>
      </c>
      <c r="AC31" s="378">
        <f t="shared" si="12"/>
        <v>0.6666666666666666</v>
      </c>
      <c r="AD31" s="356">
        <f t="shared" si="13"/>
        <v>162617.77165910305</v>
      </c>
      <c r="AG31" s="356">
        <f t="shared" si="15"/>
        <v>7</v>
      </c>
      <c r="AH31" s="356">
        <f t="shared" si="16"/>
        <v>120000</v>
      </c>
    </row>
    <row r="32" spans="2:52" x14ac:dyDescent="0.25">
      <c r="B32" s="356">
        <f t="shared" si="4"/>
        <v>9</v>
      </c>
      <c r="C32" s="357">
        <v>0</v>
      </c>
      <c r="D32" s="357">
        <v>9</v>
      </c>
      <c r="E32" s="357">
        <f t="shared" si="5"/>
        <v>29</v>
      </c>
      <c r="F32" s="356">
        <f t="shared" si="14"/>
        <v>81192.08210113566</v>
      </c>
      <c r="G32" s="356">
        <f>IF($G$4="mensual",$G$3,0)</f>
        <v>10000</v>
      </c>
      <c r="H32" s="356">
        <f t="shared" si="1"/>
        <v>727.1784686785772</v>
      </c>
      <c r="I32" s="356">
        <v>0</v>
      </c>
      <c r="J32" s="360">
        <f>-SUM(F32:H32)*$J$21</f>
        <v>-827.2733451283283</v>
      </c>
      <c r="K32" s="356">
        <f t="shared" si="6"/>
        <v>-91.09198722468592</v>
      </c>
      <c r="L32" s="356">
        <f t="shared" si="7"/>
        <v>91000.89523746123</v>
      </c>
      <c r="N32" s="356">
        <f t="shared" si="8"/>
        <v>9</v>
      </c>
      <c r="O32" s="357">
        <v>0</v>
      </c>
      <c r="P32" s="357">
        <v>9</v>
      </c>
      <c r="Q32" s="357">
        <f t="shared" si="9"/>
        <v>0</v>
      </c>
      <c r="R32" s="356">
        <f t="shared" si="10"/>
        <v>0</v>
      </c>
      <c r="S32" s="356"/>
      <c r="T32" s="356">
        <f t="shared" si="2"/>
        <v>0</v>
      </c>
      <c r="U32" s="356">
        <v>0</v>
      </c>
      <c r="V32" s="359">
        <v>0</v>
      </c>
      <c r="X32" s="359">
        <f t="shared" si="3"/>
        <v>0</v>
      </c>
      <c r="Y32" s="356">
        <f t="shared" si="11"/>
        <v>0</v>
      </c>
      <c r="AA32" s="357">
        <f>+Bono!J32</f>
        <v>91163.77782139226</v>
      </c>
      <c r="AC32" s="378">
        <f t="shared" si="12"/>
        <v>0.75</v>
      </c>
      <c r="AD32" s="356">
        <f t="shared" si="13"/>
        <v>182164.67305885348</v>
      </c>
      <c r="AG32" s="356">
        <f t="shared" si="15"/>
        <v>8</v>
      </c>
      <c r="AH32" s="356">
        <f t="shared" si="16"/>
        <v>120000</v>
      </c>
      <c r="AK32" s="382" t="s">
        <v>109</v>
      </c>
      <c r="AL32" s="382"/>
      <c r="AM32" s="382"/>
      <c r="AN32" s="382"/>
      <c r="AO32" s="382"/>
      <c r="AP32" s="382"/>
      <c r="AQ32" s="382"/>
      <c r="AR32" s="382"/>
      <c r="AS32" s="382"/>
      <c r="AT32" s="382"/>
      <c r="AU32" s="382"/>
      <c r="AV32" s="382"/>
      <c r="AW32" s="382"/>
      <c r="AX32" s="382"/>
      <c r="AY32" s="382"/>
      <c r="AZ32" s="382"/>
    </row>
    <row r="33" spans="2:52" x14ac:dyDescent="0.25">
      <c r="B33" s="356">
        <f t="shared" si="4"/>
        <v>10</v>
      </c>
      <c r="C33" s="357">
        <v>0</v>
      </c>
      <c r="D33" s="357">
        <v>10</v>
      </c>
      <c r="E33" s="357">
        <f t="shared" si="5"/>
        <v>29</v>
      </c>
      <c r="F33" s="356">
        <f t="shared" si="14"/>
        <v>91000.89523746123</v>
      </c>
      <c r="G33" s="356">
        <f>IF($G$4="mensual",$G$3,IF($G$4="trimestral",$G$3,0))</f>
        <v>10000</v>
      </c>
      <c r="H33" s="356">
        <f t="shared" si="1"/>
        <v>805.3953220685132</v>
      </c>
      <c r="I33" s="356">
        <v>0</v>
      </c>
      <c r="J33" s="356">
        <v>0</v>
      </c>
      <c r="K33" s="356">
        <f t="shared" si="6"/>
        <v>-101.80629055952974</v>
      </c>
      <c r="L33" s="356">
        <f t="shared" si="7"/>
        <v>101704.4842689702</v>
      </c>
      <c r="N33" s="356">
        <f t="shared" si="8"/>
        <v>10</v>
      </c>
      <c r="O33" s="357">
        <v>0</v>
      </c>
      <c r="P33" s="357">
        <v>10</v>
      </c>
      <c r="Q33" s="357">
        <f t="shared" si="9"/>
        <v>0</v>
      </c>
      <c r="R33" s="356">
        <f t="shared" si="10"/>
        <v>0</v>
      </c>
      <c r="S33" s="356"/>
      <c r="T33" s="356">
        <f t="shared" si="2"/>
        <v>0</v>
      </c>
      <c r="U33" s="356">
        <f>SUM(R33:T33)*$G$8</f>
        <v>0</v>
      </c>
      <c r="V33" s="359">
        <v>0</v>
      </c>
      <c r="X33" s="359">
        <f t="shared" si="3"/>
        <v>0</v>
      </c>
      <c r="Y33" s="356">
        <f t="shared" si="11"/>
        <v>0</v>
      </c>
      <c r="AA33" s="357">
        <f>+Bono!J33</f>
        <v>101791.00497815681</v>
      </c>
      <c r="AC33" s="378">
        <f t="shared" si="12"/>
        <v>0.8333333333333334</v>
      </c>
      <c r="AD33" s="356">
        <f t="shared" si="13"/>
        <v>203495.48924712703</v>
      </c>
      <c r="AG33" s="356">
        <f t="shared" si="15"/>
        <v>9</v>
      </c>
      <c r="AH33" s="356">
        <f t="shared" si="16"/>
        <v>120000</v>
      </c>
      <c r="AK33" s="382"/>
      <c r="AL33" s="382"/>
      <c r="AM33" s="382"/>
      <c r="AN33" s="382"/>
      <c r="AO33" s="382"/>
      <c r="AP33" s="382"/>
      <c r="AQ33" s="382"/>
      <c r="AR33" s="382"/>
      <c r="AS33" s="382"/>
      <c r="AT33" s="382"/>
      <c r="AU33" s="382"/>
      <c r="AV33" s="382"/>
      <c r="AW33" s="382"/>
      <c r="AX33" s="382"/>
      <c r="AY33" s="382"/>
      <c r="AZ33" s="382"/>
    </row>
    <row r="34" spans="2:52" x14ac:dyDescent="0.25">
      <c r="B34" s="356">
        <f t="shared" si="4"/>
        <v>11</v>
      </c>
      <c r="C34" s="357">
        <v>0</v>
      </c>
      <c r="D34" s="357">
        <v>11</v>
      </c>
      <c r="E34" s="357">
        <f t="shared" si="5"/>
        <v>29</v>
      </c>
      <c r="F34" s="356">
        <f t="shared" si="14"/>
        <v>101704.4842689702</v>
      </c>
      <c r="G34" s="356">
        <f>IF($G$4="mensual",$G$3,0)</f>
        <v>10000</v>
      </c>
      <c r="H34" s="356">
        <f t="shared" si="1"/>
        <v>890.7472440990399</v>
      </c>
      <c r="I34" s="356">
        <v>0</v>
      </c>
      <c r="J34" s="356">
        <v>0</v>
      </c>
      <c r="K34" s="356">
        <f t="shared" si="6"/>
        <v>-112.59523151306925</v>
      </c>
      <c r="L34" s="356">
        <f t="shared" si="7"/>
        <v>112482.63628155617</v>
      </c>
      <c r="N34" s="356">
        <f t="shared" si="8"/>
        <v>11</v>
      </c>
      <c r="O34" s="357">
        <v>0</v>
      </c>
      <c r="P34" s="357">
        <v>11</v>
      </c>
      <c r="Q34" s="357">
        <f t="shared" si="9"/>
        <v>0</v>
      </c>
      <c r="R34" s="356">
        <f t="shared" si="10"/>
        <v>0</v>
      </c>
      <c r="S34" s="356"/>
      <c r="T34" s="356">
        <f t="shared" si="2"/>
        <v>0</v>
      </c>
      <c r="U34" s="356">
        <v>0</v>
      </c>
      <c r="V34" s="359">
        <v>0</v>
      </c>
      <c r="X34" s="359">
        <f t="shared" si="3"/>
        <v>0</v>
      </c>
      <c r="Y34" s="356">
        <f t="shared" si="11"/>
        <v>0</v>
      </c>
      <c r="AA34" s="357">
        <f>+Bono!J34</f>
        <v>112484.12217597537</v>
      </c>
      <c r="AC34" s="378">
        <f t="shared" si="12"/>
        <v>0.9166666666666666</v>
      </c>
      <c r="AD34" s="356">
        <f t="shared" si="13"/>
        <v>224966.75845753154</v>
      </c>
      <c r="AG34" s="356">
        <f t="shared" si="15"/>
        <v>10</v>
      </c>
      <c r="AH34" s="356">
        <f t="shared" si="16"/>
        <v>120000</v>
      </c>
      <c r="AK34" s="382"/>
      <c r="AL34" s="382"/>
      <c r="AM34" s="382"/>
      <c r="AN34" s="382"/>
      <c r="AO34" s="382"/>
      <c r="AP34" s="382"/>
      <c r="AQ34" s="382"/>
      <c r="AR34" s="382"/>
      <c r="AS34" s="382"/>
      <c r="AT34" s="382"/>
      <c r="AU34" s="382"/>
      <c r="AV34" s="382"/>
      <c r="AW34" s="382"/>
      <c r="AX34" s="382"/>
      <c r="AY34" s="382"/>
      <c r="AZ34" s="382"/>
    </row>
    <row r="35" spans="2:52" x14ac:dyDescent="0.25">
      <c r="B35" s="356">
        <f t="shared" si="4"/>
        <v>12</v>
      </c>
      <c r="C35" s="357">
        <v>0</v>
      </c>
      <c r="D35" s="357">
        <v>12</v>
      </c>
      <c r="E35" s="357">
        <f t="shared" si="5"/>
        <v>29</v>
      </c>
      <c r="F35" s="356">
        <f t="shared" si="14"/>
        <v>112482.63628155617</v>
      </c>
      <c r="G35" s="356">
        <f>IF($G$4="mensual",$G$3,0)</f>
        <v>10000</v>
      </c>
      <c r="H35" s="356">
        <f t="shared" si="1"/>
        <v>976.6937418114721</v>
      </c>
      <c r="I35" s="356">
        <v>0</v>
      </c>
      <c r="J35" s="360">
        <f>-SUM(F35:H35)*$J$21</f>
        <v>-1111.133970210309</v>
      </c>
      <c r="K35" s="356">
        <f t="shared" si="6"/>
        <v>-122.34819605315732</v>
      </c>
      <c r="L35" s="356">
        <f t="shared" si="7"/>
        <v>122225.84785710416</v>
      </c>
      <c r="N35" s="356">
        <f t="shared" si="8"/>
        <v>12</v>
      </c>
      <c r="O35" s="357">
        <v>0</v>
      </c>
      <c r="P35" s="357">
        <v>12</v>
      </c>
      <c r="Q35" s="357">
        <f t="shared" si="9"/>
        <v>0</v>
      </c>
      <c r="R35" s="356">
        <f t="shared" si="10"/>
        <v>0</v>
      </c>
      <c r="T35" s="356">
        <f t="shared" si="2"/>
        <v>0</v>
      </c>
      <c r="U35" s="356">
        <v>0</v>
      </c>
      <c r="V35" s="359">
        <v>0</v>
      </c>
      <c r="X35" s="359">
        <f t="shared" si="3"/>
        <v>0</v>
      </c>
      <c r="Y35" s="356">
        <f t="shared" si="11"/>
        <v>0</v>
      </c>
      <c r="AA35" s="357">
        <f>+Bono!J35</f>
        <v>122133.23579713491</v>
      </c>
      <c r="AC35" s="378">
        <f t="shared" si="12"/>
        <v>1</v>
      </c>
      <c r="AD35" s="356">
        <f t="shared" si="13"/>
        <v>244359.08365423908</v>
      </c>
      <c r="AG35" s="356">
        <f t="shared" si="15"/>
        <v>11</v>
      </c>
      <c r="AH35" s="356">
        <f t="shared" si="16"/>
        <v>120000</v>
      </c>
      <c r="AK35" s="382"/>
      <c r="AL35" s="382"/>
      <c r="AM35" s="382"/>
      <c r="AN35" s="382"/>
      <c r="AO35" s="382"/>
      <c r="AP35" s="382"/>
      <c r="AQ35" s="382"/>
      <c r="AR35" s="382"/>
      <c r="AS35" s="382"/>
      <c r="AT35" s="382"/>
      <c r="AU35" s="382"/>
      <c r="AV35" s="382"/>
      <c r="AW35" s="382"/>
      <c r="AX35" s="382"/>
      <c r="AY35" s="382"/>
      <c r="AZ35" s="382"/>
    </row>
    <row r="36" spans="2:52" x14ac:dyDescent="0.25">
      <c r="B36" s="356">
        <f t="shared" si="4"/>
        <v>13</v>
      </c>
      <c r="C36" s="357">
        <f t="shared" ref="C36:C99" si="17">C24+1</f>
        <v>1</v>
      </c>
      <c r="D36" s="357">
        <f t="shared" ref="D36:D99" si="18">D24</f>
        <v>1</v>
      </c>
      <c r="E36" s="357">
        <f t="shared" ref="E36:E99" si="19">E24+1</f>
        <v>30</v>
      </c>
      <c r="F36" s="356">
        <f>L35</f>
        <v>122225.84785710416</v>
      </c>
      <c r="G36" s="356">
        <f>IF(AND(G4="Anual",$G$17="si"),G24*(1+$G$20)/2,IF(AND(G4="Anual",G17="No"),G24/2,IF(G17="Si",G24*(1+$G$20),G24)))</f>
        <v>10000</v>
      </c>
      <c r="H36" s="356">
        <f t="shared" si="1"/>
        <v>1054.3874791434123</v>
      </c>
      <c r="I36" s="356">
        <v>0</v>
      </c>
      <c r="J36" s="356">
        <v>0</v>
      </c>
      <c r="K36" s="356">
        <f t="shared" si="6"/>
        <v>-133.28023533624759</v>
      </c>
      <c r="L36" s="356">
        <f t="shared" si="7"/>
        <v>133146.95510091132</v>
      </c>
      <c r="N36" s="356">
        <f t="shared" si="8"/>
        <v>13</v>
      </c>
      <c r="O36" s="357">
        <f t="shared" ref="O36:O99" si="20">O24+1</f>
        <v>1</v>
      </c>
      <c r="P36" s="357">
        <f t="shared" ref="P36:P99" si="21">P24</f>
        <v>1</v>
      </c>
      <c r="Q36" s="357">
        <f t="shared" ref="Q36:Q99" si="22">Q24+1</f>
        <v>1</v>
      </c>
      <c r="R36" s="356">
        <f t="shared" si="10"/>
        <v>0</v>
      </c>
      <c r="S36" s="356">
        <f>IF(G4="Anual",G36,0)</f>
        <v>0</v>
      </c>
      <c r="U36" s="356">
        <f t="shared" ref="U36:U99" si="23">SUM(R36:T36)*$G$8</f>
        <v>0</v>
      </c>
      <c r="V36" s="359">
        <v>0</v>
      </c>
      <c r="X36" s="359">
        <f t="shared" si="3"/>
        <v>0</v>
      </c>
      <c r="Y36" s="356">
        <f t="shared" si="11"/>
        <v>0</v>
      </c>
      <c r="AA36" s="357">
        <f>+Bono!J36</f>
        <v>122890.47602565565</v>
      </c>
      <c r="AC36" s="378">
        <f t="shared" si="12"/>
        <v>1.0833333333333333</v>
      </c>
      <c r="AD36" s="356">
        <f t="shared" si="13"/>
        <v>256037.43112656695</v>
      </c>
      <c r="AG36" s="356">
        <f t="shared" si="15"/>
        <v>12</v>
      </c>
      <c r="AH36" s="356">
        <f t="shared" si="16"/>
        <v>120000</v>
      </c>
      <c r="AK36" s="382"/>
      <c r="AL36" s="382"/>
      <c r="AM36" s="382"/>
      <c r="AN36" s="382"/>
      <c r="AO36" s="382"/>
      <c r="AP36" s="382"/>
      <c r="AQ36" s="382"/>
      <c r="AR36" s="382"/>
      <c r="AS36" s="382"/>
      <c r="AT36" s="382"/>
      <c r="AU36" s="382"/>
      <c r="AV36" s="382"/>
      <c r="AW36" s="382"/>
      <c r="AX36" s="382"/>
      <c r="AY36" s="382"/>
      <c r="AZ36" s="382"/>
    </row>
    <row r="37" spans="2:52" x14ac:dyDescent="0.25">
      <c r="B37" s="356">
        <f t="shared" si="4"/>
        <v>14</v>
      </c>
      <c r="C37" s="357">
        <f t="shared" si="17"/>
        <v>1</v>
      </c>
      <c r="D37" s="357">
        <f t="shared" si="18"/>
        <v>2</v>
      </c>
      <c r="E37" s="357">
        <f t="shared" si="19"/>
        <v>30</v>
      </c>
      <c r="F37" s="356">
        <f t="shared" si="14"/>
        <v>133146.95510091132</v>
      </c>
      <c r="G37" s="356">
        <f>+IF($G$4="mensual",G36,0)</f>
        <v>10000</v>
      </c>
      <c r="H37" s="356">
        <f t="shared" si="1"/>
        <v>1141.473921944649</v>
      </c>
      <c r="I37" s="356">
        <v>0</v>
      </c>
      <c r="J37" s="356">
        <v>0</v>
      </c>
      <c r="K37" s="356">
        <f t="shared" si="6"/>
        <v>-144.28842902285598</v>
      </c>
      <c r="L37" s="356">
        <f t="shared" si="7"/>
        <v>144144.14059383312</v>
      </c>
      <c r="N37" s="356">
        <f t="shared" si="8"/>
        <v>14</v>
      </c>
      <c r="O37" s="357">
        <f t="shared" si="20"/>
        <v>1</v>
      </c>
      <c r="P37" s="357">
        <f t="shared" si="21"/>
        <v>2</v>
      </c>
      <c r="Q37" s="357">
        <f t="shared" si="22"/>
        <v>1</v>
      </c>
      <c r="R37" s="356">
        <f t="shared" si="10"/>
        <v>0</v>
      </c>
      <c r="U37" s="356">
        <f t="shared" si="23"/>
        <v>0</v>
      </c>
      <c r="V37" s="359">
        <v>0</v>
      </c>
      <c r="X37" s="359">
        <f t="shared" si="3"/>
        <v>0</v>
      </c>
      <c r="Y37" s="356">
        <f t="shared" si="11"/>
        <v>0</v>
      </c>
      <c r="AA37" s="357">
        <f>+Bono!J37</f>
        <v>123652.41123142766</v>
      </c>
      <c r="AC37" s="378">
        <f t="shared" si="12"/>
        <v>1.1666666666666667</v>
      </c>
      <c r="AD37" s="356">
        <f t="shared" si="13"/>
        <v>267796.55182526074</v>
      </c>
      <c r="AG37" s="356">
        <f t="shared" si="15"/>
        <v>13</v>
      </c>
      <c r="AH37" s="356">
        <f t="shared" si="16"/>
        <v>120000</v>
      </c>
      <c r="AK37" s="382"/>
      <c r="AL37" s="382"/>
      <c r="AM37" s="382"/>
      <c r="AN37" s="382"/>
      <c r="AO37" s="382"/>
      <c r="AP37" s="382"/>
      <c r="AQ37" s="382"/>
      <c r="AR37" s="382"/>
      <c r="AS37" s="382"/>
      <c r="AT37" s="382"/>
      <c r="AU37" s="382"/>
      <c r="AV37" s="382"/>
      <c r="AW37" s="382"/>
      <c r="AX37" s="382"/>
      <c r="AY37" s="382"/>
      <c r="AZ37" s="382"/>
    </row>
    <row r="38" spans="2:52" x14ac:dyDescent="0.25">
      <c r="B38" s="356">
        <f t="shared" si="4"/>
        <v>15</v>
      </c>
      <c r="C38" s="357">
        <f t="shared" si="17"/>
        <v>1</v>
      </c>
      <c r="D38" s="357">
        <f t="shared" si="18"/>
        <v>3</v>
      </c>
      <c r="E38" s="357">
        <f t="shared" si="19"/>
        <v>30</v>
      </c>
      <c r="F38" s="356">
        <f t="shared" si="14"/>
        <v>144144.14059383312</v>
      </c>
      <c r="G38" s="356">
        <f>+G37</f>
        <v>10000</v>
      </c>
      <c r="H38" s="356">
        <f t="shared" si="1"/>
        <v>1229.1670233879106</v>
      </c>
      <c r="I38" s="356">
        <v>0</v>
      </c>
      <c r="J38" s="360">
        <f>-SUM(F38:H38)*$J$21</f>
        <v>-1398.3597685549894</v>
      </c>
      <c r="K38" s="356">
        <f t="shared" si="6"/>
        <v>-153.97494784866606</v>
      </c>
      <c r="L38" s="356">
        <f t="shared" si="7"/>
        <v>153820.97290081737</v>
      </c>
      <c r="N38" s="356">
        <f t="shared" si="8"/>
        <v>15</v>
      </c>
      <c r="O38" s="357">
        <f t="shared" si="20"/>
        <v>1</v>
      </c>
      <c r="P38" s="357">
        <f t="shared" si="21"/>
        <v>3</v>
      </c>
      <c r="Q38" s="357">
        <f t="shared" si="22"/>
        <v>1</v>
      </c>
      <c r="R38" s="356">
        <f t="shared" si="10"/>
        <v>0</v>
      </c>
      <c r="U38" s="356">
        <f t="shared" si="23"/>
        <v>0</v>
      </c>
      <c r="V38" s="359">
        <v>0</v>
      </c>
      <c r="X38" s="359">
        <f t="shared" si="3"/>
        <v>0</v>
      </c>
      <c r="Y38" s="356">
        <f t="shared" si="11"/>
        <v>0</v>
      </c>
      <c r="AA38" s="357">
        <f>+Bono!J38</f>
        <v>123298.17799661253</v>
      </c>
      <c r="AC38" s="378">
        <f t="shared" si="12"/>
        <v>1.25</v>
      </c>
      <c r="AD38" s="356">
        <f t="shared" si="13"/>
        <v>277119.1508974299</v>
      </c>
      <c r="AG38" s="356">
        <f t="shared" si="15"/>
        <v>14</v>
      </c>
      <c r="AH38" s="356">
        <f t="shared" si="16"/>
        <v>120000</v>
      </c>
      <c r="AK38" s="382"/>
      <c r="AL38" s="382"/>
      <c r="AM38" s="382"/>
      <c r="AN38" s="382"/>
      <c r="AO38" s="382"/>
      <c r="AP38" s="382"/>
      <c r="AQ38" s="382"/>
      <c r="AR38" s="382"/>
      <c r="AS38" s="382"/>
      <c r="AT38" s="382"/>
      <c r="AU38" s="382"/>
      <c r="AV38" s="382"/>
      <c r="AW38" s="382"/>
      <c r="AX38" s="382"/>
      <c r="AY38" s="382"/>
      <c r="AZ38" s="382"/>
    </row>
    <row r="39" spans="2:52" x14ac:dyDescent="0.25">
      <c r="B39" s="356">
        <f t="shared" si="4"/>
        <v>16</v>
      </c>
      <c r="C39" s="357">
        <f t="shared" si="17"/>
        <v>1</v>
      </c>
      <c r="D39" s="357">
        <f t="shared" si="18"/>
        <v>4</v>
      </c>
      <c r="E39" s="357">
        <f t="shared" si="19"/>
        <v>30</v>
      </c>
      <c r="F39" s="356">
        <f t="shared" si="14"/>
        <v>153820.97290081737</v>
      </c>
      <c r="G39" s="356">
        <f>IF($G$4="mensual",G36,IF($G$4="trimestral",G36,0))</f>
        <v>10000</v>
      </c>
      <c r="H39" s="356">
        <f t="shared" si="1"/>
        <v>1306.3314431107558</v>
      </c>
      <c r="I39" s="356">
        <v>0</v>
      </c>
      <c r="J39" s="356">
        <v>0</v>
      </c>
      <c r="K39" s="356">
        <f t="shared" si="6"/>
        <v>-165.12730434392813</v>
      </c>
      <c r="L39" s="356">
        <f t="shared" si="7"/>
        <v>164962.1770395842</v>
      </c>
      <c r="N39" s="356">
        <f t="shared" si="8"/>
        <v>16</v>
      </c>
      <c r="O39" s="357">
        <f t="shared" si="20"/>
        <v>1</v>
      </c>
      <c r="P39" s="357">
        <f t="shared" si="21"/>
        <v>4</v>
      </c>
      <c r="Q39" s="357">
        <f t="shared" si="22"/>
        <v>1</v>
      </c>
      <c r="R39" s="356">
        <f t="shared" si="10"/>
        <v>0</v>
      </c>
      <c r="U39" s="356">
        <f t="shared" si="23"/>
        <v>0</v>
      </c>
      <c r="V39" s="359">
        <v>0</v>
      </c>
      <c r="X39" s="359">
        <f t="shared" si="3"/>
        <v>0</v>
      </c>
      <c r="Y39" s="356">
        <f t="shared" si="11"/>
        <v>0</v>
      </c>
      <c r="AA39" s="357">
        <f>+Bono!J39</f>
        <v>124062.64100189497</v>
      </c>
      <c r="AC39" s="378">
        <f t="shared" si="12"/>
        <v>1.3333333333333333</v>
      </c>
      <c r="AD39" s="356">
        <f t="shared" si="13"/>
        <v>289024.81804147916</v>
      </c>
      <c r="AG39" s="356">
        <f t="shared" si="15"/>
        <v>15</v>
      </c>
      <c r="AH39" s="356">
        <f t="shared" si="16"/>
        <v>120000</v>
      </c>
      <c r="AK39" s="382"/>
      <c r="AL39" s="382"/>
      <c r="AM39" s="382"/>
      <c r="AN39" s="382"/>
      <c r="AO39" s="382"/>
      <c r="AP39" s="382"/>
      <c r="AQ39" s="382"/>
      <c r="AR39" s="382"/>
      <c r="AS39" s="382"/>
      <c r="AT39" s="382"/>
      <c r="AU39" s="382"/>
      <c r="AV39" s="382"/>
      <c r="AW39" s="382"/>
      <c r="AX39" s="382"/>
      <c r="AY39" s="382"/>
      <c r="AZ39" s="382"/>
    </row>
    <row r="40" spans="2:52" x14ac:dyDescent="0.25">
      <c r="B40" s="356">
        <f t="shared" si="4"/>
        <v>17</v>
      </c>
      <c r="C40" s="357">
        <f t="shared" si="17"/>
        <v>1</v>
      </c>
      <c r="D40" s="357">
        <f t="shared" si="18"/>
        <v>5</v>
      </c>
      <c r="E40" s="357">
        <f t="shared" si="19"/>
        <v>30</v>
      </c>
      <c r="F40" s="356">
        <f t="shared" si="14"/>
        <v>164962.1770395842</v>
      </c>
      <c r="G40" s="356">
        <f>+IF($G$4="mensual",G39,0)</f>
        <v>10000</v>
      </c>
      <c r="H40" s="356">
        <f t="shared" si="1"/>
        <v>1395.1729694603664</v>
      </c>
      <c r="I40" s="356">
        <v>0</v>
      </c>
      <c r="J40" s="356">
        <v>0</v>
      </c>
      <c r="K40" s="356">
        <f t="shared" si="6"/>
        <v>-176.35735000904458</v>
      </c>
      <c r="L40" s="356">
        <f t="shared" si="7"/>
        <v>176180.99265903552</v>
      </c>
      <c r="N40" s="356">
        <f t="shared" si="8"/>
        <v>17</v>
      </c>
      <c r="O40" s="357">
        <f t="shared" si="20"/>
        <v>1</v>
      </c>
      <c r="P40" s="357">
        <f t="shared" si="21"/>
        <v>5</v>
      </c>
      <c r="Q40" s="357">
        <f t="shared" si="22"/>
        <v>1</v>
      </c>
      <c r="R40" s="356">
        <f t="shared" si="10"/>
        <v>0</v>
      </c>
      <c r="U40" s="356">
        <f t="shared" si="23"/>
        <v>0</v>
      </c>
      <c r="V40" s="359">
        <v>0</v>
      </c>
      <c r="X40" s="359">
        <f t="shared" si="3"/>
        <v>0</v>
      </c>
      <c r="Y40" s="356">
        <f t="shared" si="11"/>
        <v>0</v>
      </c>
      <c r="AA40" s="357">
        <f>+Bono!J40</f>
        <v>124831.84376648239</v>
      </c>
      <c r="AC40" s="378">
        <f t="shared" si="12"/>
        <v>1.4166666666666667</v>
      </c>
      <c r="AD40" s="356">
        <f t="shared" si="13"/>
        <v>301012.8364255179</v>
      </c>
      <c r="AG40" s="356">
        <f t="shared" si="15"/>
        <v>16</v>
      </c>
      <c r="AH40" s="356">
        <f t="shared" si="16"/>
        <v>120000</v>
      </c>
      <c r="AK40" s="382"/>
      <c r="AL40" s="382"/>
      <c r="AM40" s="382"/>
      <c r="AN40" s="382"/>
      <c r="AO40" s="382"/>
      <c r="AP40" s="382"/>
      <c r="AQ40" s="382"/>
      <c r="AR40" s="382"/>
      <c r="AS40" s="382"/>
      <c r="AT40" s="382"/>
      <c r="AU40" s="382"/>
      <c r="AV40" s="382"/>
      <c r="AW40" s="382"/>
      <c r="AX40" s="382"/>
      <c r="AY40" s="382"/>
      <c r="AZ40" s="382"/>
    </row>
    <row r="41" spans="2:52" x14ac:dyDescent="0.25">
      <c r="B41" s="356">
        <f t="shared" si="4"/>
        <v>18</v>
      </c>
      <c r="C41" s="357">
        <f t="shared" si="17"/>
        <v>1</v>
      </c>
      <c r="D41" s="357">
        <f t="shared" si="18"/>
        <v>6</v>
      </c>
      <c r="E41" s="357">
        <f t="shared" si="19"/>
        <v>30</v>
      </c>
      <c r="F41" s="356">
        <f t="shared" si="14"/>
        <v>176180.99265903552</v>
      </c>
      <c r="G41" s="356">
        <f>+G40</f>
        <v>10000</v>
      </c>
      <c r="H41" s="356">
        <f t="shared" si="1"/>
        <v>1484.63338065585</v>
      </c>
      <c r="I41" s="356">
        <v>0</v>
      </c>
      <c r="J41" s="360">
        <f>-SUM(F41:H41)*$J$21</f>
        <v>-1688.9906343572225</v>
      </c>
      <c r="K41" s="356">
        <f t="shared" si="6"/>
        <v>-185.97663540533412</v>
      </c>
      <c r="L41" s="356">
        <f t="shared" si="7"/>
        <v>185790.6587699288</v>
      </c>
      <c r="N41" s="356">
        <f t="shared" si="8"/>
        <v>18</v>
      </c>
      <c r="O41" s="357">
        <f t="shared" si="20"/>
        <v>1</v>
      </c>
      <c r="P41" s="357">
        <f t="shared" si="21"/>
        <v>6</v>
      </c>
      <c r="Q41" s="357">
        <f t="shared" si="22"/>
        <v>1</v>
      </c>
      <c r="R41" s="356">
        <f t="shared" si="10"/>
        <v>0</v>
      </c>
      <c r="S41" s="356">
        <v>0</v>
      </c>
      <c r="U41" s="356">
        <f t="shared" si="23"/>
        <v>0</v>
      </c>
      <c r="V41" s="359">
        <v>0</v>
      </c>
      <c r="X41" s="359">
        <f t="shared" si="3"/>
        <v>0</v>
      </c>
      <c r="Y41" s="356">
        <f t="shared" si="11"/>
        <v>0</v>
      </c>
      <c r="AA41" s="357">
        <f>+Bono!J41</f>
        <v>124474.23175241033</v>
      </c>
      <c r="AC41" s="378">
        <f t="shared" si="12"/>
        <v>1.5</v>
      </c>
      <c r="AD41" s="356">
        <f t="shared" si="13"/>
        <v>310264.89052233915</v>
      </c>
      <c r="AG41" s="356">
        <f t="shared" si="15"/>
        <v>17</v>
      </c>
      <c r="AH41" s="356">
        <f t="shared" si="16"/>
        <v>120000</v>
      </c>
      <c r="AK41" s="382"/>
      <c r="AL41" s="382"/>
      <c r="AM41" s="382"/>
      <c r="AN41" s="382"/>
      <c r="AO41" s="382"/>
      <c r="AP41" s="382"/>
      <c r="AQ41" s="382"/>
      <c r="AR41" s="382"/>
      <c r="AS41" s="382"/>
      <c r="AT41" s="382"/>
      <c r="AU41" s="382"/>
      <c r="AV41" s="382"/>
      <c r="AW41" s="382"/>
      <c r="AX41" s="382"/>
      <c r="AY41" s="382"/>
      <c r="AZ41" s="382"/>
    </row>
    <row r="42" spans="2:53" x14ac:dyDescent="0.25">
      <c r="B42" s="356">
        <f t="shared" si="4"/>
        <v>19</v>
      </c>
      <c r="C42" s="357">
        <f t="shared" si="17"/>
        <v>1</v>
      </c>
      <c r="D42" s="357">
        <f t="shared" si="18"/>
        <v>7</v>
      </c>
      <c r="E42" s="357">
        <f t="shared" si="19"/>
        <v>30</v>
      </c>
      <c r="F42" s="356">
        <f t="shared" si="14"/>
        <v>185790.6587699288</v>
      </c>
      <c r="H42" s="356">
        <f t="shared" si="1"/>
        <v>1481.5208034099528</v>
      </c>
      <c r="I42" s="356">
        <v>0</v>
      </c>
      <c r="J42" s="356">
        <v>0</v>
      </c>
      <c r="K42" s="356">
        <f t="shared" si="6"/>
        <v>-187.27217957333875</v>
      </c>
      <c r="L42" s="356">
        <f t="shared" si="7"/>
        <v>187084.9073937654</v>
      </c>
      <c r="N42" s="356">
        <f t="shared" si="8"/>
        <v>19</v>
      </c>
      <c r="O42" s="357">
        <f t="shared" si="20"/>
        <v>1</v>
      </c>
      <c r="P42" s="357">
        <f t="shared" si="21"/>
        <v>7</v>
      </c>
      <c r="Q42" s="357">
        <f t="shared" si="22"/>
        <v>1</v>
      </c>
      <c r="R42" s="356">
        <f t="shared" si="10"/>
        <v>0</v>
      </c>
      <c r="S42" s="356">
        <f>+IF($G$4="mensual",G36,IF($G$4="trimestral",G36,IF(G4="semestral",G36,0)))</f>
        <v>10000</v>
      </c>
      <c r="U42" s="356">
        <f t="shared" si="23"/>
        <v>79.74140428903765</v>
      </c>
      <c r="V42" s="359">
        <f>-(15*G19*(1+$G$20))</f>
        <v>-79.248</v>
      </c>
      <c r="X42" s="359">
        <f t="shared" si="3"/>
        <v>-10.079741404289038</v>
      </c>
      <c r="Y42" s="356">
        <f>SUM(R42:X42)</f>
        <v>9990.41366288475</v>
      </c>
      <c r="AA42" s="357">
        <f>+Bono!J42</f>
        <v>125245.9864273925</v>
      </c>
      <c r="AC42" s="378">
        <f t="shared" si="12"/>
        <v>1.5833333333333333</v>
      </c>
      <c r="AD42" s="356">
        <f t="shared" si="13"/>
        <v>322321.30748404266</v>
      </c>
      <c r="AG42" s="356">
        <f t="shared" si="15"/>
        <v>18</v>
      </c>
      <c r="AH42" s="356">
        <f t="shared" si="16"/>
        <v>120000</v>
      </c>
      <c r="AK42" s="383" t="s">
        <v>110</v>
      </c>
      <c r="AL42" s="383"/>
      <c r="AM42" s="383"/>
      <c r="AN42" s="383"/>
      <c r="AO42" s="383"/>
      <c r="AP42" s="383"/>
      <c r="AQ42" s="383"/>
      <c r="AR42" s="383"/>
      <c r="AS42" s="383"/>
      <c r="AT42" s="383"/>
      <c r="AU42" s="383"/>
      <c r="AV42" s="383"/>
      <c r="AW42" s="383"/>
      <c r="AX42" s="383"/>
      <c r="AY42" s="383"/>
      <c r="AZ42" s="383"/>
      <c r="BA42" s="383"/>
    </row>
    <row r="43" spans="2:53" x14ac:dyDescent="0.25">
      <c r="B43" s="356">
        <f t="shared" si="4"/>
        <v>20</v>
      </c>
      <c r="C43" s="357">
        <f t="shared" si="17"/>
        <v>1</v>
      </c>
      <c r="D43" s="357">
        <f t="shared" si="18"/>
        <v>8</v>
      </c>
      <c r="E43" s="357">
        <f t="shared" si="19"/>
        <v>30</v>
      </c>
      <c r="F43" s="356">
        <f t="shared" si="14"/>
        <v>187084.9073937654</v>
      </c>
      <c r="H43" s="356">
        <f t="shared" si="1"/>
        <v>1491.8413236863414</v>
      </c>
      <c r="I43" s="356">
        <v>0</v>
      </c>
      <c r="J43" s="356">
        <v>0</v>
      </c>
      <c r="K43" s="356">
        <f t="shared" si="6"/>
        <v>-188.57674871745172</v>
      </c>
      <c r="L43" s="356">
        <f t="shared" si="7"/>
        <v>188388.17196873427</v>
      </c>
      <c r="N43" s="356">
        <f t="shared" si="8"/>
        <v>20</v>
      </c>
      <c r="O43" s="357">
        <f t="shared" si="20"/>
        <v>1</v>
      </c>
      <c r="P43" s="357">
        <f t="shared" si="21"/>
        <v>8</v>
      </c>
      <c r="Q43" s="357">
        <f t="shared" si="22"/>
        <v>1</v>
      </c>
      <c r="R43" s="356">
        <f t="shared" si="10"/>
        <v>9990.41366288475</v>
      </c>
      <c r="S43" s="356">
        <f>IF($G$4="mensual",G36,0)</f>
        <v>10000</v>
      </c>
      <c r="U43" s="356">
        <f t="shared" si="23"/>
        <v>159.40636577971947</v>
      </c>
      <c r="V43" s="359">
        <f>V42</f>
        <v>-79.248</v>
      </c>
      <c r="X43" s="359">
        <f t="shared" ref="X43:X106" si="24">-SUM(R43:U43)*0.1%</f>
        <v>-20.149820028664468</v>
      </c>
      <c r="Y43" s="356">
        <f>SUM(R43:X43)</f>
        <v>20050.422208635802</v>
      </c>
      <c r="AA43" s="357">
        <f>+Bono!J43</f>
        <v>126022.52607087757</v>
      </c>
      <c r="AC43" s="378">
        <f t="shared" si="12"/>
        <v>1.6666666666666667</v>
      </c>
      <c r="AD43" s="356">
        <f t="shared" si="13"/>
        <v>334461.12024824764</v>
      </c>
      <c r="AG43" s="356">
        <f t="shared" si="15"/>
        <v>19</v>
      </c>
      <c r="AH43" s="356">
        <f t="shared" si="16"/>
        <v>120000</v>
      </c>
      <c r="AK43" s="383"/>
      <c r="AL43" s="383"/>
      <c r="AM43" s="383"/>
      <c r="AN43" s="383"/>
      <c r="AO43" s="383"/>
      <c r="AP43" s="383"/>
      <c r="AQ43" s="383"/>
      <c r="AR43" s="383"/>
      <c r="AS43" s="383"/>
      <c r="AT43" s="383"/>
      <c r="AU43" s="383"/>
      <c r="AV43" s="383"/>
      <c r="AW43" s="383"/>
      <c r="AX43" s="383"/>
      <c r="AY43" s="383"/>
      <c r="AZ43" s="383"/>
      <c r="BA43" s="383"/>
    </row>
    <row r="44" spans="2:53" x14ac:dyDescent="0.25">
      <c r="B44" s="356">
        <f t="shared" si="4"/>
        <v>21</v>
      </c>
      <c r="C44" s="357">
        <f t="shared" si="17"/>
        <v>1</v>
      </c>
      <c r="D44" s="357">
        <f t="shared" si="18"/>
        <v>9</v>
      </c>
      <c r="E44" s="357">
        <f t="shared" si="19"/>
        <v>30</v>
      </c>
      <c r="F44" s="356">
        <f t="shared" si="14"/>
        <v>188388.17196873427</v>
      </c>
      <c r="H44" s="356">
        <f t="shared" si="1"/>
        <v>1502.233738423159</v>
      </c>
      <c r="I44" s="356">
        <v>0</v>
      </c>
      <c r="J44" s="360">
        <f>-SUM(F44:H44)*$J$21</f>
        <v>-1709.013651364417</v>
      </c>
      <c r="K44" s="356">
        <f t="shared" si="6"/>
        <v>-188.181392055793</v>
      </c>
      <c r="L44" s="356">
        <f t="shared" si="7"/>
        <v>187993.2106637372</v>
      </c>
      <c r="N44" s="356">
        <f t="shared" si="8"/>
        <v>21</v>
      </c>
      <c r="O44" s="357">
        <f t="shared" si="20"/>
        <v>1</v>
      </c>
      <c r="P44" s="357">
        <f t="shared" si="21"/>
        <v>9</v>
      </c>
      <c r="Q44" s="357">
        <f t="shared" si="22"/>
        <v>1</v>
      </c>
      <c r="R44" s="356">
        <f t="shared" si="10"/>
        <v>20050.422208635802</v>
      </c>
      <c r="S44" s="356">
        <f>IF($G$4="mensual",G36,0)</f>
        <v>10000</v>
      </c>
      <c r="U44" s="356">
        <f t="shared" si="23"/>
        <v>239.6262866395103</v>
      </c>
      <c r="V44" s="359">
        <f>V43</f>
        <v>-79.248</v>
      </c>
      <c r="X44" s="359">
        <f t="shared" si="24"/>
        <v>-30.290048495275315</v>
      </c>
      <c r="Y44" s="356">
        <f t="shared" si="11"/>
        <v>30180.510446780037</v>
      </c>
      <c r="AA44" s="357">
        <f>+Bono!J44</f>
        <v>125661.50304977279</v>
      </c>
      <c r="AC44" s="378">
        <f t="shared" si="12"/>
        <v>1.75</v>
      </c>
      <c r="AD44" s="356">
        <f t="shared" si="13"/>
        <v>343835.22416029003</v>
      </c>
      <c r="AG44" s="356">
        <f t="shared" si="15"/>
        <v>20</v>
      </c>
      <c r="AH44" s="356">
        <f t="shared" si="16"/>
        <v>120000</v>
      </c>
      <c r="AK44" s="383"/>
      <c r="AL44" s="383"/>
      <c r="AM44" s="383"/>
      <c r="AN44" s="383"/>
      <c r="AO44" s="383"/>
      <c r="AP44" s="383"/>
      <c r="AQ44" s="383"/>
      <c r="AR44" s="383"/>
      <c r="AS44" s="383"/>
      <c r="AT44" s="383"/>
      <c r="AU44" s="383"/>
      <c r="AV44" s="383"/>
      <c r="AW44" s="383"/>
      <c r="AX44" s="383"/>
      <c r="AY44" s="383"/>
      <c r="AZ44" s="383"/>
      <c r="BA44" s="383"/>
    </row>
    <row r="45" spans="2:53" x14ac:dyDescent="0.25">
      <c r="B45" s="356">
        <f t="shared" si="4"/>
        <v>22</v>
      </c>
      <c r="C45" s="357">
        <f t="shared" si="17"/>
        <v>1</v>
      </c>
      <c r="D45" s="357">
        <f t="shared" si="18"/>
        <v>10</v>
      </c>
      <c r="E45" s="357">
        <f t="shared" si="19"/>
        <v>30</v>
      </c>
      <c r="F45" s="356">
        <f t="shared" si="14"/>
        <v>187993.2106637372</v>
      </c>
      <c r="H45" s="356">
        <f t="shared" si="1"/>
        <v>1499.0842615131291</v>
      </c>
      <c r="I45" s="356">
        <v>0</v>
      </c>
      <c r="J45" s="356">
        <v>0</v>
      </c>
      <c r="K45" s="356">
        <f t="shared" si="6"/>
        <v>-189.49229492525035</v>
      </c>
      <c r="L45" s="356">
        <f t="shared" si="7"/>
        <v>189302.8026303251</v>
      </c>
      <c r="N45" s="356">
        <f t="shared" si="8"/>
        <v>22</v>
      </c>
      <c r="O45" s="357">
        <f t="shared" si="20"/>
        <v>1</v>
      </c>
      <c r="P45" s="357">
        <f t="shared" si="21"/>
        <v>10</v>
      </c>
      <c r="Q45" s="357">
        <f t="shared" si="22"/>
        <v>1</v>
      </c>
      <c r="R45" s="356">
        <f t="shared" si="10"/>
        <v>30180.510446780037</v>
      </c>
      <c r="S45" s="356">
        <f>IF($G$4="mensual",G36,IF($G$4="trimestral",G36,0))</f>
        <v>10000</v>
      </c>
      <c r="U45" s="356">
        <f t="shared" si="23"/>
        <v>320.40503280765876</v>
      </c>
      <c r="V45" s="359">
        <f>V44</f>
        <v>-79.248</v>
      </c>
      <c r="X45" s="359">
        <f t="shared" si="24"/>
        <v>-40.5009154795877</v>
      </c>
      <c r="Y45" s="356">
        <f t="shared" si="11"/>
        <v>40381.16656410811</v>
      </c>
      <c r="AA45" s="357">
        <f>+Bono!J45</f>
        <v>126440.61894451355</v>
      </c>
      <c r="AC45" s="378">
        <f t="shared" si="12"/>
        <v>1.8333333333333333</v>
      </c>
      <c r="AD45" s="356">
        <f t="shared" si="13"/>
        <v>356124.5881389468</v>
      </c>
      <c r="AG45" s="356">
        <f t="shared" si="15"/>
        <v>21</v>
      </c>
      <c r="AH45" s="356">
        <f t="shared" si="16"/>
        <v>120000</v>
      </c>
      <c r="AK45" s="383"/>
      <c r="AL45" s="383"/>
      <c r="AM45" s="383"/>
      <c r="AN45" s="383"/>
      <c r="AO45" s="383"/>
      <c r="AP45" s="383"/>
      <c r="AQ45" s="383"/>
      <c r="AR45" s="383"/>
      <c r="AS45" s="383"/>
      <c r="AT45" s="383"/>
      <c r="AU45" s="383"/>
      <c r="AV45" s="383"/>
      <c r="AW45" s="383"/>
      <c r="AX45" s="383"/>
      <c r="AY45" s="383"/>
      <c r="AZ45" s="383"/>
      <c r="BA45" s="383"/>
    </row>
    <row r="46" spans="2:53" x14ac:dyDescent="0.25">
      <c r="B46" s="356">
        <f t="shared" si="4"/>
        <v>23</v>
      </c>
      <c r="C46" s="357">
        <f t="shared" si="17"/>
        <v>1</v>
      </c>
      <c r="D46" s="357">
        <f t="shared" si="18"/>
        <v>11</v>
      </c>
      <c r="E46" s="357">
        <f t="shared" si="19"/>
        <v>30</v>
      </c>
      <c r="F46" s="356">
        <f t="shared" si="14"/>
        <v>189302.8026303251</v>
      </c>
      <c r="H46" s="356">
        <f t="shared" si="1"/>
        <v>1509.5271317592653</v>
      </c>
      <c r="I46" s="356">
        <v>0</v>
      </c>
      <c r="J46" s="356">
        <v>0</v>
      </c>
      <c r="K46" s="356">
        <f t="shared" si="6"/>
        <v>-190.81232976208437</v>
      </c>
      <c r="L46" s="356">
        <f t="shared" si="7"/>
        <v>190621.5174323223</v>
      </c>
      <c r="N46" s="356">
        <f t="shared" si="8"/>
        <v>23</v>
      </c>
      <c r="O46" s="357">
        <f t="shared" si="20"/>
        <v>1</v>
      </c>
      <c r="P46" s="357">
        <f t="shared" si="21"/>
        <v>11</v>
      </c>
      <c r="Q46" s="357">
        <f t="shared" si="22"/>
        <v>1</v>
      </c>
      <c r="R46" s="356">
        <f t="shared" si="10"/>
        <v>40381.16656410811</v>
      </c>
      <c r="S46" s="356">
        <f>IF($G$4="mensual",G36,0)</f>
        <v>10000</v>
      </c>
      <c r="U46" s="356">
        <f t="shared" si="23"/>
        <v>401.74649715418906</v>
      </c>
      <c r="V46" s="359">
        <f>V45</f>
        <v>-79.248</v>
      </c>
      <c r="X46" s="359">
        <f t="shared" si="24"/>
        <v>-50.782913061262306</v>
      </c>
      <c r="Y46" s="356">
        <f t="shared" si="11"/>
        <v>50652.882148201046</v>
      </c>
      <c r="AA46" s="357">
        <f>+Bono!J46</f>
        <v>127224.56544817357</v>
      </c>
      <c r="AC46" s="378">
        <f t="shared" si="12"/>
        <v>1.9166666666666667</v>
      </c>
      <c r="AD46" s="356">
        <f t="shared" si="13"/>
        <v>368498.9650286969</v>
      </c>
      <c r="AG46" s="356">
        <f t="shared" si="15"/>
        <v>22</v>
      </c>
      <c r="AH46" s="356">
        <f t="shared" si="16"/>
        <v>120000</v>
      </c>
      <c r="AK46" s="383"/>
      <c r="AL46" s="383"/>
      <c r="AM46" s="383"/>
      <c r="AN46" s="383"/>
      <c r="AO46" s="383"/>
      <c r="AP46" s="383"/>
      <c r="AQ46" s="383"/>
      <c r="AR46" s="383"/>
      <c r="AS46" s="383"/>
      <c r="AT46" s="383"/>
      <c r="AU46" s="383"/>
      <c r="AV46" s="383"/>
      <c r="AW46" s="383"/>
      <c r="AX46" s="383"/>
      <c r="AY46" s="383"/>
      <c r="AZ46" s="383"/>
      <c r="BA46" s="383"/>
    </row>
    <row r="47" spans="2:34" x14ac:dyDescent="0.25">
      <c r="B47" s="356">
        <f t="shared" si="4"/>
        <v>24</v>
      </c>
      <c r="C47" s="357">
        <f t="shared" si="17"/>
        <v>1</v>
      </c>
      <c r="D47" s="357">
        <f t="shared" si="18"/>
        <v>12</v>
      </c>
      <c r="E47" s="357">
        <f t="shared" si="19"/>
        <v>30</v>
      </c>
      <c r="F47" s="356">
        <f t="shared" si="14"/>
        <v>190621.5174323223</v>
      </c>
      <c r="H47" s="356">
        <f t="shared" si="1"/>
        <v>1520.0427487760649</v>
      </c>
      <c r="I47" s="356">
        <v>0</v>
      </c>
      <c r="J47" s="360">
        <f>-SUM(F47:H47)*$J$21</f>
        <v>-1729.2740416298855</v>
      </c>
      <c r="K47" s="356">
        <f t="shared" si="6"/>
        <v>-190.41228613946845</v>
      </c>
      <c r="L47" s="356">
        <f t="shared" si="7"/>
        <v>190221.873853329</v>
      </c>
      <c r="N47" s="356">
        <f t="shared" si="8"/>
        <v>24</v>
      </c>
      <c r="O47" s="357">
        <f t="shared" si="20"/>
        <v>1</v>
      </c>
      <c r="P47" s="357">
        <f t="shared" si="21"/>
        <v>12</v>
      </c>
      <c r="Q47" s="357">
        <f t="shared" si="22"/>
        <v>1</v>
      </c>
      <c r="R47" s="356">
        <f t="shared" si="10"/>
        <v>50652.882148201046</v>
      </c>
      <c r="S47" s="356">
        <f>IF($G$4="mensual",G36,0)</f>
        <v>10000</v>
      </c>
      <c r="U47" s="356">
        <f t="shared" si="23"/>
        <v>483.65459966750535</v>
      </c>
      <c r="V47" s="359">
        <f>V46</f>
        <v>-79.248</v>
      </c>
      <c r="X47" s="359">
        <f t="shared" si="24"/>
        <v>-61.136536747868554</v>
      </c>
      <c r="Y47" s="356">
        <f t="shared" si="11"/>
        <v>60996.15221112068</v>
      </c>
      <c r="AA47" s="357">
        <f>+Bono!J47</f>
        <v>126860.09888486241</v>
      </c>
      <c r="AC47" s="378">
        <f t="shared" si="12"/>
        <v>2</v>
      </c>
      <c r="AD47" s="356">
        <f t="shared" si="13"/>
        <v>378078.12494931207</v>
      </c>
      <c r="AG47" s="356">
        <f t="shared" si="15"/>
        <v>23</v>
      </c>
      <c r="AH47" s="356">
        <f t="shared" si="16"/>
        <v>120000</v>
      </c>
    </row>
    <row r="48" spans="2:34" x14ac:dyDescent="0.25">
      <c r="B48" s="356">
        <f t="shared" si="4"/>
        <v>25</v>
      </c>
      <c r="C48" s="357">
        <f t="shared" si="17"/>
        <v>2</v>
      </c>
      <c r="D48" s="357">
        <f t="shared" si="18"/>
        <v>1</v>
      </c>
      <c r="E48" s="357">
        <f t="shared" si="19"/>
        <v>31</v>
      </c>
      <c r="F48" s="356">
        <f t="shared" si="14"/>
        <v>190221.873853329</v>
      </c>
      <c r="H48" s="356">
        <f t="shared" si="1"/>
        <v>1516.8559347556625</v>
      </c>
      <c r="I48" s="356">
        <v>0</v>
      </c>
      <c r="J48" s="356">
        <v>0</v>
      </c>
      <c r="K48" s="356">
        <f t="shared" si="6"/>
        <v>-191.73872978808467</v>
      </c>
      <c r="L48" s="356">
        <f t="shared" si="7"/>
        <v>191546.99105829658</v>
      </c>
      <c r="N48" s="356">
        <f t="shared" si="8"/>
        <v>25</v>
      </c>
      <c r="O48" s="357">
        <f t="shared" si="20"/>
        <v>2</v>
      </c>
      <c r="P48" s="357">
        <f t="shared" si="21"/>
        <v>1</v>
      </c>
      <c r="Q48" s="357">
        <f t="shared" si="22"/>
        <v>2</v>
      </c>
      <c r="R48" s="356">
        <f t="shared" si="10"/>
        <v>60996.15221112068</v>
      </c>
      <c r="S48" s="356">
        <f>IF(AND($G$17="si",$G$4="Anual"),G36*(1+$G$20)*2,IF(AND($G$17="no",$G$4="Anual"),G36*2,IF($G$17="si",G36*(1+$G$20),G36)))</f>
        <v>10000</v>
      </c>
      <c r="U48" s="356">
        <f t="shared" si="23"/>
        <v>566.1332876433028</v>
      </c>
      <c r="V48" s="359">
        <f>(V47*(1+$G$18))</f>
        <v>-82.41792000000001</v>
      </c>
      <c r="X48" s="359">
        <f t="shared" si="24"/>
        <v>-71.56228549876397</v>
      </c>
      <c r="Y48" s="356">
        <f t="shared" si="11"/>
        <v>71408.3052932652</v>
      </c>
      <c r="AA48" s="357">
        <f>+Bono!J48</f>
        <v>127646.64621280924</v>
      </c>
      <c r="AC48" s="378">
        <f t="shared" si="12"/>
        <v>2.0833333333333335</v>
      </c>
      <c r="AD48" s="356">
        <f t="shared" si="13"/>
        <v>390601.94256437104</v>
      </c>
      <c r="AG48" s="356">
        <f t="shared" si="15"/>
        <v>24</v>
      </c>
      <c r="AH48" s="356">
        <f t="shared" si="16"/>
        <v>120000</v>
      </c>
    </row>
    <row r="49" spans="2:34" x14ac:dyDescent="0.25">
      <c r="B49" s="356">
        <f t="shared" si="4"/>
        <v>26</v>
      </c>
      <c r="C49" s="357">
        <f t="shared" si="17"/>
        <v>2</v>
      </c>
      <c r="D49" s="357">
        <f t="shared" si="18"/>
        <v>2</v>
      </c>
      <c r="E49" s="357">
        <f t="shared" si="19"/>
        <v>31</v>
      </c>
      <c r="F49" s="356">
        <f t="shared" si="14"/>
        <v>191546.99105829658</v>
      </c>
      <c r="H49" s="356">
        <f t="shared" si="1"/>
        <v>1527.4226054328306</v>
      </c>
      <c r="I49" s="356">
        <v>0</v>
      </c>
      <c r="J49" s="356">
        <v>0</v>
      </c>
      <c r="K49" s="356">
        <f t="shared" si="6"/>
        <v>-193.07441366372942</v>
      </c>
      <c r="L49" s="356">
        <f t="shared" si="7"/>
        <v>192881.33925006568</v>
      </c>
      <c r="N49" s="356">
        <f t="shared" si="8"/>
        <v>26</v>
      </c>
      <c r="O49" s="357">
        <f t="shared" si="20"/>
        <v>2</v>
      </c>
      <c r="P49" s="357">
        <f t="shared" si="21"/>
        <v>2</v>
      </c>
      <c r="Q49" s="357">
        <f t="shared" si="22"/>
        <v>2</v>
      </c>
      <c r="R49" s="356">
        <f t="shared" si="10"/>
        <v>71408.3052932652</v>
      </c>
      <c r="S49" s="356">
        <f>IF($G$4="mensual",S48,0)</f>
        <v>10000</v>
      </c>
      <c r="U49" s="356">
        <f t="shared" si="23"/>
        <v>649.1612584875664</v>
      </c>
      <c r="V49" s="359">
        <f t="shared" ref="V49:V112" si="25">V48</f>
        <v>-82.41792000000001</v>
      </c>
      <c r="X49" s="359">
        <f t="shared" si="24"/>
        <v>-82.05746655175278</v>
      </c>
      <c r="Y49" s="356">
        <f t="shared" si="11"/>
        <v>81892.99116520102</v>
      </c>
      <c r="AA49" s="357">
        <f>+Bono!J49</f>
        <v>128438.07022542319</v>
      </c>
      <c r="AC49" s="378">
        <f t="shared" si="12"/>
        <v>2.1666666666666665</v>
      </c>
      <c r="AD49" s="356">
        <f t="shared" si="13"/>
        <v>403212.4006406899</v>
      </c>
      <c r="AG49" s="356">
        <f t="shared" si="15"/>
        <v>25</v>
      </c>
      <c r="AH49" s="356">
        <f t="shared" si="16"/>
        <v>120000</v>
      </c>
    </row>
    <row r="50" spans="2:30" x14ac:dyDescent="0.25">
      <c r="B50" s="356">
        <f t="shared" si="4"/>
        <v>27</v>
      </c>
      <c r="C50" s="357">
        <f t="shared" si="17"/>
        <v>2</v>
      </c>
      <c r="D50" s="357">
        <f t="shared" si="18"/>
        <v>3</v>
      </c>
      <c r="E50" s="357">
        <f t="shared" si="19"/>
        <v>31</v>
      </c>
      <c r="F50" s="356">
        <f t="shared" si="14"/>
        <v>192881.33925006568</v>
      </c>
      <c r="H50" s="356">
        <f t="shared" si="1"/>
        <v>1538.0628852950513</v>
      </c>
      <c r="I50" s="356">
        <v>0</v>
      </c>
      <c r="J50" s="360">
        <f>-SUM(F50:H50)*$J$21</f>
        <v>-1749.7746192182467</v>
      </c>
      <c r="K50" s="356">
        <f t="shared" si="6"/>
        <v>-192.66962751614247</v>
      </c>
      <c r="L50" s="356">
        <f t="shared" si="7"/>
        <v>192476.95788862632</v>
      </c>
      <c r="N50" s="356">
        <f t="shared" si="8"/>
        <v>27</v>
      </c>
      <c r="O50" s="357">
        <f t="shared" si="20"/>
        <v>2</v>
      </c>
      <c r="P50" s="357">
        <f t="shared" si="21"/>
        <v>3</v>
      </c>
      <c r="Q50" s="357">
        <f t="shared" si="22"/>
        <v>2</v>
      </c>
      <c r="R50" s="356">
        <f t="shared" si="10"/>
        <v>81892.99116520102</v>
      </c>
      <c r="S50" s="356">
        <f>IF($G$4="mensual",S49,0)</f>
        <v>10000</v>
      </c>
      <c r="U50" s="356">
        <f t="shared" si="23"/>
        <v>732.7676159833259</v>
      </c>
      <c r="V50" s="359">
        <f t="shared" si="25"/>
        <v>-82.41792000000001</v>
      </c>
      <c r="X50" s="359">
        <f t="shared" si="24"/>
        <v>-92.62575878118435</v>
      </c>
      <c r="Y50" s="356">
        <f t="shared" si="11"/>
        <v>92450.71510240315</v>
      </c>
      <c r="AA50" s="357">
        <f>+Bono!J50</f>
        <v>128070.12727440211</v>
      </c>
      <c r="AC50" s="378">
        <f t="shared" si="12"/>
        <v>2.25</v>
      </c>
      <c r="AD50" s="356">
        <f t="shared" si="13"/>
        <v>412997.8002654316</v>
      </c>
    </row>
    <row r="51" spans="2:30" x14ac:dyDescent="0.25">
      <c r="B51" s="356">
        <f t="shared" si="4"/>
        <v>28</v>
      </c>
      <c r="C51" s="357">
        <f t="shared" si="17"/>
        <v>2</v>
      </c>
      <c r="D51" s="357">
        <f t="shared" si="18"/>
        <v>4</v>
      </c>
      <c r="E51" s="357">
        <f t="shared" si="19"/>
        <v>31</v>
      </c>
      <c r="F51" s="356">
        <f t="shared" si="14"/>
        <v>192476.95788862632</v>
      </c>
      <c r="H51" s="356">
        <f t="shared" si="1"/>
        <v>1534.8382915321024</v>
      </c>
      <c r="I51" s="356">
        <v>0</v>
      </c>
      <c r="J51" s="356">
        <v>0</v>
      </c>
      <c r="K51" s="356">
        <f t="shared" si="6"/>
        <v>-194.01179618015843</v>
      </c>
      <c r="L51" s="356">
        <f t="shared" si="7"/>
        <v>193817.78438397826</v>
      </c>
      <c r="N51" s="356">
        <f t="shared" si="8"/>
        <v>28</v>
      </c>
      <c r="O51" s="357">
        <f t="shared" si="20"/>
        <v>2</v>
      </c>
      <c r="P51" s="357">
        <f t="shared" si="21"/>
        <v>4</v>
      </c>
      <c r="Q51" s="357">
        <f t="shared" si="22"/>
        <v>2</v>
      </c>
      <c r="R51" s="356">
        <f t="shared" si="10"/>
        <v>92450.71510240315</v>
      </c>
      <c r="S51" s="356">
        <f>IF($G$4="mensual",S48,IF($G$4="trimestral",S48,0))</f>
        <v>10000</v>
      </c>
      <c r="U51" s="356">
        <f t="shared" si="23"/>
        <v>816.9563892681743</v>
      </c>
      <c r="V51" s="359">
        <f t="shared" si="25"/>
        <v>-82.41792000000001</v>
      </c>
      <c r="X51" s="359">
        <f t="shared" si="24"/>
        <v>-103.26767149167132</v>
      </c>
      <c r="Y51" s="356">
        <f t="shared" si="11"/>
        <v>103081.98590017964</v>
      </c>
      <c r="AA51" s="357">
        <f>+Bono!J51</f>
        <v>128864.1769187187</v>
      </c>
      <c r="AC51" s="378">
        <f t="shared" si="12"/>
        <v>2.3333333333333335</v>
      </c>
      <c r="AD51" s="356">
        <f t="shared" si="13"/>
        <v>425763.94720287656</v>
      </c>
    </row>
    <row r="52" spans="2:30" x14ac:dyDescent="0.25">
      <c r="B52" s="356">
        <f t="shared" si="4"/>
        <v>29</v>
      </c>
      <c r="C52" s="357">
        <f t="shared" si="17"/>
        <v>2</v>
      </c>
      <c r="D52" s="357">
        <f t="shared" si="18"/>
        <v>5</v>
      </c>
      <c r="E52" s="357">
        <f t="shared" si="19"/>
        <v>31</v>
      </c>
      <c r="F52" s="356">
        <f t="shared" si="14"/>
        <v>193817.78438397826</v>
      </c>
      <c r="H52" s="356">
        <f t="shared" si="1"/>
        <v>1545.5302302968337</v>
      </c>
      <c r="I52" s="356">
        <v>0</v>
      </c>
      <c r="J52" s="356">
        <v>0</v>
      </c>
      <c r="K52" s="356">
        <f t="shared" si="6"/>
        <v>-195.36331461427508</v>
      </c>
      <c r="L52" s="356">
        <f t="shared" si="7"/>
        <v>195167.9512996608</v>
      </c>
      <c r="N52" s="356">
        <f t="shared" si="8"/>
        <v>29</v>
      </c>
      <c r="O52" s="357">
        <f t="shared" si="20"/>
        <v>2</v>
      </c>
      <c r="P52" s="357">
        <f t="shared" si="21"/>
        <v>5</v>
      </c>
      <c r="Q52" s="357">
        <f t="shared" si="22"/>
        <v>2</v>
      </c>
      <c r="R52" s="356">
        <f t="shared" si="10"/>
        <v>103081.98590017964</v>
      </c>
      <c r="S52" s="356">
        <f>IF($G$4="mensual",S51,0)</f>
        <v>10000</v>
      </c>
      <c r="U52" s="356">
        <f t="shared" si="23"/>
        <v>901.7316355473479</v>
      </c>
      <c r="V52" s="359">
        <f t="shared" si="25"/>
        <v>-82.41792000000001</v>
      </c>
      <c r="X52" s="359">
        <f t="shared" si="24"/>
        <v>-113.983717535727</v>
      </c>
      <c r="Y52" s="356">
        <f t="shared" si="11"/>
        <v>113787.31589819126</v>
      </c>
      <c r="AA52" s="357">
        <f>+Bono!J52</f>
        <v>129663.14976293412</v>
      </c>
      <c r="AC52" s="378">
        <f t="shared" si="12"/>
        <v>2.4166666666666665</v>
      </c>
      <c r="AD52" s="356">
        <f t="shared" si="13"/>
        <v>438618.4169607862</v>
      </c>
    </row>
    <row r="53" spans="2:30" x14ac:dyDescent="0.25">
      <c r="B53" s="356">
        <f t="shared" si="4"/>
        <v>30</v>
      </c>
      <c r="C53" s="357">
        <f t="shared" si="17"/>
        <v>2</v>
      </c>
      <c r="D53" s="357">
        <f t="shared" si="18"/>
        <v>6</v>
      </c>
      <c r="E53" s="357">
        <f t="shared" si="19"/>
        <v>31</v>
      </c>
      <c r="F53" s="356">
        <f t="shared" si="14"/>
        <v>195167.9512996608</v>
      </c>
      <c r="H53" s="356">
        <f t="shared" si="1"/>
        <v>1556.2966508849463</v>
      </c>
      <c r="I53" s="356">
        <v>0</v>
      </c>
      <c r="J53" s="360">
        <f>-SUM(F53:H53)*$J$21</f>
        <v>-1770.5182315549118</v>
      </c>
      <c r="K53" s="356">
        <f t="shared" si="6"/>
        <v>-194.95372971899084</v>
      </c>
      <c r="L53" s="356">
        <f t="shared" si="7"/>
        <v>194758.77598927185</v>
      </c>
      <c r="N53" s="356">
        <f t="shared" si="8"/>
        <v>30</v>
      </c>
      <c r="O53" s="357">
        <f t="shared" si="20"/>
        <v>2</v>
      </c>
      <c r="P53" s="357">
        <f t="shared" si="21"/>
        <v>6</v>
      </c>
      <c r="Q53" s="357">
        <f t="shared" si="22"/>
        <v>2</v>
      </c>
      <c r="R53" s="356">
        <f t="shared" si="10"/>
        <v>113787.31589819126</v>
      </c>
      <c r="S53" s="356">
        <f>IF($G$4="mensual",S52,0)</f>
        <v>10000</v>
      </c>
      <c r="U53" s="356">
        <f t="shared" si="23"/>
        <v>987.0974402892485</v>
      </c>
      <c r="V53" s="359">
        <f t="shared" si="25"/>
        <v>-82.41792000000001</v>
      </c>
      <c r="X53" s="359">
        <f t="shared" si="24"/>
        <v>-124.7744133384805</v>
      </c>
      <c r="Y53" s="356">
        <f t="shared" si="11"/>
        <v>124567.22100514201</v>
      </c>
      <c r="AA53" s="357">
        <f>+Bono!J53</f>
        <v>129291.6972654096</v>
      </c>
      <c r="AC53" s="378">
        <f t="shared" si="12"/>
        <v>2.5</v>
      </c>
      <c r="AD53" s="356">
        <f t="shared" si="13"/>
        <v>448617.6942598234</v>
      </c>
    </row>
    <row r="54" spans="2:30" x14ac:dyDescent="0.25">
      <c r="B54" s="356">
        <f t="shared" si="4"/>
        <v>31</v>
      </c>
      <c r="C54" s="357">
        <f t="shared" si="17"/>
        <v>2</v>
      </c>
      <c r="D54" s="357">
        <f t="shared" si="18"/>
        <v>7</v>
      </c>
      <c r="E54" s="357">
        <f t="shared" si="19"/>
        <v>31</v>
      </c>
      <c r="F54" s="356">
        <f t="shared" si="14"/>
        <v>194758.77598927185</v>
      </c>
      <c r="H54" s="356">
        <f t="shared" si="1"/>
        <v>1553.0338294998644</v>
      </c>
      <c r="I54" s="356">
        <v>0</v>
      </c>
      <c r="J54" s="356">
        <v>0</v>
      </c>
      <c r="K54" s="356">
        <f t="shared" si="6"/>
        <v>-196.3118098187717</v>
      </c>
      <c r="L54" s="356">
        <f t="shared" si="7"/>
        <v>196115.4980089529</v>
      </c>
      <c r="N54" s="356">
        <f t="shared" si="8"/>
        <v>31</v>
      </c>
      <c r="O54" s="357">
        <f t="shared" si="20"/>
        <v>2</v>
      </c>
      <c r="P54" s="357">
        <f t="shared" si="21"/>
        <v>7</v>
      </c>
      <c r="Q54" s="357">
        <f t="shared" si="22"/>
        <v>2</v>
      </c>
      <c r="R54" s="356">
        <f t="shared" si="10"/>
        <v>124567.22100514201</v>
      </c>
      <c r="S54" s="356">
        <f>+IF($G$4="mensual",S48,IF($G$4="trimestral",S48,IF($G$4="Semestral",S48,0)))</f>
        <v>10000</v>
      </c>
      <c r="U54" s="356">
        <f t="shared" si="23"/>
        <v>1073.0579174223308</v>
      </c>
      <c r="V54" s="359">
        <f t="shared" si="25"/>
        <v>-82.41792000000001</v>
      </c>
      <c r="X54" s="359">
        <f t="shared" si="24"/>
        <v>-135.64027892256436</v>
      </c>
      <c r="Y54" s="356">
        <f t="shared" si="11"/>
        <v>135422.22072364177</v>
      </c>
      <c r="AA54" s="357">
        <f>+Bono!J54</f>
        <v>130093.32078536379</v>
      </c>
      <c r="AC54" s="378">
        <f t="shared" si="12"/>
        <v>2.5833333333333335</v>
      </c>
      <c r="AD54" s="356">
        <f t="shared" si="13"/>
        <v>461631.03951795853</v>
      </c>
    </row>
    <row r="55" spans="2:30" x14ac:dyDescent="0.25">
      <c r="B55" s="356">
        <f t="shared" si="4"/>
        <v>32</v>
      </c>
      <c r="C55" s="357">
        <f t="shared" si="17"/>
        <v>2</v>
      </c>
      <c r="D55" s="357">
        <f t="shared" si="18"/>
        <v>8</v>
      </c>
      <c r="E55" s="357">
        <f t="shared" si="19"/>
        <v>31</v>
      </c>
      <c r="F55" s="356">
        <f t="shared" si="14"/>
        <v>196115.4980089529</v>
      </c>
      <c r="H55" s="356">
        <f t="shared" si="1"/>
        <v>1563.8525214077872</v>
      </c>
      <c r="I55" s="356">
        <v>0</v>
      </c>
      <c r="J55" s="356">
        <v>0</v>
      </c>
      <c r="K55" s="356">
        <f t="shared" si="6"/>
        <v>-197.67935053036072</v>
      </c>
      <c r="L55" s="356">
        <f t="shared" si="7"/>
        <v>197481.67117983036</v>
      </c>
      <c r="N55" s="356">
        <f t="shared" si="8"/>
        <v>32</v>
      </c>
      <c r="O55" s="357">
        <f t="shared" si="20"/>
        <v>2</v>
      </c>
      <c r="P55" s="357">
        <f t="shared" si="21"/>
        <v>8</v>
      </c>
      <c r="Q55" s="357">
        <f t="shared" si="22"/>
        <v>2</v>
      </c>
      <c r="R55" s="356">
        <f t="shared" si="10"/>
        <v>135422.22072364177</v>
      </c>
      <c r="S55" s="356">
        <f>IF($G$4="mensual",S54,0)</f>
        <v>10000</v>
      </c>
      <c r="U55" s="356">
        <f t="shared" si="23"/>
        <v>1159.6172095333586</v>
      </c>
      <c r="V55" s="359">
        <f t="shared" si="25"/>
        <v>-82.41792000000001</v>
      </c>
      <c r="X55" s="359">
        <f t="shared" si="24"/>
        <v>-146.58183793317514</v>
      </c>
      <c r="Y55" s="356">
        <f t="shared" si="11"/>
        <v>146352.83817524195</v>
      </c>
      <c r="AA55" s="357">
        <f>+Bono!J55</f>
        <v>130899.91446412425</v>
      </c>
      <c r="AC55" s="378">
        <f t="shared" si="12"/>
        <v>2.6666666666666665</v>
      </c>
      <c r="AD55" s="356">
        <f t="shared" si="13"/>
        <v>474734.4238191965</v>
      </c>
    </row>
    <row r="56" spans="2:30" x14ac:dyDescent="0.25">
      <c r="B56" s="356">
        <f t="shared" si="4"/>
        <v>33</v>
      </c>
      <c r="C56" s="357">
        <f t="shared" si="17"/>
        <v>2</v>
      </c>
      <c r="D56" s="357">
        <f t="shared" si="18"/>
        <v>9</v>
      </c>
      <c r="E56" s="357">
        <f t="shared" si="19"/>
        <v>31</v>
      </c>
      <c r="F56" s="356">
        <f t="shared" si="14"/>
        <v>197481.67117983036</v>
      </c>
      <c r="H56" s="356">
        <f t="shared" si="1"/>
        <v>1574.7465781225646</v>
      </c>
      <c r="I56" s="356">
        <v>0</v>
      </c>
      <c r="J56" s="360">
        <f>-SUM(F56:H56)*$J$21</f>
        <v>-1791.5077598215767</v>
      </c>
      <c r="K56" s="356">
        <f t="shared" si="6"/>
        <v>-197.26490999813137</v>
      </c>
      <c r="L56" s="356">
        <f t="shared" si="7"/>
        <v>197067.64508813323</v>
      </c>
      <c r="N56" s="356">
        <f t="shared" si="8"/>
        <v>33</v>
      </c>
      <c r="O56" s="357">
        <f t="shared" si="20"/>
        <v>2</v>
      </c>
      <c r="P56" s="357">
        <f t="shared" si="21"/>
        <v>9</v>
      </c>
      <c r="Q56" s="357">
        <f t="shared" si="22"/>
        <v>2</v>
      </c>
      <c r="R56" s="356">
        <f t="shared" si="10"/>
        <v>146352.83817524195</v>
      </c>
      <c r="S56" s="356">
        <f>IF($G$4="mensual",S55,0)</f>
        <v>10000</v>
      </c>
      <c r="U56" s="356">
        <f t="shared" si="23"/>
        <v>1246.7794880670447</v>
      </c>
      <c r="V56" s="359">
        <f t="shared" si="25"/>
        <v>-82.41792000000001</v>
      </c>
      <c r="X56" s="359">
        <f t="shared" si="24"/>
        <v>-157.599617663309</v>
      </c>
      <c r="Y56" s="356">
        <f t="shared" si="11"/>
        <v>157359.6001256457</v>
      </c>
      <c r="AA56" s="357">
        <f>+Bono!J56</f>
        <v>130524.91894502462</v>
      </c>
      <c r="AC56" s="378">
        <f t="shared" si="12"/>
        <v>2.75</v>
      </c>
      <c r="AD56" s="356">
        <f t="shared" si="13"/>
        <v>484952.1641588035</v>
      </c>
    </row>
    <row r="57" spans="2:30" x14ac:dyDescent="0.25">
      <c r="B57" s="356">
        <f t="shared" si="4"/>
        <v>34</v>
      </c>
      <c r="C57" s="357">
        <f t="shared" si="17"/>
        <v>2</v>
      </c>
      <c r="D57" s="357">
        <f t="shared" si="18"/>
        <v>10</v>
      </c>
      <c r="E57" s="357">
        <f t="shared" si="19"/>
        <v>31</v>
      </c>
      <c r="F57" s="356">
        <f t="shared" si="14"/>
        <v>197067.64508813323</v>
      </c>
      <c r="H57" s="356">
        <f t="shared" si="1"/>
        <v>1571.4450759261415</v>
      </c>
      <c r="I57" s="356">
        <v>0</v>
      </c>
      <c r="J57" s="356">
        <v>0</v>
      </c>
      <c r="K57" s="356">
        <f t="shared" si="6"/>
        <v>-198.63909016405938</v>
      </c>
      <c r="L57" s="356">
        <f t="shared" si="7"/>
        <v>198440.4510738953</v>
      </c>
      <c r="N57" s="356">
        <f t="shared" si="8"/>
        <v>34</v>
      </c>
      <c r="O57" s="357">
        <f t="shared" si="20"/>
        <v>2</v>
      </c>
      <c r="P57" s="357">
        <f t="shared" si="21"/>
        <v>10</v>
      </c>
      <c r="Q57" s="357">
        <f t="shared" si="22"/>
        <v>2</v>
      </c>
      <c r="R57" s="356">
        <f t="shared" si="10"/>
        <v>157359.6001256457</v>
      </c>
      <c r="S57" s="356">
        <f>IF($G$4="mensual",S48,IF($G$4="trimestral",S48,0))</f>
        <v>10000</v>
      </c>
      <c r="U57" s="356">
        <f t="shared" si="23"/>
        <v>1334.5489535270788</v>
      </c>
      <c r="V57" s="359">
        <f t="shared" si="25"/>
        <v>-82.41792000000001</v>
      </c>
      <c r="X57" s="359">
        <f t="shared" si="24"/>
        <v>-168.69414907917277</v>
      </c>
      <c r="Y57" s="356">
        <f t="shared" si="11"/>
        <v>168443.0370100936</v>
      </c>
      <c r="AA57" s="357">
        <f>+Bono!J57</f>
        <v>131334.1885824373</v>
      </c>
      <c r="AC57" s="378">
        <f t="shared" si="12"/>
        <v>2.8333333333333335</v>
      </c>
      <c r="AD57" s="356">
        <f t="shared" si="13"/>
        <v>498217.67666642624</v>
      </c>
    </row>
    <row r="58" spans="2:30" x14ac:dyDescent="0.25">
      <c r="B58" s="356">
        <f t="shared" si="4"/>
        <v>35</v>
      </c>
      <c r="C58" s="357">
        <f t="shared" si="17"/>
        <v>2</v>
      </c>
      <c r="D58" s="357">
        <f t="shared" si="18"/>
        <v>11</v>
      </c>
      <c r="E58" s="357">
        <f t="shared" si="19"/>
        <v>31</v>
      </c>
      <c r="F58" s="356">
        <f t="shared" si="14"/>
        <v>198440.4510738953</v>
      </c>
      <c r="H58" s="356">
        <f t="shared" si="1"/>
        <v>1582.3920236382478</v>
      </c>
      <c r="I58" s="356">
        <v>0</v>
      </c>
      <c r="J58" s="356">
        <v>0</v>
      </c>
      <c r="K58" s="356">
        <f t="shared" si="6"/>
        <v>-200.02284309753355</v>
      </c>
      <c r="L58" s="356">
        <f t="shared" si="7"/>
        <v>199822.820254436</v>
      </c>
      <c r="N58" s="356">
        <f t="shared" si="8"/>
        <v>35</v>
      </c>
      <c r="O58" s="357">
        <f t="shared" si="20"/>
        <v>2</v>
      </c>
      <c r="P58" s="357">
        <f t="shared" si="21"/>
        <v>11</v>
      </c>
      <c r="Q58" s="357">
        <f t="shared" si="22"/>
        <v>2</v>
      </c>
      <c r="R58" s="356">
        <f t="shared" si="10"/>
        <v>168443.0370100936</v>
      </c>
      <c r="S58" s="356">
        <f>IF($G$4="mensual",S57,0)</f>
        <v>10000</v>
      </c>
      <c r="U58" s="356">
        <f t="shared" si="23"/>
        <v>1422.929835678558</v>
      </c>
      <c r="V58" s="359">
        <f t="shared" si="25"/>
        <v>-82.41792000000001</v>
      </c>
      <c r="X58" s="359">
        <f t="shared" si="24"/>
        <v>-179.86596684577214</v>
      </c>
      <c r="Y58" s="356">
        <f t="shared" si="11"/>
        <v>179603.68295892637</v>
      </c>
      <c r="AA58" s="357">
        <f>+Bono!J58</f>
        <v>132148.47578547135</v>
      </c>
      <c r="AC58" s="378">
        <f t="shared" si="12"/>
        <v>2.9166666666666665</v>
      </c>
      <c r="AD58" s="356">
        <f t="shared" si="13"/>
        <v>511574.9789988337</v>
      </c>
    </row>
    <row r="59" spans="2:30" x14ac:dyDescent="0.25">
      <c r="B59" s="356">
        <f t="shared" si="4"/>
        <v>36</v>
      </c>
      <c r="C59" s="357">
        <f t="shared" si="17"/>
        <v>2</v>
      </c>
      <c r="D59" s="357">
        <f t="shared" si="18"/>
        <v>12</v>
      </c>
      <c r="E59" s="357">
        <f t="shared" si="19"/>
        <v>31</v>
      </c>
      <c r="F59" s="356">
        <f t="shared" si="14"/>
        <v>199822.820254436</v>
      </c>
      <c r="H59" s="356">
        <f t="shared" si="1"/>
        <v>1593.415229608468</v>
      </c>
      <c r="I59" s="356">
        <v>0</v>
      </c>
      <c r="J59" s="360">
        <f>-SUM(F59:H59)*$J$21</f>
        <v>-1812.7461193564004</v>
      </c>
      <c r="K59" s="356">
        <f t="shared" si="6"/>
        <v>-199.60348936468807</v>
      </c>
      <c r="L59" s="356">
        <f t="shared" si="7"/>
        <v>199403.88587532338</v>
      </c>
      <c r="N59" s="356">
        <f t="shared" si="8"/>
        <v>36</v>
      </c>
      <c r="O59" s="357">
        <f t="shared" si="20"/>
        <v>2</v>
      </c>
      <c r="P59" s="357">
        <f t="shared" si="21"/>
        <v>12</v>
      </c>
      <c r="Q59" s="357">
        <f t="shared" si="22"/>
        <v>2</v>
      </c>
      <c r="R59" s="356">
        <f t="shared" si="10"/>
        <v>179603.68295892637</v>
      </c>
      <c r="S59" s="356">
        <f>IF($G$4="mensual",S58,0)</f>
        <v>10000</v>
      </c>
      <c r="U59" s="356">
        <f t="shared" si="23"/>
        <v>1511.9263937518265</v>
      </c>
      <c r="V59" s="359">
        <f t="shared" si="25"/>
        <v>-82.41792000000001</v>
      </c>
      <c r="X59" s="359">
        <f t="shared" si="24"/>
        <v>-191.1156093526782</v>
      </c>
      <c r="Y59" s="356">
        <f t="shared" si="11"/>
        <v>190842.07582332552</v>
      </c>
      <c r="AA59" s="357">
        <f>+Bono!J59</f>
        <v>131769.90345043</v>
      </c>
      <c r="AC59" s="378">
        <f t="shared" si="12"/>
        <v>3</v>
      </c>
      <c r="AD59" s="356">
        <f t="shared" si="13"/>
        <v>522015.8651490789</v>
      </c>
    </row>
    <row r="60" spans="2:30" x14ac:dyDescent="0.25">
      <c r="B60" s="356">
        <f t="shared" si="4"/>
        <v>37</v>
      </c>
      <c r="C60" s="357">
        <f t="shared" si="17"/>
        <v>3</v>
      </c>
      <c r="D60" s="357">
        <f t="shared" si="18"/>
        <v>1</v>
      </c>
      <c r="E60" s="357">
        <f t="shared" si="19"/>
        <v>32</v>
      </c>
      <c r="F60" s="356">
        <f t="shared" si="14"/>
        <v>199403.88587532338</v>
      </c>
      <c r="H60" s="356">
        <f t="shared" si="1"/>
        <v>1590.0745880389284</v>
      </c>
      <c r="I60" s="356">
        <v>0</v>
      </c>
      <c r="J60" s="356">
        <v>0</v>
      </c>
      <c r="K60" s="356">
        <f t="shared" si="6"/>
        <v>-200.99396046336233</v>
      </c>
      <c r="L60" s="356">
        <f t="shared" si="7"/>
        <v>200792.96650289895</v>
      </c>
      <c r="N60" s="356">
        <f t="shared" si="8"/>
        <v>37</v>
      </c>
      <c r="O60" s="357">
        <f t="shared" si="20"/>
        <v>3</v>
      </c>
      <c r="P60" s="357">
        <f t="shared" si="21"/>
        <v>1</v>
      </c>
      <c r="Q60" s="357">
        <f t="shared" si="22"/>
        <v>3</v>
      </c>
      <c r="R60" s="356">
        <f t="shared" si="10"/>
        <v>190842.07582332552</v>
      </c>
      <c r="S60" s="356">
        <f>IF($G$17="si",S48*(1+$G$20),S48)</f>
        <v>10000</v>
      </c>
      <c r="U60" s="356">
        <f t="shared" si="23"/>
        <v>1601.5429166477352</v>
      </c>
      <c r="V60" s="359">
        <f>(V59*(1+$G$18))</f>
        <v>-85.71463680000001</v>
      </c>
      <c r="X60" s="359">
        <f t="shared" si="24"/>
        <v>-202.44361873997326</v>
      </c>
      <c r="Y60" s="356">
        <f t="shared" si="11"/>
        <v>202155.46048443328</v>
      </c>
      <c r="AA60" s="357">
        <f>+Bono!J60</f>
        <v>132586.8921361854</v>
      </c>
      <c r="AC60" s="378">
        <f t="shared" si="12"/>
        <v>3.0833333333333335</v>
      </c>
      <c r="AD60" s="356">
        <f t="shared" si="13"/>
        <v>535535.3191235176</v>
      </c>
    </row>
    <row r="61" spans="2:30" x14ac:dyDescent="0.25">
      <c r="B61" s="356">
        <f t="shared" si="4"/>
        <v>38</v>
      </c>
      <c r="C61" s="357">
        <f t="shared" si="17"/>
        <v>3</v>
      </c>
      <c r="D61" s="357">
        <f t="shared" si="18"/>
        <v>2</v>
      </c>
      <c r="E61" s="357">
        <f t="shared" si="19"/>
        <v>32</v>
      </c>
      <c r="F61" s="356">
        <f t="shared" si="14"/>
        <v>200792.96650289895</v>
      </c>
      <c r="H61" s="356">
        <f t="shared" si="1"/>
        <v>1601.151312030286</v>
      </c>
      <c r="I61" s="356">
        <v>0</v>
      </c>
      <c r="J61" s="356">
        <v>0</v>
      </c>
      <c r="K61" s="356">
        <f t="shared" si="6"/>
        <v>-202.39411781492925</v>
      </c>
      <c r="L61" s="356">
        <f t="shared" si="7"/>
        <v>202191.72369711433</v>
      </c>
      <c r="N61" s="356">
        <f t="shared" si="8"/>
        <v>38</v>
      </c>
      <c r="O61" s="357">
        <f t="shared" si="20"/>
        <v>3</v>
      </c>
      <c r="P61" s="357">
        <f t="shared" si="21"/>
        <v>2</v>
      </c>
      <c r="Q61" s="357">
        <f t="shared" si="22"/>
        <v>3</v>
      </c>
      <c r="R61" s="356">
        <f t="shared" si="10"/>
        <v>202155.46048443328</v>
      </c>
      <c r="S61" s="356">
        <f>IF($G$4="mensual",S60,0)</f>
        <v>10000</v>
      </c>
      <c r="U61" s="356">
        <f t="shared" si="23"/>
        <v>1691.7574346616143</v>
      </c>
      <c r="V61" s="359">
        <f t="shared" si="25"/>
        <v>-85.71463680000001</v>
      </c>
      <c r="X61" s="359">
        <f t="shared" si="24"/>
        <v>-213.8472179190949</v>
      </c>
      <c r="Y61" s="356">
        <f t="shared" si="11"/>
        <v>213547.6560643758</v>
      </c>
      <c r="AA61" s="357">
        <f>+Bono!J61</f>
        <v>133408.94624655735</v>
      </c>
      <c r="AC61" s="378">
        <f t="shared" si="12"/>
        <v>3.1666666666666665</v>
      </c>
      <c r="AD61" s="356">
        <f t="shared" si="13"/>
        <v>549148.3260080474</v>
      </c>
    </row>
    <row r="62" spans="2:30" x14ac:dyDescent="0.25">
      <c r="B62" s="356">
        <f t="shared" si="4"/>
        <v>39</v>
      </c>
      <c r="C62" s="357">
        <f t="shared" si="17"/>
        <v>3</v>
      </c>
      <c r="D62" s="357">
        <f t="shared" si="18"/>
        <v>3</v>
      </c>
      <c r="E62" s="357">
        <f t="shared" si="19"/>
        <v>32</v>
      </c>
      <c r="F62" s="356">
        <f t="shared" si="14"/>
        <v>202191.72369711433</v>
      </c>
      <c r="H62" s="356">
        <f t="shared" si="1"/>
        <v>1612.3051983228986</v>
      </c>
      <c r="I62" s="356">
        <v>0</v>
      </c>
      <c r="J62" s="360">
        <f>-SUM(F62:H62)*$J$21</f>
        <v>-1834.2362600589352</v>
      </c>
      <c r="K62" s="356">
        <f t="shared" si="6"/>
        <v>-201.9697926353783</v>
      </c>
      <c r="L62" s="356">
        <f t="shared" si="7"/>
        <v>201767.8228427429</v>
      </c>
      <c r="N62" s="356">
        <f t="shared" si="8"/>
        <v>39</v>
      </c>
      <c r="O62" s="357">
        <f t="shared" si="20"/>
        <v>3</v>
      </c>
      <c r="P62" s="357">
        <f t="shared" si="21"/>
        <v>3</v>
      </c>
      <c r="Q62" s="357">
        <f t="shared" si="22"/>
        <v>3</v>
      </c>
      <c r="R62" s="356">
        <f t="shared" si="10"/>
        <v>213547.6560643758</v>
      </c>
      <c r="S62" s="356">
        <f>IF($G$4="mensual",S61,0)</f>
        <v>10000</v>
      </c>
      <c r="U62" s="356">
        <f t="shared" si="23"/>
        <v>1782.6004020096127</v>
      </c>
      <c r="V62" s="359">
        <f t="shared" si="25"/>
        <v>-85.71463680000001</v>
      </c>
      <c r="X62" s="359">
        <f t="shared" si="24"/>
        <v>-225.3302564663854</v>
      </c>
      <c r="Y62" s="356">
        <f t="shared" si="11"/>
        <v>225019.21157311904</v>
      </c>
      <c r="AA62" s="357">
        <f>+Bono!J62</f>
        <v>133026.76297886716</v>
      </c>
      <c r="AC62" s="378">
        <f t="shared" si="12"/>
        <v>3.25</v>
      </c>
      <c r="AD62" s="356">
        <f t="shared" si="13"/>
        <v>559813.7973947291</v>
      </c>
    </row>
    <row r="63" spans="2:30" x14ac:dyDescent="0.25">
      <c r="B63" s="356">
        <f t="shared" si="4"/>
        <v>40</v>
      </c>
      <c r="C63" s="357">
        <f t="shared" si="17"/>
        <v>3</v>
      </c>
      <c r="D63" s="357">
        <f t="shared" si="18"/>
        <v>4</v>
      </c>
      <c r="E63" s="357">
        <f t="shared" si="19"/>
        <v>32</v>
      </c>
      <c r="F63" s="356">
        <f t="shared" si="14"/>
        <v>201767.8228427429</v>
      </c>
      <c r="H63" s="356">
        <f t="shared" si="1"/>
        <v>1608.9249533822085</v>
      </c>
      <c r="I63" s="356">
        <v>0</v>
      </c>
      <c r="J63" s="356">
        <v>0</v>
      </c>
      <c r="K63" s="356">
        <f t="shared" si="6"/>
        <v>-203.3767477961251</v>
      </c>
      <c r="L63" s="356">
        <f t="shared" si="7"/>
        <v>203173.37104832896</v>
      </c>
      <c r="N63" s="356">
        <f t="shared" si="8"/>
        <v>40</v>
      </c>
      <c r="O63" s="357">
        <f t="shared" si="20"/>
        <v>3</v>
      </c>
      <c r="P63" s="357">
        <f t="shared" si="21"/>
        <v>4</v>
      </c>
      <c r="Q63" s="357">
        <f t="shared" si="22"/>
        <v>3</v>
      </c>
      <c r="R63" s="356">
        <f t="shared" si="10"/>
        <v>225019.21157311904</v>
      </c>
      <c r="S63" s="356">
        <f>IF($G$4="mensual",S60,IF($G$4="trimestral",S60,0))</f>
        <v>10000</v>
      </c>
      <c r="U63" s="356">
        <f t="shared" si="23"/>
        <v>1874.076196574296</v>
      </c>
      <c r="V63" s="359">
        <f t="shared" si="25"/>
        <v>-85.71463680000001</v>
      </c>
      <c r="X63" s="359">
        <f t="shared" si="24"/>
        <v>-236.89328776969333</v>
      </c>
      <c r="Y63" s="356">
        <f t="shared" si="11"/>
        <v>236570.67984512364</v>
      </c>
      <c r="AA63" s="357">
        <f>+Bono!J63</f>
        <v>133851.54433948558</v>
      </c>
      <c r="AC63" s="378">
        <f t="shared" si="12"/>
        <v>3.3333333333333335</v>
      </c>
      <c r="AD63" s="356">
        <f t="shared" si="13"/>
        <v>573595.5952329382</v>
      </c>
    </row>
    <row r="64" spans="2:30" x14ac:dyDescent="0.25">
      <c r="B64" s="356">
        <f t="shared" si="4"/>
        <v>41</v>
      </c>
      <c r="C64" s="357">
        <f t="shared" si="17"/>
        <v>3</v>
      </c>
      <c r="D64" s="357">
        <f t="shared" si="18"/>
        <v>5</v>
      </c>
      <c r="E64" s="357">
        <f t="shared" si="19"/>
        <v>32</v>
      </c>
      <c r="F64" s="356">
        <f t="shared" si="14"/>
        <v>203173.37104832896</v>
      </c>
      <c r="H64" s="356">
        <f t="shared" si="1"/>
        <v>1620.1329921531456</v>
      </c>
      <c r="I64" s="356">
        <v>0</v>
      </c>
      <c r="J64" s="356">
        <v>0</v>
      </c>
      <c r="K64" s="356">
        <f t="shared" si="6"/>
        <v>-204.7935040404821</v>
      </c>
      <c r="L64" s="356">
        <f t="shared" si="7"/>
        <v>204588.71053644162</v>
      </c>
      <c r="N64" s="356">
        <f t="shared" si="8"/>
        <v>41</v>
      </c>
      <c r="O64" s="357">
        <f t="shared" si="20"/>
        <v>3</v>
      </c>
      <c r="P64" s="357">
        <f t="shared" si="21"/>
        <v>5</v>
      </c>
      <c r="Q64" s="357">
        <f t="shared" si="22"/>
        <v>3</v>
      </c>
      <c r="R64" s="356">
        <f t="shared" si="10"/>
        <v>236570.67984512364</v>
      </c>
      <c r="S64" s="356">
        <f>IF($G$4="mensual",S63,0)</f>
        <v>10000</v>
      </c>
      <c r="U64" s="356">
        <f t="shared" si="23"/>
        <v>1966.1892267352869</v>
      </c>
      <c r="V64" s="359">
        <f t="shared" si="25"/>
        <v>-85.71463680000001</v>
      </c>
      <c r="X64" s="359">
        <f t="shared" si="24"/>
        <v>-248.53686907185894</v>
      </c>
      <c r="Y64" s="356">
        <f t="shared" si="11"/>
        <v>248202.61756598708</v>
      </c>
      <c r="AA64" s="357">
        <f>+Bono!J64</f>
        <v>134681.43944020855</v>
      </c>
      <c r="AC64" s="378">
        <f t="shared" si="12"/>
        <v>3.4166666666666665</v>
      </c>
      <c r="AD64" s="356">
        <f t="shared" si="13"/>
        <v>587472.7675426373</v>
      </c>
    </row>
    <row r="65" spans="2:30" x14ac:dyDescent="0.25">
      <c r="B65" s="356">
        <f t="shared" si="4"/>
        <v>42</v>
      </c>
      <c r="C65" s="357">
        <f t="shared" si="17"/>
        <v>3</v>
      </c>
      <c r="D65" s="357">
        <f t="shared" si="18"/>
        <v>6</v>
      </c>
      <c r="E65" s="357">
        <f t="shared" si="19"/>
        <v>32</v>
      </c>
      <c r="F65" s="356">
        <f t="shared" si="14"/>
        <v>204588.71053644162</v>
      </c>
      <c r="H65" s="356">
        <f t="shared" si="1"/>
        <v>1631.4191079859286</v>
      </c>
      <c r="I65" s="356">
        <v>0</v>
      </c>
      <c r="J65" s="360">
        <f>-SUM(F65:H65)*$J$21</f>
        <v>-1855.981166799848</v>
      </c>
      <c r="K65" s="356">
        <f t="shared" si="6"/>
        <v>-204.3641484776277</v>
      </c>
      <c r="L65" s="356">
        <f t="shared" si="7"/>
        <v>204159.78432915008</v>
      </c>
      <c r="N65" s="356">
        <f t="shared" si="8"/>
        <v>42</v>
      </c>
      <c r="O65" s="357">
        <f t="shared" si="20"/>
        <v>3</v>
      </c>
      <c r="P65" s="357">
        <f t="shared" si="21"/>
        <v>6</v>
      </c>
      <c r="Q65" s="357">
        <f t="shared" si="22"/>
        <v>3</v>
      </c>
      <c r="R65" s="356">
        <f t="shared" si="10"/>
        <v>248202.61756598708</v>
      </c>
      <c r="S65" s="356">
        <f>IF($G$4="mensual",S64,0)</f>
        <v>10000</v>
      </c>
      <c r="U65" s="356">
        <f t="shared" si="23"/>
        <v>2058.943931581715</v>
      </c>
      <c r="V65" s="359">
        <f t="shared" si="25"/>
        <v>-85.71463680000001</v>
      </c>
      <c r="X65" s="359">
        <f t="shared" si="24"/>
        <v>-260.2615614975688</v>
      </c>
      <c r="Y65" s="356">
        <f t="shared" si="11"/>
        <v>259915.58529927122</v>
      </c>
      <c r="AA65" s="357">
        <f>+Bono!J65</f>
        <v>134295.61079774745</v>
      </c>
      <c r="AC65" s="378">
        <f t="shared" si="12"/>
        <v>3.5</v>
      </c>
      <c r="AD65" s="356">
        <f t="shared" si="13"/>
        <v>598370.9804261688</v>
      </c>
    </row>
    <row r="66" spans="2:30" x14ac:dyDescent="0.25">
      <c r="B66" s="356">
        <f t="shared" si="4"/>
        <v>43</v>
      </c>
      <c r="C66" s="357">
        <f t="shared" si="17"/>
        <v>3</v>
      </c>
      <c r="D66" s="357">
        <f t="shared" si="18"/>
        <v>7</v>
      </c>
      <c r="E66" s="357">
        <f t="shared" si="19"/>
        <v>32</v>
      </c>
      <c r="F66" s="356">
        <f t="shared" si="14"/>
        <v>204159.78432915008</v>
      </c>
      <c r="H66" s="356">
        <f t="shared" si="1"/>
        <v>1627.9987901753489</v>
      </c>
      <c r="I66" s="356">
        <v>0</v>
      </c>
      <c r="J66" s="356">
        <v>0</v>
      </c>
      <c r="K66" s="356">
        <f t="shared" si="6"/>
        <v>-205.78778311932544</v>
      </c>
      <c r="L66" s="356">
        <f t="shared" si="7"/>
        <v>205581.9953362061</v>
      </c>
      <c r="N66" s="356">
        <f t="shared" si="8"/>
        <v>43</v>
      </c>
      <c r="O66" s="357">
        <f t="shared" si="20"/>
        <v>3</v>
      </c>
      <c r="P66" s="357">
        <f t="shared" si="21"/>
        <v>7</v>
      </c>
      <c r="Q66" s="357">
        <f t="shared" si="22"/>
        <v>3</v>
      </c>
      <c r="R66" s="356">
        <f t="shared" si="10"/>
        <v>259915.58529927122</v>
      </c>
      <c r="S66" s="356">
        <f>+IF($G$4="mensual",S60,IF($G$4="trimestral",S60,IF($G$4="semestral",S60,0)))</f>
        <v>10000</v>
      </c>
      <c r="U66" s="356">
        <f t="shared" si="23"/>
        <v>2152.3447811261412</v>
      </c>
      <c r="V66" s="359">
        <f t="shared" si="25"/>
        <v>-85.71463680000001</v>
      </c>
      <c r="X66" s="359">
        <f t="shared" si="24"/>
        <v>-272.06793008039733</v>
      </c>
      <c r="Y66" s="356">
        <f t="shared" si="11"/>
        <v>271710.14751351695</v>
      </c>
      <c r="AA66" s="357">
        <f>+Bono!J66</f>
        <v>135128.25916202017</v>
      </c>
      <c r="AC66" s="378">
        <f t="shared" si="12"/>
        <v>3.5833333333333335</v>
      </c>
      <c r="AD66" s="356">
        <f t="shared" si="13"/>
        <v>612420.4020117433</v>
      </c>
    </row>
    <row r="67" spans="2:30" x14ac:dyDescent="0.25">
      <c r="B67" s="356">
        <f t="shared" si="4"/>
        <v>44</v>
      </c>
      <c r="C67" s="357">
        <f t="shared" si="17"/>
        <v>3</v>
      </c>
      <c r="D67" s="357">
        <f t="shared" si="18"/>
        <v>8</v>
      </c>
      <c r="E67" s="357">
        <f t="shared" si="19"/>
        <v>32</v>
      </c>
      <c r="F67" s="356">
        <f t="shared" si="14"/>
        <v>205581.9953362061</v>
      </c>
      <c r="H67" s="356">
        <f t="shared" si="1"/>
        <v>1639.3397004651463</v>
      </c>
      <c r="I67" s="356">
        <v>0</v>
      </c>
      <c r="J67" s="356">
        <v>0</v>
      </c>
      <c r="K67" s="356">
        <f t="shared" si="6"/>
        <v>-207.22133503667126</v>
      </c>
      <c r="L67" s="356">
        <f t="shared" si="7"/>
        <v>207014.11370163457</v>
      </c>
      <c r="N67" s="356">
        <f t="shared" si="8"/>
        <v>44</v>
      </c>
      <c r="O67" s="357">
        <f t="shared" si="20"/>
        <v>3</v>
      </c>
      <c r="P67" s="357">
        <f t="shared" si="21"/>
        <v>8</v>
      </c>
      <c r="Q67" s="357">
        <f t="shared" si="22"/>
        <v>3</v>
      </c>
      <c r="R67" s="356">
        <f t="shared" si="10"/>
        <v>271710.14751351695</v>
      </c>
      <c r="S67" s="356">
        <f>IF($G$4="mensual",S66,0)</f>
        <v>10000</v>
      </c>
      <c r="U67" s="356">
        <f t="shared" si="23"/>
        <v>2246.3962765199785</v>
      </c>
      <c r="V67" s="359">
        <f t="shared" si="25"/>
        <v>-85.71463680000001</v>
      </c>
      <c r="X67" s="359">
        <f t="shared" si="24"/>
        <v>-283.95654379003696</v>
      </c>
      <c r="Y67" s="356">
        <f t="shared" si="11"/>
        <v>283586.8726094469</v>
      </c>
      <c r="AA67" s="357">
        <f>+Bono!J67</f>
        <v>135966.0700427326</v>
      </c>
      <c r="AC67" s="378">
        <f t="shared" si="12"/>
        <v>3.6666666666666665</v>
      </c>
      <c r="AD67" s="356">
        <f t="shared" si="13"/>
        <v>626567.0563538141</v>
      </c>
    </row>
    <row r="68" spans="2:30" x14ac:dyDescent="0.25">
      <c r="B68" s="356">
        <f t="shared" si="4"/>
        <v>45</v>
      </c>
      <c r="C68" s="357">
        <f t="shared" si="17"/>
        <v>3</v>
      </c>
      <c r="D68" s="357">
        <f t="shared" si="18"/>
        <v>9</v>
      </c>
      <c r="E68" s="357">
        <f t="shared" si="19"/>
        <v>32</v>
      </c>
      <c r="F68" s="356">
        <f t="shared" si="14"/>
        <v>207014.11370163457</v>
      </c>
      <c r="H68" s="356">
        <f t="shared" si="1"/>
        <v>1650.759613421885</v>
      </c>
      <c r="I68" s="356">
        <v>0</v>
      </c>
      <c r="J68" s="360">
        <f>-SUM(F68:H68)*$J$21</f>
        <v>-1877.9838598355084</v>
      </c>
      <c r="K68" s="356">
        <f t="shared" si="6"/>
        <v>-206.78688945522094</v>
      </c>
      <c r="L68" s="356">
        <f t="shared" si="7"/>
        <v>206580.10256576573</v>
      </c>
      <c r="N68" s="356">
        <f t="shared" si="8"/>
        <v>45</v>
      </c>
      <c r="O68" s="357">
        <f t="shared" si="20"/>
        <v>3</v>
      </c>
      <c r="P68" s="357">
        <f t="shared" si="21"/>
        <v>9</v>
      </c>
      <c r="Q68" s="357">
        <f t="shared" si="22"/>
        <v>3</v>
      </c>
      <c r="R68" s="356">
        <f t="shared" si="10"/>
        <v>283586.8726094469</v>
      </c>
      <c r="S68" s="356">
        <f>IF($G$4="mensual",S67,0)</f>
        <v>10000</v>
      </c>
      <c r="U68" s="356">
        <f t="shared" si="23"/>
        <v>2341.1029502704096</v>
      </c>
      <c r="V68" s="359">
        <f t="shared" si="25"/>
        <v>-85.71463680000001</v>
      </c>
      <c r="X68" s="359">
        <f t="shared" si="24"/>
        <v>-295.9279755597173</v>
      </c>
      <c r="Y68" s="356">
        <f t="shared" si="11"/>
        <v>295546.33294735756</v>
      </c>
      <c r="AA68" s="357">
        <f>+Bono!J68</f>
        <v>135576.56125485952</v>
      </c>
      <c r="AC68" s="378">
        <f t="shared" si="12"/>
        <v>3.75</v>
      </c>
      <c r="AD68" s="356">
        <f t="shared" si="13"/>
        <v>637702.9967679828</v>
      </c>
    </row>
    <row r="69" spans="2:30" x14ac:dyDescent="0.25">
      <c r="B69" s="356">
        <f t="shared" si="4"/>
        <v>46</v>
      </c>
      <c r="C69" s="357">
        <f t="shared" si="17"/>
        <v>3</v>
      </c>
      <c r="D69" s="357">
        <f t="shared" si="18"/>
        <v>10</v>
      </c>
      <c r="E69" s="357">
        <f t="shared" si="19"/>
        <v>32</v>
      </c>
      <c r="F69" s="356">
        <f t="shared" si="14"/>
        <v>206580.10256576573</v>
      </c>
      <c r="H69" s="356">
        <f t="shared" si="1"/>
        <v>1647.2987476767587</v>
      </c>
      <c r="I69" s="356">
        <v>0</v>
      </c>
      <c r="J69" s="356">
        <v>0</v>
      </c>
      <c r="K69" s="356">
        <f t="shared" si="6"/>
        <v>-208.22740131344247</v>
      </c>
      <c r="L69" s="356">
        <f t="shared" si="7"/>
        <v>208019.17391212904</v>
      </c>
      <c r="N69" s="356">
        <f t="shared" si="8"/>
        <v>46</v>
      </c>
      <c r="O69" s="357">
        <f t="shared" si="20"/>
        <v>3</v>
      </c>
      <c r="P69" s="357">
        <f t="shared" si="21"/>
        <v>10</v>
      </c>
      <c r="Q69" s="357">
        <f t="shared" si="22"/>
        <v>3</v>
      </c>
      <c r="R69" s="356">
        <f t="shared" si="10"/>
        <v>295546.33294735756</v>
      </c>
      <c r="S69" s="356">
        <f>IF($G$4="mensual",S60,IF($G$4="trimestral",S60,0))</f>
        <v>10000</v>
      </c>
      <c r="U69" s="356">
        <f t="shared" si="23"/>
        <v>2436.469366458814</v>
      </c>
      <c r="V69" s="359">
        <f t="shared" si="25"/>
        <v>-85.71463680000001</v>
      </c>
      <c r="X69" s="359">
        <f t="shared" si="24"/>
        <v>-307.98280231381636</v>
      </c>
      <c r="Y69" s="356">
        <f t="shared" si="11"/>
        <v>307589.1048747026</v>
      </c>
      <c r="AA69" s="357">
        <f>+Bono!J69</f>
        <v>136417.1516605474</v>
      </c>
      <c r="AC69" s="378">
        <f t="shared" si="12"/>
        <v>3.8333333333333335</v>
      </c>
      <c r="AD69" s="356">
        <f t="shared" si="13"/>
        <v>652025.430447379</v>
      </c>
    </row>
    <row r="70" spans="2:30" x14ac:dyDescent="0.25">
      <c r="B70" s="356">
        <f t="shared" si="4"/>
        <v>47</v>
      </c>
      <c r="C70" s="357">
        <f t="shared" si="17"/>
        <v>3</v>
      </c>
      <c r="D70" s="357">
        <f t="shared" si="18"/>
        <v>11</v>
      </c>
      <c r="E70" s="357">
        <f t="shared" si="19"/>
        <v>32</v>
      </c>
      <c r="F70" s="356">
        <f t="shared" si="14"/>
        <v>208019.17391212904</v>
      </c>
      <c r="H70" s="356">
        <f t="shared" si="1"/>
        <v>1658.7741046798715</v>
      </c>
      <c r="I70" s="356">
        <v>0</v>
      </c>
      <c r="J70" s="356">
        <v>0</v>
      </c>
      <c r="K70" s="356">
        <f t="shared" si="6"/>
        <v>-209.67794801680893</v>
      </c>
      <c r="L70" s="356">
        <f t="shared" si="7"/>
        <v>209468.2700687921</v>
      </c>
      <c r="N70" s="356">
        <f t="shared" si="8"/>
        <v>47</v>
      </c>
      <c r="O70" s="357">
        <f t="shared" si="20"/>
        <v>3</v>
      </c>
      <c r="P70" s="357">
        <f t="shared" si="21"/>
        <v>11</v>
      </c>
      <c r="Q70" s="357">
        <f t="shared" si="22"/>
        <v>3</v>
      </c>
      <c r="R70" s="356">
        <f t="shared" si="10"/>
        <v>307589.1048747026</v>
      </c>
      <c r="S70" s="356">
        <f>IF($G$17="si",S58*(1+$G$20),S58)</f>
        <v>10000</v>
      </c>
      <c r="U70" s="356">
        <f t="shared" si="23"/>
        <v>2532.5001209607235</v>
      </c>
      <c r="V70" s="359">
        <f t="shared" si="25"/>
        <v>-85.71463680000001</v>
      </c>
      <c r="X70" s="359">
        <f t="shared" si="24"/>
        <v>-320.1216049956633</v>
      </c>
      <c r="Y70" s="356">
        <f t="shared" si="11"/>
        <v>319715.7687538676</v>
      </c>
      <c r="AA70" s="357">
        <f>+Bono!J70</f>
        <v>137262.953824253</v>
      </c>
      <c r="AC70" s="378">
        <f t="shared" si="12"/>
        <v>3.9166666666666665</v>
      </c>
      <c r="AD70" s="356">
        <f t="shared" si="13"/>
        <v>666446.9926469127</v>
      </c>
    </row>
    <row r="71" spans="2:30" x14ac:dyDescent="0.25">
      <c r="B71" s="356">
        <f t="shared" si="4"/>
        <v>48</v>
      </c>
      <c r="C71" s="357">
        <f t="shared" si="17"/>
        <v>3</v>
      </c>
      <c r="D71" s="357">
        <f t="shared" si="18"/>
        <v>12</v>
      </c>
      <c r="E71" s="357">
        <f t="shared" si="19"/>
        <v>32</v>
      </c>
      <c r="F71" s="356">
        <f t="shared" si="14"/>
        <v>209468.2700687921</v>
      </c>
      <c r="H71" s="356">
        <f t="shared" si="1"/>
        <v>1670.3294009280874</v>
      </c>
      <c r="I71" s="356">
        <v>0</v>
      </c>
      <c r="J71" s="360">
        <f>-SUM(F71:H71)*$J$21</f>
        <v>-1900.2473952274818</v>
      </c>
      <c r="K71" s="356">
        <f t="shared" si="6"/>
        <v>-209.2383520744927</v>
      </c>
      <c r="L71" s="356">
        <f t="shared" si="7"/>
        <v>209029.1137224182</v>
      </c>
      <c r="N71" s="356">
        <f t="shared" si="8"/>
        <v>48</v>
      </c>
      <c r="O71" s="357">
        <f t="shared" si="20"/>
        <v>3</v>
      </c>
      <c r="P71" s="357">
        <f t="shared" si="21"/>
        <v>12</v>
      </c>
      <c r="Q71" s="357">
        <f t="shared" si="22"/>
        <v>3</v>
      </c>
      <c r="R71" s="356">
        <f t="shared" si="10"/>
        <v>319715.7687538676</v>
      </c>
      <c r="S71" s="356">
        <f>IF($G$4="mensual",S70,0)</f>
        <v>10000</v>
      </c>
      <c r="U71" s="356">
        <f t="shared" si="23"/>
        <v>2629.1998416673</v>
      </c>
      <c r="V71" s="359">
        <f t="shared" si="25"/>
        <v>-85.71463680000001</v>
      </c>
      <c r="X71" s="359">
        <f t="shared" si="24"/>
        <v>-332.3449685955349</v>
      </c>
      <c r="Y71" s="356">
        <f t="shared" si="11"/>
        <v>331926.9089901394</v>
      </c>
      <c r="AA71" s="357">
        <f>+Bono!J71</f>
        <v>136869.72978867442</v>
      </c>
      <c r="AC71" s="378">
        <f t="shared" si="12"/>
        <v>4</v>
      </c>
      <c r="AD71" s="356">
        <f t="shared" si="13"/>
        <v>677825.752501232</v>
      </c>
    </row>
    <row r="72" spans="2:30" x14ac:dyDescent="0.25">
      <c r="B72" s="356">
        <f t="shared" si="4"/>
        <v>49</v>
      </c>
      <c r="C72" s="357">
        <f t="shared" si="17"/>
        <v>4</v>
      </c>
      <c r="D72" s="357">
        <f t="shared" si="18"/>
        <v>1</v>
      </c>
      <c r="E72" s="357">
        <f t="shared" si="19"/>
        <v>33</v>
      </c>
      <c r="F72" s="356">
        <f t="shared" si="14"/>
        <v>209029.1137224182</v>
      </c>
      <c r="H72" s="356">
        <f t="shared" si="1"/>
        <v>1666.8275065518576</v>
      </c>
      <c r="I72" s="356">
        <v>0</v>
      </c>
      <c r="J72" s="356">
        <v>0</v>
      </c>
      <c r="K72" s="356">
        <f t="shared" si="6"/>
        <v>-210.69594122897007</v>
      </c>
      <c r="L72" s="356">
        <f t="shared" si="7"/>
        <v>210485.2452877411</v>
      </c>
      <c r="N72" s="356">
        <f t="shared" si="8"/>
        <v>49</v>
      </c>
      <c r="O72" s="357">
        <f t="shared" si="20"/>
        <v>4</v>
      </c>
      <c r="P72" s="357">
        <f t="shared" si="21"/>
        <v>1</v>
      </c>
      <c r="Q72" s="357">
        <f t="shared" si="22"/>
        <v>4</v>
      </c>
      <c r="R72" s="356">
        <f t="shared" si="10"/>
        <v>331926.9089901394</v>
      </c>
      <c r="S72" s="356">
        <f>IF($G$17="si",S60*(1+$G$20),S60)</f>
        <v>10000</v>
      </c>
      <c r="U72" s="356">
        <f t="shared" si="23"/>
        <v>2726.5731887083684</v>
      </c>
      <c r="V72" s="359">
        <f>(V71*(1+$G$18))</f>
        <v>-89.14322227200002</v>
      </c>
      <c r="X72" s="359">
        <f t="shared" si="24"/>
        <v>-344.65348217884775</v>
      </c>
      <c r="Y72" s="356">
        <f t="shared" si="11"/>
        <v>344219.6854743969</v>
      </c>
      <c r="AA72" s="357">
        <f>+Bono!J72</f>
        <v>137718.3379892702</v>
      </c>
      <c r="AC72" s="378">
        <f t="shared" si="12"/>
        <v>4.083333333333333</v>
      </c>
      <c r="AD72" s="356">
        <f t="shared" si="13"/>
        <v>692423.2687514082</v>
      </c>
    </row>
    <row r="73" spans="2:30" x14ac:dyDescent="0.25">
      <c r="B73" s="356">
        <f t="shared" si="4"/>
        <v>50</v>
      </c>
      <c r="C73" s="357">
        <f t="shared" si="17"/>
        <v>4</v>
      </c>
      <c r="D73" s="357">
        <f t="shared" si="18"/>
        <v>2</v>
      </c>
      <c r="E73" s="357">
        <f t="shared" si="19"/>
        <v>33</v>
      </c>
      <c r="F73" s="356">
        <f t="shared" si="14"/>
        <v>210485.2452877411</v>
      </c>
      <c r="H73" s="356">
        <f t="shared" si="1"/>
        <v>1678.438904136702</v>
      </c>
      <c r="I73" s="356">
        <v>0</v>
      </c>
      <c r="J73" s="356">
        <v>0</v>
      </c>
      <c r="K73" s="356">
        <f t="shared" si="6"/>
        <v>-212.16368419187782</v>
      </c>
      <c r="L73" s="356">
        <f t="shared" si="7"/>
        <v>211951.52050768593</v>
      </c>
      <c r="N73" s="356">
        <f t="shared" si="8"/>
        <v>50</v>
      </c>
      <c r="O73" s="357">
        <f t="shared" si="20"/>
        <v>4</v>
      </c>
      <c r="P73" s="357">
        <f t="shared" si="21"/>
        <v>2</v>
      </c>
      <c r="Q73" s="357">
        <f t="shared" si="22"/>
        <v>4</v>
      </c>
      <c r="R73" s="356">
        <f t="shared" si="10"/>
        <v>344219.6854743969</v>
      </c>
      <c r="S73" s="356">
        <f>IF($G$4="mensual",S72,0)</f>
        <v>10000</v>
      </c>
      <c r="U73" s="356">
        <f t="shared" si="23"/>
        <v>2824.597514654964</v>
      </c>
      <c r="V73" s="359">
        <f t="shared" si="25"/>
        <v>-89.14322227200002</v>
      </c>
      <c r="X73" s="359">
        <f t="shared" si="24"/>
        <v>-357.0442829890519</v>
      </c>
      <c r="Y73" s="356">
        <f t="shared" si="11"/>
        <v>356598.09548379085</v>
      </c>
      <c r="AA73" s="357">
        <f>+Bono!J73</f>
        <v>138572.20765914215</v>
      </c>
      <c r="AC73" s="378">
        <f t="shared" si="12"/>
        <v>4.166666666666667</v>
      </c>
      <c r="AD73" s="356">
        <f t="shared" si="13"/>
        <v>707121.8236506189</v>
      </c>
    </row>
    <row r="74" spans="2:30" x14ac:dyDescent="0.25">
      <c r="B74" s="356">
        <f t="shared" si="4"/>
        <v>51</v>
      </c>
      <c r="C74" s="357">
        <f t="shared" si="17"/>
        <v>4</v>
      </c>
      <c r="D74" s="357">
        <f t="shared" si="18"/>
        <v>3</v>
      </c>
      <c r="E74" s="357">
        <f t="shared" si="19"/>
        <v>33</v>
      </c>
      <c r="F74" s="356">
        <f t="shared" si="14"/>
        <v>211951.52050768593</v>
      </c>
      <c r="H74" s="356">
        <f t="shared" si="1"/>
        <v>1690.1311886479637</v>
      </c>
      <c r="I74" s="356">
        <v>0</v>
      </c>
      <c r="J74" s="360">
        <f>-SUM(F74:H74)*$J$21</f>
        <v>-1922.7748652670052</v>
      </c>
      <c r="K74" s="356">
        <f t="shared" si="6"/>
        <v>-211.7188768310669</v>
      </c>
      <c r="L74" s="356">
        <f t="shared" si="7"/>
        <v>211507.15795423582</v>
      </c>
      <c r="N74" s="356">
        <f t="shared" si="8"/>
        <v>51</v>
      </c>
      <c r="O74" s="357">
        <f t="shared" si="20"/>
        <v>4</v>
      </c>
      <c r="P74" s="357">
        <f t="shared" si="21"/>
        <v>3</v>
      </c>
      <c r="Q74" s="357">
        <f t="shared" si="22"/>
        <v>4</v>
      </c>
      <c r="R74" s="356">
        <f t="shared" si="10"/>
        <v>356598.09548379085</v>
      </c>
      <c r="S74" s="356">
        <f>IF($G$4="mensual",S73,0)</f>
        <v>10000</v>
      </c>
      <c r="U74" s="356">
        <f t="shared" si="23"/>
        <v>2923.304694356419</v>
      </c>
      <c r="V74" s="359">
        <f t="shared" si="25"/>
        <v>-89.14322227200002</v>
      </c>
      <c r="X74" s="359">
        <f t="shared" si="24"/>
        <v>-369.52140017814725</v>
      </c>
      <c r="Y74" s="356">
        <f t="shared" si="11"/>
        <v>369062.7355556971</v>
      </c>
      <c r="AA74" s="357">
        <f>+Bono!J74</f>
        <v>138175.2329387487</v>
      </c>
      <c r="AC74" s="378">
        <f t="shared" si="12"/>
        <v>4.25</v>
      </c>
      <c r="AD74" s="356">
        <f t="shared" si="13"/>
        <v>718745.1264486816</v>
      </c>
    </row>
    <row r="75" spans="2:30" x14ac:dyDescent="0.25">
      <c r="B75" s="356">
        <f t="shared" si="4"/>
        <v>52</v>
      </c>
      <c r="C75" s="357">
        <f t="shared" si="17"/>
        <v>4</v>
      </c>
      <c r="D75" s="357">
        <f t="shared" si="18"/>
        <v>4</v>
      </c>
      <c r="E75" s="357">
        <f t="shared" si="19"/>
        <v>33</v>
      </c>
      <c r="F75" s="356">
        <f t="shared" si="14"/>
        <v>211507.15795423582</v>
      </c>
      <c r="H75" s="356">
        <f t="shared" si="1"/>
        <v>1686.5877792454062</v>
      </c>
      <c r="I75" s="356">
        <v>0</v>
      </c>
      <c r="J75" s="356">
        <v>0</v>
      </c>
      <c r="K75" s="356">
        <f t="shared" si="6"/>
        <v>-213.19374573348122</v>
      </c>
      <c r="L75" s="356">
        <f t="shared" si="7"/>
        <v>212980.55198774775</v>
      </c>
      <c r="N75" s="356">
        <f t="shared" si="8"/>
        <v>52</v>
      </c>
      <c r="O75" s="357">
        <f t="shared" si="20"/>
        <v>4</v>
      </c>
      <c r="P75" s="357">
        <f t="shared" si="21"/>
        <v>4</v>
      </c>
      <c r="Q75" s="357">
        <f t="shared" si="22"/>
        <v>4</v>
      </c>
      <c r="R75" s="356">
        <f t="shared" si="10"/>
        <v>369062.7355556971</v>
      </c>
      <c r="S75" s="356">
        <f>IF($G$4="mensual",S72,IF($G$4="trimestral",S72,0))</f>
        <v>10000</v>
      </c>
      <c r="U75" s="356">
        <f t="shared" si="23"/>
        <v>3022.699484685541</v>
      </c>
      <c r="V75" s="359">
        <f t="shared" si="25"/>
        <v>-89.14322227200002</v>
      </c>
      <c r="X75" s="359">
        <f t="shared" si="24"/>
        <v>-382.08543504038266</v>
      </c>
      <c r="Y75" s="356">
        <f t="shared" si="11"/>
        <v>381614.20638307027</v>
      </c>
      <c r="AA75" s="357">
        <f>+Bono!J75</f>
        <v>139031.93541030394</v>
      </c>
      <c r="AC75" s="378">
        <f t="shared" si="12"/>
        <v>4.333333333333333</v>
      </c>
      <c r="AD75" s="356">
        <f t="shared" si="13"/>
        <v>733626.693781122</v>
      </c>
    </row>
    <row r="76" spans="2:30" x14ac:dyDescent="0.25">
      <c r="B76" s="356">
        <f t="shared" si="4"/>
        <v>53</v>
      </c>
      <c r="C76" s="357">
        <f t="shared" si="17"/>
        <v>4</v>
      </c>
      <c r="D76" s="357">
        <f t="shared" si="18"/>
        <v>5</v>
      </c>
      <c r="E76" s="357">
        <f t="shared" si="19"/>
        <v>33</v>
      </c>
      <c r="F76" s="356">
        <f t="shared" si="14"/>
        <v>212980.55198774775</v>
      </c>
      <c r="H76" s="356">
        <f t="shared" si="1"/>
        <v>1698.3368301757394</v>
      </c>
      <c r="I76" s="356">
        <v>0</v>
      </c>
      <c r="J76" s="356">
        <v>0</v>
      </c>
      <c r="K76" s="356">
        <f t="shared" si="6"/>
        <v>-214.6788888179235</v>
      </c>
      <c r="L76" s="356">
        <f t="shared" si="7"/>
        <v>214464.20992910556</v>
      </c>
      <c r="N76" s="356">
        <f t="shared" si="8"/>
        <v>53</v>
      </c>
      <c r="O76" s="357">
        <f t="shared" si="20"/>
        <v>4</v>
      </c>
      <c r="P76" s="357">
        <f t="shared" si="21"/>
        <v>5</v>
      </c>
      <c r="Q76" s="357">
        <f t="shared" si="22"/>
        <v>4</v>
      </c>
      <c r="R76" s="356">
        <f t="shared" si="10"/>
        <v>381614.20638307027</v>
      </c>
      <c r="S76" s="356">
        <f>IF($G$4="mensual",S75,0)</f>
        <v>10000</v>
      </c>
      <c r="U76" s="356">
        <f t="shared" si="23"/>
        <v>3122.786675652303</v>
      </c>
      <c r="V76" s="359">
        <f t="shared" si="25"/>
        <v>-89.14322227200002</v>
      </c>
      <c r="X76" s="359">
        <f t="shared" si="24"/>
        <v>-394.7369930587226</v>
      </c>
      <c r="Y76" s="356">
        <f t="shared" si="11"/>
        <v>394253.1128433919</v>
      </c>
      <c r="AA76" s="357">
        <f>+Bono!J76</f>
        <v>139893.94953655414</v>
      </c>
      <c r="AC76" s="378">
        <f t="shared" si="12"/>
        <v>4.416666666666667</v>
      </c>
      <c r="AD76" s="356">
        <f t="shared" si="13"/>
        <v>748611.2723090516</v>
      </c>
    </row>
    <row r="77" spans="2:30" x14ac:dyDescent="0.25">
      <c r="B77" s="356">
        <f t="shared" si="4"/>
        <v>54</v>
      </c>
      <c r="C77" s="357">
        <f t="shared" si="17"/>
        <v>4</v>
      </c>
      <c r="D77" s="357">
        <f t="shared" si="18"/>
        <v>6</v>
      </c>
      <c r="E77" s="357">
        <f t="shared" si="19"/>
        <v>33</v>
      </c>
      <c r="F77" s="356">
        <f t="shared" si="14"/>
        <v>214464.20992910556</v>
      </c>
      <c r="H77" s="356">
        <f t="shared" si="1"/>
        <v>1710.1677269485847</v>
      </c>
      <c r="I77" s="356">
        <v>0</v>
      </c>
      <c r="J77" s="360">
        <f>-SUM(F77:H77)*$J$21</f>
        <v>-1945.5693989044876</v>
      </c>
      <c r="K77" s="356">
        <f t="shared" si="6"/>
        <v>-214.2288082571497</v>
      </c>
      <c r="L77" s="356">
        <f t="shared" si="7"/>
        <v>214014.57944889253</v>
      </c>
      <c r="N77" s="356">
        <f t="shared" si="8"/>
        <v>54</v>
      </c>
      <c r="O77" s="357">
        <f t="shared" si="20"/>
        <v>4</v>
      </c>
      <c r="P77" s="357">
        <f t="shared" si="21"/>
        <v>6</v>
      </c>
      <c r="Q77" s="357">
        <f t="shared" si="22"/>
        <v>4</v>
      </c>
      <c r="R77" s="356">
        <f t="shared" si="10"/>
        <v>394253.1128433919</v>
      </c>
      <c r="S77" s="356">
        <f>IF($G$4="mensual",S76,0)</f>
        <v>10000</v>
      </c>
      <c r="U77" s="356">
        <f t="shared" si="23"/>
        <v>3223.5710906346867</v>
      </c>
      <c r="V77" s="359">
        <f t="shared" si="25"/>
        <v>-89.14322227200002</v>
      </c>
      <c r="X77" s="359">
        <f t="shared" si="24"/>
        <v>-407.4766839340266</v>
      </c>
      <c r="Y77" s="356">
        <f t="shared" si="11"/>
        <v>406980.06402782054</v>
      </c>
      <c r="AA77" s="357">
        <f>+Bono!J77</f>
        <v>139493.18835622704</v>
      </c>
      <c r="AC77" s="378">
        <f t="shared" si="12"/>
        <v>4.5</v>
      </c>
      <c r="AD77" s="356">
        <f t="shared" si="13"/>
        <v>760487.8318329401</v>
      </c>
    </row>
    <row r="78" spans="2:30" x14ac:dyDescent="0.25">
      <c r="B78" s="356">
        <f t="shared" si="4"/>
        <v>55</v>
      </c>
      <c r="C78" s="357">
        <f t="shared" si="17"/>
        <v>4</v>
      </c>
      <c r="D78" s="357">
        <f t="shared" si="18"/>
        <v>7</v>
      </c>
      <c r="E78" s="357">
        <f t="shared" si="19"/>
        <v>33</v>
      </c>
      <c r="F78" s="356">
        <f t="shared" si="14"/>
        <v>214014.57944889253</v>
      </c>
      <c r="H78" s="356">
        <f t="shared" si="1"/>
        <v>1706.5823103582507</v>
      </c>
      <c r="I78" s="356">
        <v>0</v>
      </c>
      <c r="J78" s="356">
        <v>0</v>
      </c>
      <c r="K78" s="356">
        <f t="shared" si="6"/>
        <v>-215.72116175925078</v>
      </c>
      <c r="L78" s="356">
        <f t="shared" si="7"/>
        <v>215505.4405974915</v>
      </c>
      <c r="N78" s="356">
        <f t="shared" si="8"/>
        <v>55</v>
      </c>
      <c r="O78" s="357">
        <f t="shared" si="20"/>
        <v>4</v>
      </c>
      <c r="P78" s="357">
        <f t="shared" si="21"/>
        <v>7</v>
      </c>
      <c r="Q78" s="357">
        <f t="shared" si="22"/>
        <v>4</v>
      </c>
      <c r="R78" s="356">
        <f t="shared" si="10"/>
        <v>406980.06402782054</v>
      </c>
      <c r="S78" s="356">
        <f>+IF($G$4="mensual",S72,IF($G$4="trimestral",S72,IF($G$4="semestral",S72,0)))</f>
        <v>10000</v>
      </c>
      <c r="U78" s="356">
        <f t="shared" si="23"/>
        <v>3325.057586611124</v>
      </c>
      <c r="V78" s="359">
        <f t="shared" si="25"/>
        <v>-89.14322227200002</v>
      </c>
      <c r="X78" s="359">
        <f t="shared" si="24"/>
        <v>-420.3051216144317</v>
      </c>
      <c r="Y78" s="356">
        <f t="shared" si="11"/>
        <v>419795.67327054526</v>
      </c>
      <c r="AA78" s="357">
        <f>+Bono!J78</f>
        <v>140358.062304244</v>
      </c>
      <c r="AC78" s="378">
        <f t="shared" si="12"/>
        <v>4.583333333333333</v>
      </c>
      <c r="AD78" s="356">
        <f t="shared" si="13"/>
        <v>775659.1761722807</v>
      </c>
    </row>
    <row r="79" spans="2:30" x14ac:dyDescent="0.25">
      <c r="B79" s="356">
        <f t="shared" si="4"/>
        <v>56</v>
      </c>
      <c r="C79" s="357">
        <f t="shared" si="17"/>
        <v>4</v>
      </c>
      <c r="D79" s="357">
        <f t="shared" si="18"/>
        <v>8</v>
      </c>
      <c r="E79" s="357">
        <f t="shared" si="19"/>
        <v>33</v>
      </c>
      <c r="F79" s="356">
        <f t="shared" si="14"/>
        <v>215505.4405974915</v>
      </c>
      <c r="H79" s="356">
        <f t="shared" si="1"/>
        <v>1718.4706465171757</v>
      </c>
      <c r="I79" s="356">
        <v>0</v>
      </c>
      <c r="J79" s="356">
        <v>0</v>
      </c>
      <c r="K79" s="356">
        <f t="shared" si="6"/>
        <v>-217.2239112440087</v>
      </c>
      <c r="L79" s="356">
        <f t="shared" si="7"/>
        <v>217006.68733276468</v>
      </c>
      <c r="N79" s="356">
        <f t="shared" si="8"/>
        <v>56</v>
      </c>
      <c r="O79" s="357">
        <f t="shared" si="20"/>
        <v>4</v>
      </c>
      <c r="P79" s="357">
        <f t="shared" si="21"/>
        <v>8</v>
      </c>
      <c r="Q79" s="357">
        <f t="shared" si="22"/>
        <v>4</v>
      </c>
      <c r="R79" s="356">
        <f t="shared" si="10"/>
        <v>419795.67327054526</v>
      </c>
      <c r="S79" s="356">
        <f>IF($G$4="mensual",S78,0)</f>
        <v>10000</v>
      </c>
      <c r="U79" s="356">
        <f t="shared" si="23"/>
        <v>3427.2510543945677</v>
      </c>
      <c r="V79" s="359">
        <f t="shared" si="25"/>
        <v>-89.14322227200002</v>
      </c>
      <c r="X79" s="359">
        <f t="shared" si="24"/>
        <v>-433.22292432493987</v>
      </c>
      <c r="Y79" s="356">
        <f t="shared" si="11"/>
        <v>432700.55817834294</v>
      </c>
      <c r="AA79" s="357">
        <f>+Bono!J79</f>
        <v>141228.29857105785</v>
      </c>
      <c r="AC79" s="378">
        <f t="shared" si="12"/>
        <v>4.666666666666667</v>
      </c>
      <c r="AD79" s="356">
        <f t="shared" si="13"/>
        <v>790935.5440821655</v>
      </c>
    </row>
    <row r="80" spans="2:30" x14ac:dyDescent="0.25">
      <c r="B80" s="356">
        <f t="shared" si="4"/>
        <v>57</v>
      </c>
      <c r="C80" s="357">
        <f t="shared" si="17"/>
        <v>4</v>
      </c>
      <c r="D80" s="357">
        <f t="shared" si="18"/>
        <v>9</v>
      </c>
      <c r="E80" s="357">
        <f t="shared" si="19"/>
        <v>33</v>
      </c>
      <c r="F80" s="356">
        <f t="shared" si="14"/>
        <v>217006.68733276468</v>
      </c>
      <c r="H80" s="356">
        <f t="shared" si="1"/>
        <v>1730.441798802677</v>
      </c>
      <c r="I80" s="356">
        <v>0</v>
      </c>
      <c r="J80" s="360">
        <f>-SUM(F80:H80)*$J$21</f>
        <v>-1968.6341621841063</v>
      </c>
      <c r="K80" s="356">
        <f t="shared" si="6"/>
        <v>-216.76849496938323</v>
      </c>
      <c r="L80" s="356">
        <f t="shared" si="7"/>
        <v>216551.72647441385</v>
      </c>
      <c r="N80" s="356">
        <f t="shared" si="8"/>
        <v>57</v>
      </c>
      <c r="O80" s="357">
        <f t="shared" si="20"/>
        <v>4</v>
      </c>
      <c r="P80" s="357">
        <f t="shared" si="21"/>
        <v>9</v>
      </c>
      <c r="Q80" s="357">
        <f t="shared" si="22"/>
        <v>4</v>
      </c>
      <c r="R80" s="356">
        <f t="shared" si="10"/>
        <v>432700.55817834294</v>
      </c>
      <c r="S80" s="356">
        <f>IF($G$4="mensual",S79,0)</f>
        <v>10000</v>
      </c>
      <c r="U80" s="356">
        <f t="shared" si="23"/>
        <v>3530.1564188681873</v>
      </c>
      <c r="V80" s="359">
        <f t="shared" si="25"/>
        <v>-89.14322227200002</v>
      </c>
      <c r="X80" s="359">
        <f t="shared" si="24"/>
        <v>-446.2307145972111</v>
      </c>
      <c r="Y80" s="356">
        <f t="shared" si="11"/>
        <v>445695.3406603419</v>
      </c>
      <c r="AA80" s="357">
        <f>+Bono!J80</f>
        <v>140823.71481444486</v>
      </c>
      <c r="AC80" s="378">
        <f t="shared" si="12"/>
        <v>4.75</v>
      </c>
      <c r="AD80" s="356">
        <f t="shared" si="13"/>
        <v>803070.7819492007</v>
      </c>
    </row>
    <row r="81" spans="2:30" x14ac:dyDescent="0.25">
      <c r="B81" s="356">
        <f t="shared" si="4"/>
        <v>58</v>
      </c>
      <c r="C81" s="357">
        <f t="shared" si="17"/>
        <v>4</v>
      </c>
      <c r="D81" s="357">
        <f t="shared" si="18"/>
        <v>10</v>
      </c>
      <c r="E81" s="357">
        <f t="shared" si="19"/>
        <v>33</v>
      </c>
      <c r="F81" s="356">
        <f t="shared" si="14"/>
        <v>216551.72647441385</v>
      </c>
      <c r="H81" s="356">
        <f t="shared" si="1"/>
        <v>1726.8138770285332</v>
      </c>
      <c r="I81" s="356">
        <v>0</v>
      </c>
      <c r="J81" s="356">
        <v>0</v>
      </c>
      <c r="K81" s="356">
        <f t="shared" si="6"/>
        <v>-218.2785403514424</v>
      </c>
      <c r="L81" s="356">
        <f t="shared" si="7"/>
        <v>218060.26181109095</v>
      </c>
      <c r="N81" s="356">
        <f t="shared" si="8"/>
        <v>58</v>
      </c>
      <c r="O81" s="357">
        <f t="shared" si="20"/>
        <v>4</v>
      </c>
      <c r="P81" s="357">
        <f t="shared" si="21"/>
        <v>10</v>
      </c>
      <c r="Q81" s="357">
        <f t="shared" si="22"/>
        <v>4</v>
      </c>
      <c r="R81" s="356">
        <f t="shared" si="10"/>
        <v>445695.3406603419</v>
      </c>
      <c r="S81" s="356">
        <f>IF($G$4="mensual",S72,IF($G$4="trimestral",S72,0))</f>
        <v>10000</v>
      </c>
      <c r="U81" s="356">
        <f t="shared" si="23"/>
        <v>3633.778639222706</v>
      </c>
      <c r="V81" s="359">
        <f t="shared" si="25"/>
        <v>-89.14322227200002</v>
      </c>
      <c r="X81" s="359">
        <f t="shared" si="24"/>
        <v>-459.32911929956464</v>
      </c>
      <c r="Y81" s="356">
        <f t="shared" si="11"/>
        <v>458780.6469579931</v>
      </c>
      <c r="AA81" s="357">
        <f>+Bono!J81</f>
        <v>141696.83818083428</v>
      </c>
      <c r="AC81" s="378">
        <f t="shared" si="12"/>
        <v>4.833333333333333</v>
      </c>
      <c r="AD81" s="356">
        <f t="shared" si="13"/>
        <v>818537.7469499183</v>
      </c>
    </row>
    <row r="82" spans="2:30" x14ac:dyDescent="0.25">
      <c r="B82" s="356">
        <f t="shared" si="4"/>
        <v>59</v>
      </c>
      <c r="C82" s="357">
        <f t="shared" si="17"/>
        <v>4</v>
      </c>
      <c r="D82" s="357">
        <f t="shared" si="18"/>
        <v>11</v>
      </c>
      <c r="E82" s="357">
        <f t="shared" si="19"/>
        <v>33</v>
      </c>
      <c r="F82" s="356">
        <f t="shared" si="14"/>
        <v>218060.26181109095</v>
      </c>
      <c r="H82" s="356">
        <f t="shared" si="1"/>
        <v>1738.8431496451599</v>
      </c>
      <c r="I82" s="356">
        <v>0</v>
      </c>
      <c r="J82" s="356">
        <v>0</v>
      </c>
      <c r="K82" s="356">
        <f t="shared" si="6"/>
        <v>-219.79910496073612</v>
      </c>
      <c r="L82" s="356">
        <f t="shared" si="7"/>
        <v>219579.3058557754</v>
      </c>
      <c r="N82" s="356">
        <f t="shared" si="8"/>
        <v>59</v>
      </c>
      <c r="O82" s="357">
        <f t="shared" si="20"/>
        <v>4</v>
      </c>
      <c r="P82" s="357">
        <f t="shared" si="21"/>
        <v>11</v>
      </c>
      <c r="Q82" s="357">
        <f t="shared" si="22"/>
        <v>4</v>
      </c>
      <c r="R82" s="356">
        <f t="shared" si="10"/>
        <v>458780.6469579931</v>
      </c>
      <c r="S82" s="356">
        <f>IF($G$17="si",S70*(1+$G$20),S70)</f>
        <v>10000</v>
      </c>
      <c r="U82" s="356">
        <f t="shared" si="23"/>
        <v>3738.122709195395</v>
      </c>
      <c r="V82" s="359">
        <f t="shared" si="25"/>
        <v>-89.14322227200002</v>
      </c>
      <c r="X82" s="359">
        <f t="shared" si="24"/>
        <v>-472.5187696671885</v>
      </c>
      <c r="Y82" s="356">
        <f t="shared" si="11"/>
        <v>471957.10767524934</v>
      </c>
      <c r="AA82" s="357">
        <f>+Bono!J82</f>
        <v>142575.3750133714</v>
      </c>
      <c r="AC82" s="378">
        <f t="shared" si="12"/>
        <v>4.916666666666667</v>
      </c>
      <c r="AD82" s="356">
        <f t="shared" si="13"/>
        <v>834111.788544396</v>
      </c>
    </row>
    <row r="83" spans="2:30" x14ac:dyDescent="0.25">
      <c r="B83" s="356">
        <f t="shared" si="4"/>
        <v>60</v>
      </c>
      <c r="C83" s="357">
        <f t="shared" si="17"/>
        <v>4</v>
      </c>
      <c r="D83" s="357">
        <f t="shared" si="18"/>
        <v>12</v>
      </c>
      <c r="E83" s="357">
        <f t="shared" si="19"/>
        <v>33</v>
      </c>
      <c r="F83" s="356">
        <f t="shared" si="14"/>
        <v>219579.3058557754</v>
      </c>
      <c r="H83" s="356">
        <f t="shared" si="1"/>
        <v>1750.9562201751637</v>
      </c>
      <c r="I83" s="356">
        <v>0</v>
      </c>
      <c r="J83" s="360">
        <f>-SUM(F83:H83)*$J$21</f>
        <v>-1991.9723586835553</v>
      </c>
      <c r="K83" s="356">
        <f t="shared" si="6"/>
        <v>-219.338289717267</v>
      </c>
      <c r="L83" s="356">
        <f t="shared" si="7"/>
        <v>219118.95142754973</v>
      </c>
      <c r="N83" s="356">
        <f t="shared" si="8"/>
        <v>60</v>
      </c>
      <c r="O83" s="357">
        <f t="shared" si="20"/>
        <v>4</v>
      </c>
      <c r="P83" s="357">
        <f t="shared" si="21"/>
        <v>12</v>
      </c>
      <c r="Q83" s="357">
        <f t="shared" si="22"/>
        <v>4</v>
      </c>
      <c r="R83" s="356">
        <f t="shared" si="10"/>
        <v>471957.10767524934</v>
      </c>
      <c r="S83" s="356">
        <f>IF($G$4="mensual",S82,0)</f>
        <v>10000</v>
      </c>
      <c r="U83" s="356">
        <f t="shared" si="23"/>
        <v>3843.1936573107305</v>
      </c>
      <c r="V83" s="359">
        <f t="shared" si="25"/>
        <v>-89.14322227200002</v>
      </c>
      <c r="X83" s="359">
        <f t="shared" si="24"/>
        <v>-485.8003013325601</v>
      </c>
      <c r="Y83" s="356">
        <f t="shared" si="11"/>
        <v>485225.35780895554</v>
      </c>
      <c r="AA83" s="357">
        <f>+Bono!J83</f>
        <v>142166.9322196321</v>
      </c>
      <c r="AC83" s="378">
        <f t="shared" si="12"/>
        <v>5</v>
      </c>
      <c r="AD83" s="356">
        <f t="shared" si="13"/>
        <v>846511.2414561374</v>
      </c>
    </row>
    <row r="84" spans="2:30" x14ac:dyDescent="0.25">
      <c r="B84" s="356">
        <f t="shared" si="4"/>
        <v>61</v>
      </c>
      <c r="C84" s="357">
        <f t="shared" si="17"/>
        <v>5</v>
      </c>
      <c r="D84" s="357">
        <f t="shared" si="18"/>
        <v>1</v>
      </c>
      <c r="E84" s="357">
        <f t="shared" si="19"/>
        <v>34</v>
      </c>
      <c r="F84" s="356">
        <f t="shared" si="14"/>
        <v>219118.95142754973</v>
      </c>
      <c r="H84" s="356">
        <f t="shared" si="1"/>
        <v>1747.2852893174245</v>
      </c>
      <c r="I84" s="356">
        <v>0</v>
      </c>
      <c r="J84" s="356">
        <v>0</v>
      </c>
      <c r="K84" s="356">
        <f t="shared" si="6"/>
        <v>-220.86623671686718</v>
      </c>
      <c r="L84" s="356">
        <f t="shared" si="7"/>
        <v>220645.3704801503</v>
      </c>
      <c r="N84" s="356">
        <f t="shared" si="8"/>
        <v>61</v>
      </c>
      <c r="O84" s="357">
        <f t="shared" si="20"/>
        <v>5</v>
      </c>
      <c r="P84" s="357">
        <f t="shared" si="21"/>
        <v>1</v>
      </c>
      <c r="Q84" s="357">
        <f t="shared" si="22"/>
        <v>5</v>
      </c>
      <c r="R84" s="356">
        <f t="shared" si="10"/>
        <v>485225.35780895554</v>
      </c>
      <c r="S84" s="356">
        <f>IF($G$17="si",S72*(1+$G$20),S72)</f>
        <v>10000</v>
      </c>
      <c r="U84" s="356">
        <f t="shared" si="23"/>
        <v>3948.9965471227247</v>
      </c>
      <c r="V84" s="359">
        <f>(V83*(1+$G$18))</f>
        <v>-92.70895116288003</v>
      </c>
      <c r="X84" s="359">
        <f t="shared" si="24"/>
        <v>-499.17435435607825</v>
      </c>
      <c r="Y84" s="356">
        <f t="shared" si="11"/>
        <v>498582.4710505593</v>
      </c>
      <c r="AA84" s="357">
        <f>+Bono!J84</f>
        <v>143048.38368973727</v>
      </c>
      <c r="AC84" s="378">
        <f t="shared" si="12"/>
        <v>5.083333333333333</v>
      </c>
      <c r="AD84" s="356">
        <f t="shared" si="13"/>
        <v>862276.2252204469</v>
      </c>
    </row>
    <row r="85" spans="2:30" x14ac:dyDescent="0.25">
      <c r="B85" s="356">
        <f t="shared" si="4"/>
        <v>62</v>
      </c>
      <c r="C85" s="357">
        <f t="shared" si="17"/>
        <v>5</v>
      </c>
      <c r="D85" s="357">
        <f t="shared" si="18"/>
        <v>2</v>
      </c>
      <c r="E85" s="357">
        <f t="shared" si="19"/>
        <v>34</v>
      </c>
      <c r="F85" s="356">
        <f t="shared" si="14"/>
        <v>220645.3704801503</v>
      </c>
      <c r="H85" s="356">
        <f t="shared" si="1"/>
        <v>1759.4571691962158</v>
      </c>
      <c r="I85" s="356">
        <v>0</v>
      </c>
      <c r="J85" s="356">
        <v>0</v>
      </c>
      <c r="K85" s="356">
        <f t="shared" si="6"/>
        <v>-222.40482764934652</v>
      </c>
      <c r="L85" s="356">
        <f t="shared" si="7"/>
        <v>222182.42282169717</v>
      </c>
      <c r="N85" s="356">
        <f t="shared" si="8"/>
        <v>62</v>
      </c>
      <c r="O85" s="357">
        <f t="shared" si="20"/>
        <v>5</v>
      </c>
      <c r="P85" s="357">
        <f t="shared" si="21"/>
        <v>2</v>
      </c>
      <c r="Q85" s="357">
        <f t="shared" si="22"/>
        <v>5</v>
      </c>
      <c r="R85" s="356">
        <f t="shared" si="10"/>
        <v>498582.4710505593</v>
      </c>
      <c r="S85" s="356">
        <f>IF($G$4="mensual",S84,0)</f>
        <v>10000</v>
      </c>
      <c r="U85" s="356">
        <f t="shared" si="23"/>
        <v>4055.5080438360433</v>
      </c>
      <c r="V85" s="359">
        <f t="shared" si="25"/>
        <v>-92.70895116288003</v>
      </c>
      <c r="X85" s="359">
        <f t="shared" si="24"/>
        <v>-512.6379790943954</v>
      </c>
      <c r="Y85" s="356">
        <f t="shared" si="11"/>
        <v>512032.6321641381</v>
      </c>
      <c r="AA85" s="357">
        <f>+Bono!J85</f>
        <v>143935.30026119915</v>
      </c>
      <c r="AC85" s="378">
        <f t="shared" si="12"/>
        <v>5.166666666666667</v>
      </c>
      <c r="AD85" s="356">
        <f t="shared" si="13"/>
        <v>878150.3552470345</v>
      </c>
    </row>
    <row r="86" spans="2:30" x14ac:dyDescent="0.25">
      <c r="B86" s="356">
        <f t="shared" si="4"/>
        <v>63</v>
      </c>
      <c r="C86" s="357">
        <f t="shared" si="17"/>
        <v>5</v>
      </c>
      <c r="D86" s="357">
        <f t="shared" si="18"/>
        <v>3</v>
      </c>
      <c r="E86" s="357">
        <f t="shared" si="19"/>
        <v>34</v>
      </c>
      <c r="F86" s="356">
        <f t="shared" si="14"/>
        <v>222182.42282169717</v>
      </c>
      <c r="H86" s="356">
        <f t="shared" si="1"/>
        <v>1771.7138404142859</v>
      </c>
      <c r="I86" s="356">
        <v>0</v>
      </c>
      <c r="J86" s="360">
        <f>-SUM(F86:H86)*$J$21</f>
        <v>-2015.5872299590033</v>
      </c>
      <c r="K86" s="356">
        <f t="shared" si="6"/>
        <v>-221.93854943215246</v>
      </c>
      <c r="L86" s="356">
        <f t="shared" si="7"/>
        <v>221716.6108827203</v>
      </c>
      <c r="N86" s="356">
        <f t="shared" si="8"/>
        <v>63</v>
      </c>
      <c r="O86" s="357">
        <f t="shared" si="20"/>
        <v>5</v>
      </c>
      <c r="P86" s="357">
        <f t="shared" si="21"/>
        <v>3</v>
      </c>
      <c r="Q86" s="357">
        <f t="shared" si="22"/>
        <v>5</v>
      </c>
      <c r="R86" s="356">
        <f t="shared" si="10"/>
        <v>512032.6321641381</v>
      </c>
      <c r="S86" s="356">
        <f>IF($G$4="mensual",S85,0)</f>
        <v>10000</v>
      </c>
      <c r="U86" s="356">
        <f t="shared" si="23"/>
        <v>4162.761517347101</v>
      </c>
      <c r="V86" s="359">
        <f t="shared" si="25"/>
        <v>-92.70895116288003</v>
      </c>
      <c r="X86" s="359">
        <f t="shared" si="24"/>
        <v>-526.1953936814853</v>
      </c>
      <c r="Y86" s="356">
        <f t="shared" si="11"/>
        <v>525576.4893366408</v>
      </c>
      <c r="AA86" s="357">
        <f>+Bono!J86</f>
        <v>143522.96162171895</v>
      </c>
      <c r="AC86" s="378">
        <f t="shared" si="12"/>
        <v>5.25</v>
      </c>
      <c r="AD86" s="356">
        <f t="shared" si="13"/>
        <v>890816.0618410801</v>
      </c>
    </row>
    <row r="87" spans="2:30" x14ac:dyDescent="0.25">
      <c r="B87" s="356">
        <f t="shared" si="4"/>
        <v>64</v>
      </c>
      <c r="C87" s="357">
        <f t="shared" si="17"/>
        <v>5</v>
      </c>
      <c r="D87" s="357">
        <f t="shared" si="18"/>
        <v>4</v>
      </c>
      <c r="E87" s="357">
        <f t="shared" si="19"/>
        <v>34</v>
      </c>
      <c r="F87" s="356">
        <f t="shared" si="14"/>
        <v>221716.6108827203</v>
      </c>
      <c r="H87" s="356">
        <f t="shared" si="1"/>
        <v>1767.9993905994243</v>
      </c>
      <c r="I87" s="356">
        <v>0</v>
      </c>
      <c r="J87" s="356">
        <v>0</v>
      </c>
      <c r="K87" s="356">
        <f t="shared" si="6"/>
        <v>-223.48461027331973</v>
      </c>
      <c r="L87" s="356">
        <f t="shared" si="7"/>
        <v>223261.1256630464</v>
      </c>
      <c r="N87" s="356">
        <f t="shared" si="8"/>
        <v>64</v>
      </c>
      <c r="O87" s="357">
        <f t="shared" si="20"/>
        <v>5</v>
      </c>
      <c r="P87" s="357">
        <f t="shared" si="21"/>
        <v>4</v>
      </c>
      <c r="Q87" s="357">
        <f t="shared" si="22"/>
        <v>5</v>
      </c>
      <c r="R87" s="356">
        <f t="shared" si="10"/>
        <v>525576.4893366408</v>
      </c>
      <c r="S87" s="356">
        <f>IF($G$4="mensual",S84,IF($G$4="trimestral",S84,0))</f>
        <v>10000</v>
      </c>
      <c r="U87" s="356">
        <f t="shared" si="23"/>
        <v>4270.762136389653</v>
      </c>
      <c r="V87" s="359">
        <f t="shared" si="25"/>
        <v>-92.70895116288003</v>
      </c>
      <c r="X87" s="359">
        <f t="shared" si="24"/>
        <v>-539.8472514730304</v>
      </c>
      <c r="Y87" s="356">
        <f t="shared" si="11"/>
        <v>539214.6952703946</v>
      </c>
      <c r="AA87" s="357">
        <f>+Bono!J87</f>
        <v>144412.82063140674</v>
      </c>
      <c r="AC87" s="378">
        <f t="shared" si="12"/>
        <v>5.333333333333333</v>
      </c>
      <c r="AD87" s="356">
        <f t="shared" si="13"/>
        <v>906888.6415648477</v>
      </c>
    </row>
    <row r="88" spans="2:30" x14ac:dyDescent="0.25">
      <c r="B88" s="356">
        <f t="shared" si="4"/>
        <v>65</v>
      </c>
      <c r="C88" s="357">
        <f t="shared" si="17"/>
        <v>5</v>
      </c>
      <c r="D88" s="357">
        <f t="shared" si="18"/>
        <v>5</v>
      </c>
      <c r="E88" s="357">
        <f t="shared" si="19"/>
        <v>34</v>
      </c>
      <c r="F88" s="356">
        <f t="shared" si="14"/>
        <v>223261.1256630464</v>
      </c>
      <c r="H88" s="356">
        <f t="shared" ref="H88:H151" si="26">SUM(F88:G88)*$G$8</f>
        <v>1780.315568352262</v>
      </c>
      <c r="I88" s="356">
        <v>0</v>
      </c>
      <c r="J88" s="356">
        <v>0</v>
      </c>
      <c r="K88" s="356">
        <f t="shared" si="6"/>
        <v>-225.04144123139866</v>
      </c>
      <c r="L88" s="356">
        <f t="shared" ref="L88:L151" si="27">SUM(F88:K88)</f>
        <v>224816.39979016726</v>
      </c>
      <c r="N88" s="356">
        <f t="shared" si="8"/>
        <v>65</v>
      </c>
      <c r="O88" s="357">
        <f t="shared" si="20"/>
        <v>5</v>
      </c>
      <c r="P88" s="357">
        <f t="shared" si="21"/>
        <v>5</v>
      </c>
      <c r="Q88" s="357">
        <f t="shared" si="22"/>
        <v>5</v>
      </c>
      <c r="R88" s="356">
        <f t="shared" si="10"/>
        <v>539214.6952703946</v>
      </c>
      <c r="S88" s="356">
        <f>IF($G$4="mensual",S87,0)</f>
        <v>10000</v>
      </c>
      <c r="U88" s="356">
        <f t="shared" si="23"/>
        <v>4379.515105703715</v>
      </c>
      <c r="V88" s="359">
        <f t="shared" si="25"/>
        <v>-92.70895116288003</v>
      </c>
      <c r="X88" s="359">
        <f t="shared" si="24"/>
        <v>-553.5942103760983</v>
      </c>
      <c r="Y88" s="356">
        <f t="shared" ref="Y88:Y151" si="28">SUM(R88:X88)</f>
        <v>552947.9072145593</v>
      </c>
      <c r="AA88" s="357">
        <f>+Bono!J88</f>
        <v>145308.19687017184</v>
      </c>
      <c r="AC88" s="378">
        <f t="shared" si="12"/>
        <v>5.416666666666667</v>
      </c>
      <c r="AD88" s="356">
        <f t="shared" si="13"/>
        <v>923072.5038748983</v>
      </c>
    </row>
    <row r="89" spans="2:30" x14ac:dyDescent="0.25">
      <c r="B89" s="356">
        <f t="shared" ref="B89:B152" si="29">+B88+1</f>
        <v>66</v>
      </c>
      <c r="C89" s="357">
        <f t="shared" si="17"/>
        <v>5</v>
      </c>
      <c r="D89" s="357">
        <f t="shared" si="18"/>
        <v>6</v>
      </c>
      <c r="E89" s="357">
        <f t="shared" si="19"/>
        <v>34</v>
      </c>
      <c r="F89" s="356">
        <f t="shared" ref="F89:F152" si="30">L88</f>
        <v>224816.39979016726</v>
      </c>
      <c r="H89" s="356">
        <f t="shared" si="26"/>
        <v>1792.7175426473646</v>
      </c>
      <c r="I89" s="356">
        <v>0</v>
      </c>
      <c r="J89" s="360">
        <f>-SUM(F89:H89)*$J$21</f>
        <v>-2039.4820559953316</v>
      </c>
      <c r="K89" s="356">
        <f t="shared" ref="K89:K152" si="31">-SUM(F89:J89)*0.1%</f>
        <v>-224.5696352768193</v>
      </c>
      <c r="L89" s="356">
        <f t="shared" si="27"/>
        <v>224345.06564154246</v>
      </c>
      <c r="N89" s="356">
        <f t="shared" ref="N89:N152" si="32">+N88+1</f>
        <v>66</v>
      </c>
      <c r="O89" s="357">
        <f t="shared" si="20"/>
        <v>5</v>
      </c>
      <c r="P89" s="357">
        <f t="shared" si="21"/>
        <v>6</v>
      </c>
      <c r="Q89" s="357">
        <f t="shared" si="22"/>
        <v>5</v>
      </c>
      <c r="R89" s="356">
        <f t="shared" ref="R89:R152" si="33">Y88</f>
        <v>552947.9072145593</v>
      </c>
      <c r="S89" s="356">
        <f>IF($G$4="mensual",S88,0)</f>
        <v>10000</v>
      </c>
      <c r="U89" s="356">
        <f t="shared" si="23"/>
        <v>4489.025666286382</v>
      </c>
      <c r="V89" s="359">
        <f t="shared" si="25"/>
        <v>-92.70895116288003</v>
      </c>
      <c r="X89" s="359">
        <f t="shared" si="24"/>
        <v>-567.4369328808456</v>
      </c>
      <c r="Y89" s="356">
        <f t="shared" si="28"/>
        <v>566776.7869968018</v>
      </c>
      <c r="AA89" s="357">
        <f>+Bono!J89</f>
        <v>144891.92522524504</v>
      </c>
      <c r="AC89" s="378">
        <f t="shared" ref="AC89:AC152" si="34">+B89/12</f>
        <v>5.5</v>
      </c>
      <c r="AD89" s="356">
        <f t="shared" ref="AD89:AD152" si="35">+AA89+Y89+L89</f>
        <v>936013.7778635893</v>
      </c>
    </row>
    <row r="90" spans="2:30" x14ac:dyDescent="0.25">
      <c r="B90" s="356">
        <f t="shared" si="29"/>
        <v>67</v>
      </c>
      <c r="C90" s="357">
        <f t="shared" si="17"/>
        <v>5</v>
      </c>
      <c r="D90" s="357">
        <f t="shared" si="18"/>
        <v>7</v>
      </c>
      <c r="E90" s="357">
        <f t="shared" si="19"/>
        <v>34</v>
      </c>
      <c r="F90" s="356">
        <f t="shared" si="30"/>
        <v>224345.06564154246</v>
      </c>
      <c r="H90" s="356">
        <f t="shared" si="26"/>
        <v>1788.9590579572925</v>
      </c>
      <c r="I90" s="356">
        <v>0</v>
      </c>
      <c r="J90" s="356">
        <v>0</v>
      </c>
      <c r="K90" s="356">
        <f t="shared" si="31"/>
        <v>-226.13402469949975</v>
      </c>
      <c r="L90" s="356">
        <f t="shared" si="27"/>
        <v>225907.89067480023</v>
      </c>
      <c r="N90" s="356">
        <f t="shared" si="32"/>
        <v>67</v>
      </c>
      <c r="O90" s="357">
        <f t="shared" si="20"/>
        <v>5</v>
      </c>
      <c r="P90" s="357">
        <f t="shared" si="21"/>
        <v>7</v>
      </c>
      <c r="Q90" s="357">
        <f t="shared" si="22"/>
        <v>5</v>
      </c>
      <c r="R90" s="356">
        <f t="shared" si="33"/>
        <v>566776.7869968018</v>
      </c>
      <c r="S90" s="356">
        <f>+IF($G$4="mensual",S84,IF($G$4="trimestral",S84,IF($G$4="semestral",S84,0)))</f>
        <v>10000</v>
      </c>
      <c r="U90" s="356">
        <f t="shared" si="23"/>
        <v>4599.299095644413</v>
      </c>
      <c r="V90" s="359">
        <f t="shared" si="25"/>
        <v>-92.70895116288003</v>
      </c>
      <c r="X90" s="359">
        <f t="shared" si="24"/>
        <v>-581.3760860924463</v>
      </c>
      <c r="Y90" s="356">
        <f t="shared" si="28"/>
        <v>580702.0010551909</v>
      </c>
      <c r="AA90" s="357">
        <f>+Bono!J90</f>
        <v>145790.27196806463</v>
      </c>
      <c r="AC90" s="378">
        <f t="shared" si="34"/>
        <v>5.583333333333333</v>
      </c>
      <c r="AD90" s="356">
        <f t="shared" si="35"/>
        <v>952400.1636980558</v>
      </c>
    </row>
    <row r="91" spans="2:30" x14ac:dyDescent="0.25">
      <c r="B91" s="356">
        <f t="shared" si="29"/>
        <v>68</v>
      </c>
      <c r="C91" s="357">
        <f t="shared" si="17"/>
        <v>5</v>
      </c>
      <c r="D91" s="357">
        <f t="shared" si="18"/>
        <v>8</v>
      </c>
      <c r="E91" s="357">
        <f t="shared" si="19"/>
        <v>34</v>
      </c>
      <c r="F91" s="356">
        <f t="shared" si="30"/>
        <v>225907.89067480023</v>
      </c>
      <c r="H91" s="356">
        <f t="shared" si="26"/>
        <v>1801.4212442382961</v>
      </c>
      <c r="I91" s="356">
        <v>0</v>
      </c>
      <c r="J91" s="356">
        <v>0</v>
      </c>
      <c r="K91" s="356">
        <f t="shared" si="31"/>
        <v>-227.70931191903853</v>
      </c>
      <c r="L91" s="356">
        <f t="shared" si="27"/>
        <v>227481.6026071195</v>
      </c>
      <c r="N91" s="356">
        <f t="shared" si="32"/>
        <v>68</v>
      </c>
      <c r="O91" s="357">
        <f t="shared" si="20"/>
        <v>5</v>
      </c>
      <c r="P91" s="357">
        <f t="shared" si="21"/>
        <v>8</v>
      </c>
      <c r="Q91" s="357">
        <f t="shared" si="22"/>
        <v>5</v>
      </c>
      <c r="R91" s="356">
        <f t="shared" si="33"/>
        <v>580702.0010551909</v>
      </c>
      <c r="S91" s="356">
        <f>IF($G$4="mensual",S90,0)</f>
        <v>10000</v>
      </c>
      <c r="U91" s="356">
        <f t="shared" si="23"/>
        <v>4710.340708048552</v>
      </c>
      <c r="V91" s="359">
        <f t="shared" si="25"/>
        <v>-92.70895116288003</v>
      </c>
      <c r="X91" s="359">
        <f t="shared" si="24"/>
        <v>-595.4123417632395</v>
      </c>
      <c r="Y91" s="356">
        <f t="shared" si="28"/>
        <v>594724.2204703133</v>
      </c>
      <c r="AA91" s="357">
        <f>+Bono!J91</f>
        <v>146694.1885648915</v>
      </c>
      <c r="AC91" s="378">
        <f t="shared" si="34"/>
        <v>5.666666666666667</v>
      </c>
      <c r="AD91" s="356">
        <f t="shared" si="35"/>
        <v>968900.0116423243</v>
      </c>
    </row>
    <row r="92" spans="2:30" x14ac:dyDescent="0.25">
      <c r="B92" s="356">
        <f t="shared" si="29"/>
        <v>69</v>
      </c>
      <c r="C92" s="357">
        <f t="shared" si="17"/>
        <v>5</v>
      </c>
      <c r="D92" s="357">
        <f t="shared" si="18"/>
        <v>9</v>
      </c>
      <c r="E92" s="357">
        <f t="shared" si="19"/>
        <v>34</v>
      </c>
      <c r="F92" s="356">
        <f t="shared" si="30"/>
        <v>227481.6026071195</v>
      </c>
      <c r="H92" s="356">
        <f t="shared" si="26"/>
        <v>1813.9702441812517</v>
      </c>
      <c r="I92" s="356">
        <v>0</v>
      </c>
      <c r="J92" s="360">
        <f>-SUM(F92:H92)*$J$21</f>
        <v>-2063.660155661707</v>
      </c>
      <c r="K92" s="356">
        <f t="shared" si="31"/>
        <v>-227.23191269563907</v>
      </c>
      <c r="L92" s="356">
        <f t="shared" si="27"/>
        <v>227004.68078294344</v>
      </c>
      <c r="N92" s="356">
        <f t="shared" si="32"/>
        <v>69</v>
      </c>
      <c r="O92" s="357">
        <f t="shared" si="20"/>
        <v>5</v>
      </c>
      <c r="P92" s="357">
        <f t="shared" si="21"/>
        <v>9</v>
      </c>
      <c r="Q92" s="357">
        <f t="shared" si="22"/>
        <v>5</v>
      </c>
      <c r="R92" s="356">
        <f t="shared" si="33"/>
        <v>594724.2204703133</v>
      </c>
      <c r="S92" s="356">
        <f>IF($G$4="mensual",S91,0)</f>
        <v>10000</v>
      </c>
      <c r="U92" s="356">
        <f t="shared" si="23"/>
        <v>4822.155854789639</v>
      </c>
      <c r="V92" s="359">
        <f t="shared" si="25"/>
        <v>-92.70895116288003</v>
      </c>
      <c r="X92" s="359">
        <f t="shared" si="24"/>
        <v>-609.546376325103</v>
      </c>
      <c r="Y92" s="356">
        <f t="shared" si="28"/>
        <v>608844.120997615</v>
      </c>
      <c r="AA92" s="357">
        <f>+Bono!J92</f>
        <v>146273.9464003722</v>
      </c>
      <c r="AC92" s="378">
        <f t="shared" si="34"/>
        <v>5.75</v>
      </c>
      <c r="AD92" s="356">
        <f t="shared" si="35"/>
        <v>982122.7481809307</v>
      </c>
    </row>
    <row r="93" spans="2:30" x14ac:dyDescent="0.25">
      <c r="B93" s="356">
        <f t="shared" si="29"/>
        <v>70</v>
      </c>
      <c r="C93" s="357">
        <f t="shared" si="17"/>
        <v>5</v>
      </c>
      <c r="D93" s="357">
        <f t="shared" si="18"/>
        <v>10</v>
      </c>
      <c r="E93" s="357">
        <f t="shared" si="19"/>
        <v>34</v>
      </c>
      <c r="F93" s="356">
        <f t="shared" si="30"/>
        <v>227004.68078294344</v>
      </c>
      <c r="H93" s="356">
        <f t="shared" si="26"/>
        <v>1810.1672025816627</v>
      </c>
      <c r="I93" s="356">
        <v>0</v>
      </c>
      <c r="J93" s="356">
        <v>0</v>
      </c>
      <c r="K93" s="356">
        <f t="shared" si="31"/>
        <v>-228.8148479855251</v>
      </c>
      <c r="L93" s="356">
        <f t="shared" si="27"/>
        <v>228586.03313753958</v>
      </c>
      <c r="N93" s="356">
        <f t="shared" si="32"/>
        <v>70</v>
      </c>
      <c r="O93" s="357">
        <f t="shared" si="20"/>
        <v>5</v>
      </c>
      <c r="P93" s="357">
        <f t="shared" si="21"/>
        <v>10</v>
      </c>
      <c r="Q93" s="357">
        <f t="shared" si="22"/>
        <v>5</v>
      </c>
      <c r="R93" s="356">
        <f t="shared" si="33"/>
        <v>608844.120997615</v>
      </c>
      <c r="S93" s="356">
        <f>IF($G$4="mensual",S84,IF($G$4="trimestral",S84,0))</f>
        <v>10000</v>
      </c>
      <c r="U93" s="356">
        <f t="shared" si="23"/>
        <v>4934.749924436495</v>
      </c>
      <c r="V93" s="359">
        <f t="shared" si="25"/>
        <v>-92.70895116288003</v>
      </c>
      <c r="X93" s="359">
        <f t="shared" si="24"/>
        <v>-623.7788709220515</v>
      </c>
      <c r="Y93" s="356">
        <f t="shared" si="28"/>
        <v>623062.3830999666</v>
      </c>
      <c r="AA93" s="357">
        <f>+Bono!J93</f>
        <v>147180.86183478215</v>
      </c>
      <c r="AC93" s="378">
        <f t="shared" si="34"/>
        <v>5.833333333333333</v>
      </c>
      <c r="AD93" s="356">
        <f t="shared" si="35"/>
        <v>998829.2780722883</v>
      </c>
    </row>
    <row r="94" spans="2:30" x14ac:dyDescent="0.25">
      <c r="B94" s="356">
        <f t="shared" si="29"/>
        <v>71</v>
      </c>
      <c r="C94" s="357">
        <f t="shared" si="17"/>
        <v>5</v>
      </c>
      <c r="D94" s="357">
        <f t="shared" si="18"/>
        <v>11</v>
      </c>
      <c r="E94" s="357">
        <f t="shared" si="19"/>
        <v>34</v>
      </c>
      <c r="F94" s="356">
        <f t="shared" si="30"/>
        <v>228586.03313753958</v>
      </c>
      <c r="H94" s="356">
        <f t="shared" si="26"/>
        <v>1822.7771283247898</v>
      </c>
      <c r="I94" s="356">
        <v>0</v>
      </c>
      <c r="J94" s="356">
        <v>0</v>
      </c>
      <c r="K94" s="356">
        <f t="shared" si="31"/>
        <v>-230.40881026586436</v>
      </c>
      <c r="L94" s="356">
        <f t="shared" si="27"/>
        <v>230178.4014555985</v>
      </c>
      <c r="N94" s="356">
        <f t="shared" si="32"/>
        <v>71</v>
      </c>
      <c r="O94" s="357">
        <f t="shared" si="20"/>
        <v>5</v>
      </c>
      <c r="P94" s="357">
        <f t="shared" si="21"/>
        <v>11</v>
      </c>
      <c r="Q94" s="357">
        <f t="shared" si="22"/>
        <v>5</v>
      </c>
      <c r="R94" s="356">
        <f t="shared" si="33"/>
        <v>623062.3830999666</v>
      </c>
      <c r="S94" s="356">
        <f>IF($G$17="si",S82*(1+$G$20),S82)</f>
        <v>10000</v>
      </c>
      <c r="U94" s="356">
        <f t="shared" si="23"/>
        <v>5048.128343095606</v>
      </c>
      <c r="V94" s="359">
        <f t="shared" si="25"/>
        <v>-92.70895116288003</v>
      </c>
      <c r="X94" s="359">
        <f t="shared" si="24"/>
        <v>-638.1105114430623</v>
      </c>
      <c r="Y94" s="356">
        <f t="shared" si="28"/>
        <v>637379.6919804562</v>
      </c>
      <c r="AA94" s="357">
        <f>+Bono!J94</f>
        <v>148093.4002500811</v>
      </c>
      <c r="AC94" s="378">
        <f t="shared" si="34"/>
        <v>5.916666666666667</v>
      </c>
      <c r="AD94" s="356">
        <f t="shared" si="35"/>
        <v>1015651.4936861359</v>
      </c>
    </row>
    <row r="95" spans="2:30" x14ac:dyDescent="0.25">
      <c r="B95" s="356">
        <f t="shared" si="29"/>
        <v>72</v>
      </c>
      <c r="C95" s="357">
        <f t="shared" si="17"/>
        <v>5</v>
      </c>
      <c r="D95" s="357">
        <f t="shared" si="18"/>
        <v>12</v>
      </c>
      <c r="E95" s="357">
        <f t="shared" si="19"/>
        <v>34</v>
      </c>
      <c r="F95" s="356">
        <f t="shared" si="30"/>
        <v>230178.4014555985</v>
      </c>
      <c r="H95" s="356">
        <f t="shared" si="26"/>
        <v>1835.474896907529</v>
      </c>
      <c r="I95" s="356">
        <v>0</v>
      </c>
      <c r="J95" s="360">
        <f>-SUM(F95:H95)*$J$21</f>
        <v>-2088.1248871725543</v>
      </c>
      <c r="K95" s="356">
        <f t="shared" si="31"/>
        <v>-229.9257514653335</v>
      </c>
      <c r="L95" s="356">
        <f t="shared" si="27"/>
        <v>229695.82571386814</v>
      </c>
      <c r="N95" s="356">
        <f t="shared" si="32"/>
        <v>72</v>
      </c>
      <c r="O95" s="357">
        <f t="shared" si="20"/>
        <v>5</v>
      </c>
      <c r="P95" s="357">
        <f t="shared" si="21"/>
        <v>12</v>
      </c>
      <c r="Q95" s="357">
        <f t="shared" si="22"/>
        <v>5</v>
      </c>
      <c r="R95" s="356">
        <f t="shared" si="33"/>
        <v>637379.6919804562</v>
      </c>
      <c r="S95" s="356">
        <f>IF($G$4="mensual",S94,0)</f>
        <v>10000</v>
      </c>
      <c r="U95" s="356">
        <f t="shared" si="23"/>
        <v>5162.296574672622</v>
      </c>
      <c r="V95" s="359">
        <f t="shared" si="25"/>
        <v>-92.70895116288003</v>
      </c>
      <c r="X95" s="359">
        <f t="shared" si="24"/>
        <v>-652.5419885551288</v>
      </c>
      <c r="Y95" s="356">
        <f t="shared" si="28"/>
        <v>651796.7376154108</v>
      </c>
      <c r="AA95" s="357">
        <f>+Bono!J95</f>
        <v>147669.14969400276</v>
      </c>
      <c r="AC95" s="378">
        <f t="shared" si="34"/>
        <v>6</v>
      </c>
      <c r="AD95" s="356">
        <f t="shared" si="35"/>
        <v>1029161.7130232818</v>
      </c>
    </row>
    <row r="96" spans="2:30" x14ac:dyDescent="0.25">
      <c r="B96" s="356">
        <f t="shared" si="29"/>
        <v>73</v>
      </c>
      <c r="C96" s="357">
        <f t="shared" si="17"/>
        <v>6</v>
      </c>
      <c r="D96" s="357">
        <f t="shared" si="18"/>
        <v>1</v>
      </c>
      <c r="E96" s="357">
        <f t="shared" si="19"/>
        <v>35</v>
      </c>
      <c r="F96" s="356">
        <f t="shared" si="30"/>
        <v>229695.82571386814</v>
      </c>
      <c r="H96" s="356">
        <f t="shared" si="26"/>
        <v>1831.6267701753889</v>
      </c>
      <c r="I96" s="356">
        <v>0</v>
      </c>
      <c r="J96" s="356">
        <v>0</v>
      </c>
      <c r="K96" s="356">
        <f t="shared" si="31"/>
        <v>-231.52745248404352</v>
      </c>
      <c r="L96" s="356">
        <f t="shared" si="27"/>
        <v>231295.92503155948</v>
      </c>
      <c r="N96" s="356">
        <f t="shared" si="32"/>
        <v>73</v>
      </c>
      <c r="O96" s="357">
        <f t="shared" si="20"/>
        <v>6</v>
      </c>
      <c r="P96" s="357">
        <f t="shared" si="21"/>
        <v>1</v>
      </c>
      <c r="Q96" s="357">
        <f t="shared" si="22"/>
        <v>6</v>
      </c>
      <c r="R96" s="356">
        <f t="shared" si="33"/>
        <v>651796.7376154108</v>
      </c>
      <c r="S96" s="356">
        <f>IF($G$17="si",S84*(1+$G$20),S84)</f>
        <v>10000</v>
      </c>
      <c r="U96" s="356">
        <f t="shared" si="23"/>
        <v>5277.260121135664</v>
      </c>
      <c r="V96" s="359">
        <f>(V95*(1+$G$18))</f>
        <v>-96.41730920939523</v>
      </c>
      <c r="X96" s="359">
        <f t="shared" si="24"/>
        <v>-667.0739977365464</v>
      </c>
      <c r="Y96" s="356">
        <f t="shared" si="28"/>
        <v>666310.5064296005</v>
      </c>
      <c r="AA96" s="357">
        <f>+Bono!J96</f>
        <v>148584.71555066676</v>
      </c>
      <c r="AC96" s="378">
        <f t="shared" si="34"/>
        <v>6.083333333333333</v>
      </c>
      <c r="AD96" s="356">
        <f t="shared" si="35"/>
        <v>1046191.1470118267</v>
      </c>
    </row>
    <row r="97" spans="2:30" x14ac:dyDescent="0.25">
      <c r="B97" s="356">
        <f t="shared" si="29"/>
        <v>74</v>
      </c>
      <c r="C97" s="357">
        <f t="shared" si="17"/>
        <v>6</v>
      </c>
      <c r="D97" s="357">
        <f t="shared" si="18"/>
        <v>2</v>
      </c>
      <c r="E97" s="357">
        <f t="shared" si="19"/>
        <v>35</v>
      </c>
      <c r="F97" s="356">
        <f t="shared" si="30"/>
        <v>231295.92503155948</v>
      </c>
      <c r="H97" s="356">
        <f t="shared" si="26"/>
        <v>1844.3861868348527</v>
      </c>
      <c r="I97" s="356">
        <v>0</v>
      </c>
      <c r="J97" s="356">
        <v>0</v>
      </c>
      <c r="K97" s="356">
        <f t="shared" si="31"/>
        <v>-233.14031121839434</v>
      </c>
      <c r="L97" s="356">
        <f t="shared" si="27"/>
        <v>232907.17090717595</v>
      </c>
      <c r="N97" s="356">
        <f t="shared" si="32"/>
        <v>74</v>
      </c>
      <c r="O97" s="357">
        <f t="shared" si="20"/>
        <v>6</v>
      </c>
      <c r="P97" s="357">
        <f t="shared" si="21"/>
        <v>2</v>
      </c>
      <c r="Q97" s="357">
        <f t="shared" si="22"/>
        <v>6</v>
      </c>
      <c r="R97" s="356">
        <f t="shared" si="33"/>
        <v>666310.5064296005</v>
      </c>
      <c r="S97" s="356">
        <f>IF($G$4="mensual",S96,0)</f>
        <v>10000</v>
      </c>
      <c r="U97" s="356">
        <f t="shared" si="23"/>
        <v>5392.994951812657</v>
      </c>
      <c r="V97" s="359">
        <f t="shared" si="25"/>
        <v>-96.41730920939523</v>
      </c>
      <c r="X97" s="359">
        <f t="shared" si="24"/>
        <v>-681.7035013814132</v>
      </c>
      <c r="Y97" s="356">
        <f t="shared" si="28"/>
        <v>680925.3805708224</v>
      </c>
      <c r="AA97" s="357">
        <f>+Bono!J97</f>
        <v>149505.95802184116</v>
      </c>
      <c r="AC97" s="378">
        <f t="shared" si="34"/>
        <v>6.166666666666667</v>
      </c>
      <c r="AD97" s="356">
        <f t="shared" si="35"/>
        <v>1063338.5094998395</v>
      </c>
    </row>
    <row r="98" spans="2:30" x14ac:dyDescent="0.25">
      <c r="B98" s="356">
        <f t="shared" si="29"/>
        <v>75</v>
      </c>
      <c r="C98" s="357">
        <f t="shared" si="17"/>
        <v>6</v>
      </c>
      <c r="D98" s="357">
        <f t="shared" si="18"/>
        <v>3</v>
      </c>
      <c r="E98" s="357">
        <f t="shared" si="19"/>
        <v>35</v>
      </c>
      <c r="F98" s="356">
        <f t="shared" si="30"/>
        <v>232907.17090717595</v>
      </c>
      <c r="H98" s="356">
        <f t="shared" si="26"/>
        <v>1857.2344877125104</v>
      </c>
      <c r="I98" s="356">
        <v>0</v>
      </c>
      <c r="J98" s="360">
        <f>-SUM(F98:H98)*$J$21</f>
        <v>-2112.8796485539965</v>
      </c>
      <c r="K98" s="356">
        <f t="shared" si="31"/>
        <v>-232.65152574633447</v>
      </c>
      <c r="L98" s="356">
        <f t="shared" si="27"/>
        <v>232418.87422058813</v>
      </c>
      <c r="N98" s="356">
        <f t="shared" si="32"/>
        <v>75</v>
      </c>
      <c r="O98" s="357">
        <f t="shared" si="20"/>
        <v>6</v>
      </c>
      <c r="P98" s="357">
        <f t="shared" si="21"/>
        <v>3</v>
      </c>
      <c r="Q98" s="357">
        <f t="shared" si="22"/>
        <v>6</v>
      </c>
      <c r="R98" s="356">
        <f t="shared" si="33"/>
        <v>680925.3805708224</v>
      </c>
      <c r="S98" s="356">
        <f>IF($G$4="mensual",S97,0)</f>
        <v>10000</v>
      </c>
      <c r="U98" s="356">
        <f t="shared" si="23"/>
        <v>5509.5360105655145</v>
      </c>
      <c r="V98" s="359">
        <f t="shared" si="25"/>
        <v>-96.41730920939523</v>
      </c>
      <c r="X98" s="359">
        <f t="shared" si="24"/>
        <v>-696.4349165813878</v>
      </c>
      <c r="Y98" s="356">
        <f t="shared" si="28"/>
        <v>695642.0643555971</v>
      </c>
      <c r="AA98" s="357">
        <f>+Bono!J98</f>
        <v>149077.6608410034</v>
      </c>
      <c r="AC98" s="378">
        <f t="shared" si="34"/>
        <v>6.25</v>
      </c>
      <c r="AD98" s="356">
        <f t="shared" si="35"/>
        <v>1077138.5994171887</v>
      </c>
    </row>
    <row r="99" spans="2:30" x14ac:dyDescent="0.25">
      <c r="B99" s="356">
        <f t="shared" si="29"/>
        <v>76</v>
      </c>
      <c r="C99" s="357">
        <f t="shared" si="17"/>
        <v>6</v>
      </c>
      <c r="D99" s="357">
        <f t="shared" si="18"/>
        <v>4</v>
      </c>
      <c r="E99" s="357">
        <f t="shared" si="19"/>
        <v>35</v>
      </c>
      <c r="F99" s="356">
        <f t="shared" si="30"/>
        <v>232418.87422058813</v>
      </c>
      <c r="H99" s="356">
        <f t="shared" si="26"/>
        <v>1853.3407413626906</v>
      </c>
      <c r="I99" s="356">
        <v>0</v>
      </c>
      <c r="J99" s="356">
        <v>0</v>
      </c>
      <c r="K99" s="356">
        <f t="shared" si="31"/>
        <v>-234.27221496195082</v>
      </c>
      <c r="L99" s="356">
        <f t="shared" si="27"/>
        <v>234037.94274698888</v>
      </c>
      <c r="N99" s="356">
        <f t="shared" si="32"/>
        <v>76</v>
      </c>
      <c r="O99" s="357">
        <f t="shared" si="20"/>
        <v>6</v>
      </c>
      <c r="P99" s="357">
        <f t="shared" si="21"/>
        <v>4</v>
      </c>
      <c r="Q99" s="357">
        <f t="shared" si="22"/>
        <v>6</v>
      </c>
      <c r="R99" s="356">
        <f t="shared" si="33"/>
        <v>695642.0643555971</v>
      </c>
      <c r="S99" s="356">
        <f>IF($G$4="mensual",S96,IF($G$4="trimestral",S96,0))</f>
        <v>10000</v>
      </c>
      <c r="U99" s="356">
        <f t="shared" si="23"/>
        <v>5626.888913713079</v>
      </c>
      <c r="V99" s="359">
        <f t="shared" si="25"/>
        <v>-96.41730920939523</v>
      </c>
      <c r="X99" s="359">
        <f t="shared" si="24"/>
        <v>-711.2689532693101</v>
      </c>
      <c r="Y99" s="356">
        <f t="shared" si="28"/>
        <v>710461.2670068315</v>
      </c>
      <c r="AA99" s="357">
        <f>+Bono!J99</f>
        <v>150001.959630156</v>
      </c>
      <c r="AC99" s="378">
        <f t="shared" si="34"/>
        <v>6.333333333333333</v>
      </c>
      <c r="AD99" s="356">
        <f t="shared" si="35"/>
        <v>1094501.1693839764</v>
      </c>
    </row>
    <row r="100" spans="2:30" x14ac:dyDescent="0.25">
      <c r="B100" s="356">
        <f t="shared" si="29"/>
        <v>77</v>
      </c>
      <c r="C100" s="357">
        <f t="shared" ref="C100:C163" si="36">C88+1</f>
        <v>6</v>
      </c>
      <c r="D100" s="357">
        <f t="shared" ref="D100:D163" si="37">D88</f>
        <v>5</v>
      </c>
      <c r="E100" s="357">
        <f t="shared" ref="E100:E163" si="38">E88+1</f>
        <v>35</v>
      </c>
      <c r="F100" s="356">
        <f t="shared" si="30"/>
        <v>234037.94274698888</v>
      </c>
      <c r="H100" s="356">
        <f t="shared" si="26"/>
        <v>1866.2514211562286</v>
      </c>
      <c r="I100" s="356">
        <v>0</v>
      </c>
      <c r="J100" s="356">
        <v>0</v>
      </c>
      <c r="K100" s="356">
        <f t="shared" si="31"/>
        <v>-235.9041941681451</v>
      </c>
      <c r="L100" s="356">
        <f t="shared" si="27"/>
        <v>235668.28997397696</v>
      </c>
      <c r="N100" s="356">
        <f t="shared" si="32"/>
        <v>77</v>
      </c>
      <c r="O100" s="357">
        <f t="shared" ref="O100:O163" si="39">O88+1</f>
        <v>6</v>
      </c>
      <c r="P100" s="357">
        <f t="shared" ref="P100:P163" si="40">P88</f>
        <v>5</v>
      </c>
      <c r="Q100" s="357">
        <f t="shared" ref="Q100:Q163" si="41">Q88+1</f>
        <v>6</v>
      </c>
      <c r="R100" s="356">
        <f t="shared" si="33"/>
        <v>710461.2670068315</v>
      </c>
      <c r="S100" s="356">
        <f>IF($G$4="mensual",S99,0)</f>
        <v>10000</v>
      </c>
      <c r="U100" s="356">
        <f t="shared" ref="U100:U163" si="42">SUM(R100:T100)*$G$8</f>
        <v>5745.0593166984045</v>
      </c>
      <c r="V100" s="359">
        <f t="shared" si="25"/>
        <v>-96.41730920939523</v>
      </c>
      <c r="X100" s="359">
        <f t="shared" si="24"/>
        <v>-726.20632632353</v>
      </c>
      <c r="Y100" s="356">
        <f t="shared" si="28"/>
        <v>725383.702687997</v>
      </c>
      <c r="AA100" s="357">
        <f>+Bono!J100</f>
        <v>150931.98917901336</v>
      </c>
      <c r="AC100" s="378">
        <f t="shared" si="34"/>
        <v>6.416666666666667</v>
      </c>
      <c r="AD100" s="356">
        <f t="shared" si="35"/>
        <v>1111983.9818409875</v>
      </c>
    </row>
    <row r="101" spans="2:30" x14ac:dyDescent="0.25">
      <c r="B101" s="356">
        <f t="shared" si="29"/>
        <v>78</v>
      </c>
      <c r="C101" s="357">
        <f t="shared" si="36"/>
        <v>6</v>
      </c>
      <c r="D101" s="357">
        <f t="shared" si="37"/>
        <v>6</v>
      </c>
      <c r="E101" s="357">
        <f t="shared" si="38"/>
        <v>35</v>
      </c>
      <c r="F101" s="356">
        <f t="shared" si="30"/>
        <v>235668.28997397696</v>
      </c>
      <c r="H101" s="356">
        <f t="shared" si="26"/>
        <v>1879.2520388921052</v>
      </c>
      <c r="I101" s="356">
        <v>0</v>
      </c>
      <c r="J101" s="360">
        <f>-SUM(F101:H101)*$J$21</f>
        <v>-2137.927878115822</v>
      </c>
      <c r="K101" s="356">
        <f t="shared" si="31"/>
        <v>-235.40961413475324</v>
      </c>
      <c r="L101" s="356">
        <f t="shared" si="27"/>
        <v>235174.20452061848</v>
      </c>
      <c r="N101" s="356">
        <f t="shared" si="32"/>
        <v>78</v>
      </c>
      <c r="O101" s="357">
        <f t="shared" si="39"/>
        <v>6</v>
      </c>
      <c r="P101" s="357">
        <f t="shared" si="40"/>
        <v>6</v>
      </c>
      <c r="Q101" s="357">
        <f t="shared" si="41"/>
        <v>6</v>
      </c>
      <c r="R101" s="356">
        <f t="shared" si="33"/>
        <v>725383.702687997</v>
      </c>
      <c r="S101" s="356">
        <f>IF($G$4="mensual",S100,0)</f>
        <v>10000</v>
      </c>
      <c r="U101" s="356">
        <f t="shared" si="42"/>
        <v>5864.052914361303</v>
      </c>
      <c r="V101" s="359">
        <f t="shared" si="25"/>
        <v>-96.41730920939523</v>
      </c>
      <c r="X101" s="359">
        <f t="shared" si="24"/>
        <v>-741.2477556023584</v>
      </c>
      <c r="Y101" s="356">
        <f t="shared" si="28"/>
        <v>740410.0905375467</v>
      </c>
      <c r="AA101" s="357">
        <f>+Bono!J101</f>
        <v>150499.6067755364</v>
      </c>
      <c r="AC101" s="378">
        <f t="shared" si="34"/>
        <v>6.5</v>
      </c>
      <c r="AD101" s="356">
        <f t="shared" si="35"/>
        <v>1126083.9018337016</v>
      </c>
    </row>
    <row r="102" spans="2:30" x14ac:dyDescent="0.25">
      <c r="B102" s="356">
        <f t="shared" si="29"/>
        <v>79</v>
      </c>
      <c r="C102" s="357">
        <f t="shared" si="36"/>
        <v>6</v>
      </c>
      <c r="D102" s="357">
        <f t="shared" si="37"/>
        <v>7</v>
      </c>
      <c r="E102" s="357">
        <f t="shared" si="38"/>
        <v>35</v>
      </c>
      <c r="F102" s="356">
        <f t="shared" si="30"/>
        <v>235174.20452061848</v>
      </c>
      <c r="H102" s="356">
        <f t="shared" si="26"/>
        <v>1875.3121321031463</v>
      </c>
      <c r="I102" s="356">
        <v>0</v>
      </c>
      <c r="J102" s="356">
        <v>0</v>
      </c>
      <c r="K102" s="356">
        <f t="shared" si="31"/>
        <v>-237.04951665272162</v>
      </c>
      <c r="L102" s="356">
        <f t="shared" si="27"/>
        <v>236812.4671360689</v>
      </c>
      <c r="N102" s="356">
        <f t="shared" si="32"/>
        <v>79</v>
      </c>
      <c r="O102" s="357">
        <f t="shared" si="39"/>
        <v>6</v>
      </c>
      <c r="P102" s="357">
        <f t="shared" si="40"/>
        <v>7</v>
      </c>
      <c r="Q102" s="357">
        <f t="shared" si="41"/>
        <v>6</v>
      </c>
      <c r="R102" s="356">
        <f t="shared" si="33"/>
        <v>740410.0905375467</v>
      </c>
      <c r="S102" s="356">
        <f>+IF($G$4="mensual",S96,IF($G$4="trimestral",S96,IF($G$4="semestral",S96,0)))</f>
        <v>10000</v>
      </c>
      <c r="U102" s="356">
        <f t="shared" si="42"/>
        <v>5983.875441212785</v>
      </c>
      <c r="V102" s="359">
        <f t="shared" si="25"/>
        <v>-96.41730920939523</v>
      </c>
      <c r="X102" s="359">
        <f t="shared" si="24"/>
        <v>-756.3939659787595</v>
      </c>
      <c r="Y102" s="356">
        <f t="shared" si="28"/>
        <v>755541.1547035713</v>
      </c>
      <c r="AA102" s="357">
        <f>+Bono!J102</f>
        <v>151432.7217944186</v>
      </c>
      <c r="AC102" s="378">
        <f t="shared" si="34"/>
        <v>6.583333333333333</v>
      </c>
      <c r="AD102" s="356">
        <f t="shared" si="35"/>
        <v>1143786.343634059</v>
      </c>
    </row>
    <row r="103" spans="2:30" x14ac:dyDescent="0.25">
      <c r="B103" s="356">
        <f t="shared" si="29"/>
        <v>80</v>
      </c>
      <c r="C103" s="357">
        <f t="shared" si="36"/>
        <v>6</v>
      </c>
      <c r="D103" s="357">
        <f t="shared" si="37"/>
        <v>8</v>
      </c>
      <c r="E103" s="357">
        <f t="shared" si="38"/>
        <v>35</v>
      </c>
      <c r="F103" s="356">
        <f t="shared" si="30"/>
        <v>236812.4671360689</v>
      </c>
      <c r="H103" s="356">
        <f t="shared" si="26"/>
        <v>1888.375868258171</v>
      </c>
      <c r="I103" s="356">
        <v>0</v>
      </c>
      <c r="J103" s="356">
        <v>0</v>
      </c>
      <c r="K103" s="356">
        <f t="shared" si="31"/>
        <v>-238.7008430043271</v>
      </c>
      <c r="L103" s="356">
        <f t="shared" si="27"/>
        <v>238462.14216132276</v>
      </c>
      <c r="N103" s="356">
        <f t="shared" si="32"/>
        <v>80</v>
      </c>
      <c r="O103" s="357">
        <f t="shared" si="39"/>
        <v>6</v>
      </c>
      <c r="P103" s="357">
        <f t="shared" si="40"/>
        <v>8</v>
      </c>
      <c r="Q103" s="357">
        <f t="shared" si="41"/>
        <v>6</v>
      </c>
      <c r="R103" s="356">
        <f t="shared" si="33"/>
        <v>755541.1547035713</v>
      </c>
      <c r="S103" s="356">
        <f>IF($G$4="mensual",S102,0)</f>
        <v>10000</v>
      </c>
      <c r="U103" s="356">
        <f t="shared" si="42"/>
        <v>6104.532671711419</v>
      </c>
      <c r="V103" s="359">
        <f t="shared" si="25"/>
        <v>-96.41730920939523</v>
      </c>
      <c r="X103" s="359">
        <f t="shared" si="24"/>
        <v>-771.6456873752828</v>
      </c>
      <c r="Y103" s="356">
        <f t="shared" si="28"/>
        <v>770777.6243786981</v>
      </c>
      <c r="AA103" s="357">
        <f>+Bono!J103</f>
        <v>152371.62223465255</v>
      </c>
      <c r="AC103" s="378">
        <f t="shared" si="34"/>
        <v>6.666666666666667</v>
      </c>
      <c r="AD103" s="356">
        <f t="shared" si="35"/>
        <v>1161611.3887746735</v>
      </c>
    </row>
    <row r="104" spans="2:30" x14ac:dyDescent="0.25">
      <c r="B104" s="356">
        <f t="shared" si="29"/>
        <v>81</v>
      </c>
      <c r="C104" s="357">
        <f t="shared" si="36"/>
        <v>6</v>
      </c>
      <c r="D104" s="357">
        <f t="shared" si="37"/>
        <v>9</v>
      </c>
      <c r="E104" s="357">
        <f t="shared" si="38"/>
        <v>35</v>
      </c>
      <c r="F104" s="356">
        <f t="shared" si="30"/>
        <v>238462.14216132276</v>
      </c>
      <c r="H104" s="356">
        <f t="shared" si="26"/>
        <v>1901.5306085716006</v>
      </c>
      <c r="I104" s="356">
        <v>0</v>
      </c>
      <c r="J104" s="360">
        <f>-SUM(F104:H104)*$J$21</f>
        <v>-2163.2730549290495</v>
      </c>
      <c r="K104" s="356">
        <f t="shared" si="31"/>
        <v>-238.20039971496533</v>
      </c>
      <c r="L104" s="356">
        <f t="shared" si="27"/>
        <v>237962.19931525036</v>
      </c>
      <c r="N104" s="356">
        <f t="shared" si="32"/>
        <v>81</v>
      </c>
      <c r="O104" s="357">
        <f t="shared" si="39"/>
        <v>6</v>
      </c>
      <c r="P104" s="357">
        <f t="shared" si="40"/>
        <v>9</v>
      </c>
      <c r="Q104" s="357">
        <f t="shared" si="41"/>
        <v>6</v>
      </c>
      <c r="R104" s="356">
        <f t="shared" si="33"/>
        <v>770777.6243786981</v>
      </c>
      <c r="S104" s="356">
        <f>IF($G$4="mensual",S103,0)</f>
        <v>10000</v>
      </c>
      <c r="U104" s="356">
        <f t="shared" si="42"/>
        <v>6226.030420541613</v>
      </c>
      <c r="V104" s="359">
        <f t="shared" si="25"/>
        <v>-96.41730920939523</v>
      </c>
      <c r="X104" s="359">
        <f t="shared" si="24"/>
        <v>-787.0036547992397</v>
      </c>
      <c r="Y104" s="356">
        <f t="shared" si="28"/>
        <v>786120.2338352312</v>
      </c>
      <c r="AA104" s="357">
        <f>+Bono!J104</f>
        <v>151935.1156424989</v>
      </c>
      <c r="AC104" s="378">
        <f t="shared" si="34"/>
        <v>6.75</v>
      </c>
      <c r="AD104" s="356">
        <f t="shared" si="35"/>
        <v>1176017.5487929804</v>
      </c>
    </row>
    <row r="105" spans="2:30" x14ac:dyDescent="0.25">
      <c r="B105" s="356">
        <f t="shared" si="29"/>
        <v>82</v>
      </c>
      <c r="C105" s="357">
        <f t="shared" si="36"/>
        <v>6</v>
      </c>
      <c r="D105" s="357">
        <f t="shared" si="37"/>
        <v>10</v>
      </c>
      <c r="E105" s="357">
        <f t="shared" si="38"/>
        <v>35</v>
      </c>
      <c r="F105" s="356">
        <f t="shared" si="30"/>
        <v>237962.19931525036</v>
      </c>
      <c r="H105" s="356">
        <f t="shared" si="26"/>
        <v>1897.5439941105935</v>
      </c>
      <c r="I105" s="356">
        <v>0</v>
      </c>
      <c r="J105" s="356">
        <v>0</v>
      </c>
      <c r="K105" s="356">
        <f t="shared" si="31"/>
        <v>-239.85974330936097</v>
      </c>
      <c r="L105" s="356">
        <f t="shared" si="27"/>
        <v>239619.8835660516</v>
      </c>
      <c r="N105" s="356">
        <f t="shared" si="32"/>
        <v>82</v>
      </c>
      <c r="O105" s="357">
        <f t="shared" si="39"/>
        <v>6</v>
      </c>
      <c r="P105" s="357">
        <f t="shared" si="40"/>
        <v>10</v>
      </c>
      <c r="Q105" s="357">
        <f t="shared" si="41"/>
        <v>6</v>
      </c>
      <c r="R105" s="356">
        <f t="shared" si="33"/>
        <v>786120.2338352312</v>
      </c>
      <c r="S105" s="356">
        <f>IF($G$4="mensual",S96,IF($G$4="trimestral",S96,0))</f>
        <v>10000</v>
      </c>
      <c r="U105" s="356">
        <f t="shared" si="42"/>
        <v>6348.3745428938355</v>
      </c>
      <c r="V105" s="359">
        <f t="shared" si="25"/>
        <v>-96.41730920939523</v>
      </c>
      <c r="X105" s="359">
        <f t="shared" si="24"/>
        <v>-802.468608378125</v>
      </c>
      <c r="Y105" s="356">
        <f t="shared" si="28"/>
        <v>801569.7224605376</v>
      </c>
      <c r="AA105" s="357">
        <f>+Bono!J105</f>
        <v>152877.130982865</v>
      </c>
      <c r="AC105" s="378">
        <f t="shared" si="34"/>
        <v>6.833333333333333</v>
      </c>
      <c r="AD105" s="356">
        <f t="shared" si="35"/>
        <v>1194066.737009454</v>
      </c>
    </row>
    <row r="106" spans="2:30" x14ac:dyDescent="0.25">
      <c r="B106" s="356">
        <f t="shared" si="29"/>
        <v>83</v>
      </c>
      <c r="C106" s="357">
        <f t="shared" si="36"/>
        <v>6</v>
      </c>
      <c r="D106" s="357">
        <f t="shared" si="37"/>
        <v>11</v>
      </c>
      <c r="E106" s="357">
        <f t="shared" si="38"/>
        <v>35</v>
      </c>
      <c r="F106" s="356">
        <f t="shared" si="30"/>
        <v>239619.8835660516</v>
      </c>
      <c r="H106" s="356">
        <f t="shared" si="26"/>
        <v>1910.7626011132647</v>
      </c>
      <c r="I106" s="356">
        <v>0</v>
      </c>
      <c r="J106" s="356">
        <v>0</v>
      </c>
      <c r="K106" s="356">
        <f t="shared" si="31"/>
        <v>-241.5306461671649</v>
      </c>
      <c r="L106" s="356">
        <f t="shared" si="27"/>
        <v>241289.1155209977</v>
      </c>
      <c r="N106" s="356">
        <f t="shared" si="32"/>
        <v>83</v>
      </c>
      <c r="O106" s="357">
        <f t="shared" si="39"/>
        <v>6</v>
      </c>
      <c r="P106" s="357">
        <f t="shared" si="40"/>
        <v>11</v>
      </c>
      <c r="Q106" s="357">
        <f t="shared" si="41"/>
        <v>6</v>
      </c>
      <c r="R106" s="356">
        <f t="shared" si="33"/>
        <v>801569.7224605376</v>
      </c>
      <c r="S106" s="356">
        <f>IF($G$17="si",S94*(1+$G$20),S94)</f>
        <v>10000</v>
      </c>
      <c r="U106" s="356">
        <f t="shared" si="42"/>
        <v>6471.57093474678</v>
      </c>
      <c r="V106" s="359">
        <f t="shared" si="25"/>
        <v>-96.41730920939523</v>
      </c>
      <c r="X106" s="359">
        <f t="shared" si="24"/>
        <v>-818.0412933952844</v>
      </c>
      <c r="Y106" s="356">
        <f t="shared" si="28"/>
        <v>817126.8347926796</v>
      </c>
      <c r="AA106" s="357">
        <f>+Bono!J106</f>
        <v>153824.98692760838</v>
      </c>
      <c r="AC106" s="378">
        <f t="shared" si="34"/>
        <v>6.916666666666667</v>
      </c>
      <c r="AD106" s="356">
        <f t="shared" si="35"/>
        <v>1212240.9372412858</v>
      </c>
    </row>
    <row r="107" spans="2:30" x14ac:dyDescent="0.25">
      <c r="B107" s="356">
        <f t="shared" si="29"/>
        <v>84</v>
      </c>
      <c r="C107" s="357">
        <f t="shared" si="36"/>
        <v>6</v>
      </c>
      <c r="D107" s="357">
        <f t="shared" si="37"/>
        <v>12</v>
      </c>
      <c r="E107" s="357">
        <f t="shared" si="38"/>
        <v>35</v>
      </c>
      <c r="F107" s="356">
        <f t="shared" si="30"/>
        <v>241289.1155209977</v>
      </c>
      <c r="H107" s="356">
        <f t="shared" si="26"/>
        <v>1924.0732911304185</v>
      </c>
      <c r="I107" s="356">
        <v>0</v>
      </c>
      <c r="J107" s="360">
        <f>-SUM(F107:H107)*$J$21</f>
        <v>-2188.9186993091535</v>
      </c>
      <c r="K107" s="356">
        <f t="shared" si="31"/>
        <v>-241.02427011281898</v>
      </c>
      <c r="L107" s="356">
        <f t="shared" si="27"/>
        <v>240783.24584270615</v>
      </c>
      <c r="N107" s="356">
        <f t="shared" si="32"/>
        <v>84</v>
      </c>
      <c r="O107" s="357">
        <f t="shared" si="39"/>
        <v>6</v>
      </c>
      <c r="P107" s="357">
        <f t="shared" si="40"/>
        <v>12</v>
      </c>
      <c r="Q107" s="357">
        <f t="shared" si="41"/>
        <v>6</v>
      </c>
      <c r="R107" s="356">
        <f t="shared" si="33"/>
        <v>817126.8347926796</v>
      </c>
      <c r="S107" s="356">
        <f>IF($G$4="mensual",S106,0)</f>
        <v>10000</v>
      </c>
      <c r="U107" s="356">
        <f t="shared" si="42"/>
        <v>6595.625533151511</v>
      </c>
      <c r="V107" s="359">
        <f t="shared" si="25"/>
        <v>-96.41730920939523</v>
      </c>
      <c r="X107" s="359">
        <f t="shared" ref="X107:X170" si="43">-SUM(R107:U107)*0.1%</f>
        <v>-833.7224603258312</v>
      </c>
      <c r="Y107" s="356">
        <f t="shared" si="28"/>
        <v>832792.320556296</v>
      </c>
      <c r="AA107" s="357">
        <f>+Bono!J107</f>
        <v>153384.3168090712</v>
      </c>
      <c r="AC107" s="378">
        <f t="shared" si="34"/>
        <v>7</v>
      </c>
      <c r="AD107" s="356">
        <f t="shared" si="35"/>
        <v>1226959.8832080734</v>
      </c>
    </row>
    <row r="108" spans="2:30" x14ac:dyDescent="0.25">
      <c r="B108" s="356">
        <f t="shared" si="29"/>
        <v>85</v>
      </c>
      <c r="C108" s="357">
        <f t="shared" si="36"/>
        <v>7</v>
      </c>
      <c r="D108" s="357">
        <f t="shared" si="37"/>
        <v>1</v>
      </c>
      <c r="E108" s="357">
        <f t="shared" si="38"/>
        <v>36</v>
      </c>
      <c r="F108" s="356">
        <f t="shared" si="30"/>
        <v>240783.24584270615</v>
      </c>
      <c r="H108" s="356">
        <f t="shared" si="26"/>
        <v>1920.0394152769973</v>
      </c>
      <c r="I108" s="356">
        <v>0</v>
      </c>
      <c r="J108" s="356">
        <v>0</v>
      </c>
      <c r="K108" s="356">
        <f t="shared" si="31"/>
        <v>-242.70328525798314</v>
      </c>
      <c r="L108" s="356">
        <f t="shared" si="27"/>
        <v>242460.58197272517</v>
      </c>
      <c r="N108" s="356">
        <f t="shared" si="32"/>
        <v>85</v>
      </c>
      <c r="O108" s="357">
        <f t="shared" si="39"/>
        <v>7</v>
      </c>
      <c r="P108" s="357">
        <f t="shared" si="40"/>
        <v>1</v>
      </c>
      <c r="Q108" s="357">
        <f t="shared" si="41"/>
        <v>7</v>
      </c>
      <c r="R108" s="356">
        <f t="shared" si="33"/>
        <v>832792.320556296</v>
      </c>
      <c r="S108" s="356">
        <f>IF($G$17="si",S96*(1+$G$20),S96)</f>
        <v>10000</v>
      </c>
      <c r="U108" s="356">
        <f t="shared" si="42"/>
        <v>6720.544316517581</v>
      </c>
      <c r="V108" s="359">
        <f>(V107*(1+$G$18))</f>
        <v>-100.27400157777105</v>
      </c>
      <c r="X108" s="359">
        <f t="shared" si="43"/>
        <v>-849.5128648728136</v>
      </c>
      <c r="Y108" s="356">
        <f t="shared" si="28"/>
        <v>848563.078006363</v>
      </c>
      <c r="AA108" s="357">
        <f>+Bono!J108</f>
        <v>154335.31736476696</v>
      </c>
      <c r="AC108" s="378">
        <f t="shared" si="34"/>
        <v>7.083333333333333</v>
      </c>
      <c r="AD108" s="356">
        <f t="shared" si="35"/>
        <v>1245358.9773438552</v>
      </c>
    </row>
    <row r="109" spans="2:30" x14ac:dyDescent="0.25">
      <c r="B109" s="356">
        <f t="shared" si="29"/>
        <v>86</v>
      </c>
      <c r="C109" s="357">
        <f t="shared" si="36"/>
        <v>7</v>
      </c>
      <c r="D109" s="357">
        <f t="shared" si="37"/>
        <v>2</v>
      </c>
      <c r="E109" s="357">
        <f t="shared" si="38"/>
        <v>36</v>
      </c>
      <c r="F109" s="356">
        <f t="shared" si="30"/>
        <v>242460.58197272517</v>
      </c>
      <c r="H109" s="356">
        <f t="shared" si="26"/>
        <v>1933.414729124243</v>
      </c>
      <c r="I109" s="356">
        <v>0</v>
      </c>
      <c r="J109" s="356">
        <v>0</v>
      </c>
      <c r="K109" s="356">
        <f t="shared" si="31"/>
        <v>-244.39399670184943</v>
      </c>
      <c r="L109" s="356">
        <f t="shared" si="27"/>
        <v>244149.60270514758</v>
      </c>
      <c r="N109" s="356">
        <f t="shared" si="32"/>
        <v>86</v>
      </c>
      <c r="O109" s="357">
        <f t="shared" si="39"/>
        <v>7</v>
      </c>
      <c r="P109" s="357">
        <f t="shared" si="40"/>
        <v>2</v>
      </c>
      <c r="Q109" s="357">
        <f t="shared" si="41"/>
        <v>7</v>
      </c>
      <c r="R109" s="356">
        <f t="shared" si="33"/>
        <v>848563.078006363</v>
      </c>
      <c r="S109" s="356">
        <f>IF($G$4="mensual",S108,0)</f>
        <v>10000</v>
      </c>
      <c r="U109" s="356">
        <f t="shared" si="42"/>
        <v>6846.302551094595</v>
      </c>
      <c r="V109" s="359">
        <f t="shared" si="25"/>
        <v>-100.27400157777105</v>
      </c>
      <c r="X109" s="359">
        <f t="shared" si="43"/>
        <v>-865.4093805574576</v>
      </c>
      <c r="Y109" s="356">
        <f t="shared" si="28"/>
        <v>864443.6971753223</v>
      </c>
      <c r="AA109" s="357">
        <f>+Bono!J109</f>
        <v>155292.21423421727</v>
      </c>
      <c r="AC109" s="378">
        <f t="shared" si="34"/>
        <v>7.166666666666667</v>
      </c>
      <c r="AD109" s="356">
        <f t="shared" si="35"/>
        <v>1263885.5141146872</v>
      </c>
    </row>
    <row r="110" spans="2:30" x14ac:dyDescent="0.25">
      <c r="B110" s="356">
        <f t="shared" si="29"/>
        <v>87</v>
      </c>
      <c r="C110" s="357">
        <f t="shared" si="36"/>
        <v>7</v>
      </c>
      <c r="D110" s="357">
        <f t="shared" si="37"/>
        <v>3</v>
      </c>
      <c r="E110" s="357">
        <f t="shared" si="38"/>
        <v>36</v>
      </c>
      <c r="F110" s="356">
        <f t="shared" si="30"/>
        <v>244149.60270514758</v>
      </c>
      <c r="H110" s="356">
        <f t="shared" si="26"/>
        <v>1946.8832176319092</v>
      </c>
      <c r="I110" s="356">
        <v>0</v>
      </c>
      <c r="J110" s="360">
        <f>-SUM(F110:H110)*$J$21</f>
        <v>-2214.8683733050157</v>
      </c>
      <c r="K110" s="356">
        <f t="shared" si="31"/>
        <v>-243.88161754947447</v>
      </c>
      <c r="L110" s="356">
        <f t="shared" si="27"/>
        <v>243637.73593192498</v>
      </c>
      <c r="N110" s="356">
        <f t="shared" si="32"/>
        <v>87</v>
      </c>
      <c r="O110" s="357">
        <f t="shared" si="39"/>
        <v>7</v>
      </c>
      <c r="P110" s="357">
        <f t="shared" si="40"/>
        <v>3</v>
      </c>
      <c r="Q110" s="357">
        <f t="shared" si="41"/>
        <v>7</v>
      </c>
      <c r="R110" s="356">
        <f t="shared" si="33"/>
        <v>864443.6971753223</v>
      </c>
      <c r="S110" s="356">
        <f>IF($G$4="mensual",S109,0)</f>
        <v>10000</v>
      </c>
      <c r="U110" s="356">
        <f t="shared" si="42"/>
        <v>6972.9368384458185</v>
      </c>
      <c r="V110" s="359">
        <f t="shared" si="25"/>
        <v>-100.27400157777105</v>
      </c>
      <c r="X110" s="359">
        <f t="shared" si="43"/>
        <v>-881.4166340137682</v>
      </c>
      <c r="Y110" s="356">
        <f t="shared" si="28"/>
        <v>880434.9433781767</v>
      </c>
      <c r="AA110" s="357">
        <f>+Bono!J110</f>
        <v>154847.34087637524</v>
      </c>
      <c r="AC110" s="378">
        <f t="shared" si="34"/>
        <v>7.25</v>
      </c>
      <c r="AD110" s="356">
        <f t="shared" si="35"/>
        <v>1278920.0201864769</v>
      </c>
    </row>
    <row r="111" spans="2:30" x14ac:dyDescent="0.25">
      <c r="B111" s="356">
        <f t="shared" si="29"/>
        <v>88</v>
      </c>
      <c r="C111" s="357">
        <f t="shared" si="36"/>
        <v>7</v>
      </c>
      <c r="D111" s="357">
        <f t="shared" si="37"/>
        <v>4</v>
      </c>
      <c r="E111" s="357">
        <f t="shared" si="38"/>
        <v>36</v>
      </c>
      <c r="F111" s="356">
        <f t="shared" si="30"/>
        <v>243637.73593192498</v>
      </c>
      <c r="H111" s="356">
        <f t="shared" si="26"/>
        <v>1942.8015201013422</v>
      </c>
      <c r="I111" s="356">
        <v>0</v>
      </c>
      <c r="J111" s="356">
        <v>0</v>
      </c>
      <c r="K111" s="356">
        <f t="shared" si="31"/>
        <v>-245.58053745202633</v>
      </c>
      <c r="L111" s="356">
        <f t="shared" si="27"/>
        <v>245334.95691457432</v>
      </c>
      <c r="N111" s="356">
        <f t="shared" si="32"/>
        <v>88</v>
      </c>
      <c r="O111" s="357">
        <f t="shared" si="39"/>
        <v>7</v>
      </c>
      <c r="P111" s="357">
        <f t="shared" si="40"/>
        <v>4</v>
      </c>
      <c r="Q111" s="357">
        <f t="shared" si="41"/>
        <v>7</v>
      </c>
      <c r="R111" s="356">
        <f t="shared" si="33"/>
        <v>880434.9433781767</v>
      </c>
      <c r="S111" s="356">
        <f>IF($G$4="mensual",S108,IF($G$4="trimestral",S108,0))</f>
        <v>10000</v>
      </c>
      <c r="U111" s="356">
        <f t="shared" si="42"/>
        <v>7100.453281300553</v>
      </c>
      <c r="V111" s="359">
        <f t="shared" si="25"/>
        <v>-100.27400157777105</v>
      </c>
      <c r="X111" s="359">
        <f t="shared" si="43"/>
        <v>-897.5353966594773</v>
      </c>
      <c r="Y111" s="356">
        <f t="shared" si="28"/>
        <v>896537.58726124</v>
      </c>
      <c r="AA111" s="357">
        <f>+Bono!J111</f>
        <v>155807.4123509886</v>
      </c>
      <c r="AC111" s="378">
        <f t="shared" si="34"/>
        <v>7.333333333333333</v>
      </c>
      <c r="AD111" s="356">
        <f t="shared" si="35"/>
        <v>1297679.9565268029</v>
      </c>
    </row>
    <row r="112" spans="2:30" x14ac:dyDescent="0.25">
      <c r="B112" s="356">
        <f t="shared" si="29"/>
        <v>89</v>
      </c>
      <c r="C112" s="357">
        <f t="shared" si="36"/>
        <v>7</v>
      </c>
      <c r="D112" s="357">
        <f t="shared" si="37"/>
        <v>5</v>
      </c>
      <c r="E112" s="357">
        <f t="shared" si="38"/>
        <v>36</v>
      </c>
      <c r="F112" s="356">
        <f t="shared" si="30"/>
        <v>245334.95691457432</v>
      </c>
      <c r="H112" s="356">
        <f t="shared" si="26"/>
        <v>1956.3353985558701</v>
      </c>
      <c r="I112" s="356">
        <v>0</v>
      </c>
      <c r="J112" s="356">
        <v>0</v>
      </c>
      <c r="K112" s="356">
        <f t="shared" si="31"/>
        <v>-247.29129231313019</v>
      </c>
      <c r="L112" s="356">
        <f t="shared" si="27"/>
        <v>247044.00102081706</v>
      </c>
      <c r="N112" s="356">
        <f t="shared" si="32"/>
        <v>89</v>
      </c>
      <c r="O112" s="357">
        <f t="shared" si="39"/>
        <v>7</v>
      </c>
      <c r="P112" s="357">
        <f t="shared" si="40"/>
        <v>5</v>
      </c>
      <c r="Q112" s="357">
        <f t="shared" si="41"/>
        <v>7</v>
      </c>
      <c r="R112" s="356">
        <f t="shared" si="33"/>
        <v>896537.58726124</v>
      </c>
      <c r="S112" s="356">
        <f>IF($G$4="mensual",S111,0)</f>
        <v>10000</v>
      </c>
      <c r="U112" s="356">
        <f t="shared" si="42"/>
        <v>7228.858024900728</v>
      </c>
      <c r="V112" s="359">
        <f t="shared" si="25"/>
        <v>-100.27400157777105</v>
      </c>
      <c r="X112" s="359">
        <f t="shared" si="43"/>
        <v>-913.7664452861408</v>
      </c>
      <c r="Y112" s="356">
        <f t="shared" si="28"/>
        <v>912752.4048392769</v>
      </c>
      <c r="AA112" s="357">
        <f>+Bono!J112</f>
        <v>156773.43638010597</v>
      </c>
      <c r="AC112" s="378">
        <f t="shared" si="34"/>
        <v>7.416666666666667</v>
      </c>
      <c r="AD112" s="356">
        <f t="shared" si="35"/>
        <v>1316569.8422402</v>
      </c>
    </row>
    <row r="113" spans="2:30" x14ac:dyDescent="0.25">
      <c r="B113" s="356">
        <f t="shared" si="29"/>
        <v>90</v>
      </c>
      <c r="C113" s="357">
        <f t="shared" si="36"/>
        <v>7</v>
      </c>
      <c r="D113" s="357">
        <f t="shared" si="37"/>
        <v>6</v>
      </c>
      <c r="E113" s="357">
        <f t="shared" si="38"/>
        <v>36</v>
      </c>
      <c r="F113" s="356">
        <f t="shared" si="30"/>
        <v>247044.00102081706</v>
      </c>
      <c r="H113" s="356">
        <f t="shared" si="26"/>
        <v>1969.96355625824</v>
      </c>
      <c r="I113" s="356">
        <v>0</v>
      </c>
      <c r="J113" s="360">
        <f>-SUM(F113:H113)*$J$21</f>
        <v>-2241.125681193678</v>
      </c>
      <c r="K113" s="356">
        <f t="shared" si="31"/>
        <v>-246.77283889588162</v>
      </c>
      <c r="L113" s="356">
        <f t="shared" si="27"/>
        <v>246526.06605698573</v>
      </c>
      <c r="N113" s="356">
        <f t="shared" si="32"/>
        <v>90</v>
      </c>
      <c r="O113" s="357">
        <f t="shared" si="39"/>
        <v>7</v>
      </c>
      <c r="P113" s="357">
        <f t="shared" si="40"/>
        <v>6</v>
      </c>
      <c r="Q113" s="357">
        <f t="shared" si="41"/>
        <v>7</v>
      </c>
      <c r="R113" s="356">
        <f t="shared" si="33"/>
        <v>912752.4048392769</v>
      </c>
      <c r="S113" s="356">
        <f>IF($G$4="mensual",S112,0)</f>
        <v>10000</v>
      </c>
      <c r="U113" s="356">
        <f t="shared" si="42"/>
        <v>7358.157257297052</v>
      </c>
      <c r="V113" s="359">
        <f t="shared" ref="V113:V176" si="44">V112</f>
        <v>-100.27400157777105</v>
      </c>
      <c r="X113" s="359">
        <f t="shared" si="43"/>
        <v>-930.110562096574</v>
      </c>
      <c r="Y113" s="356">
        <f t="shared" si="28"/>
        <v>929080.1775328997</v>
      </c>
      <c r="AA113" s="357">
        <f>+Bono!J113</f>
        <v>156324.31969124437</v>
      </c>
      <c r="AC113" s="378">
        <f t="shared" si="34"/>
        <v>7.5</v>
      </c>
      <c r="AD113" s="356">
        <f t="shared" si="35"/>
        <v>1331930.5632811296</v>
      </c>
    </row>
    <row r="114" spans="2:30" x14ac:dyDescent="0.25">
      <c r="B114" s="356">
        <f t="shared" si="29"/>
        <v>91</v>
      </c>
      <c r="C114" s="357">
        <f t="shared" si="36"/>
        <v>7</v>
      </c>
      <c r="D114" s="357">
        <f t="shared" si="37"/>
        <v>7</v>
      </c>
      <c r="E114" s="357">
        <f t="shared" si="38"/>
        <v>36</v>
      </c>
      <c r="F114" s="356">
        <f t="shared" si="30"/>
        <v>246526.06605698573</v>
      </c>
      <c r="H114" s="356">
        <f t="shared" si="26"/>
        <v>1965.83347012361</v>
      </c>
      <c r="I114" s="356">
        <v>0</v>
      </c>
      <c r="J114" s="356">
        <v>0</v>
      </c>
      <c r="K114" s="356">
        <f t="shared" si="31"/>
        <v>-248.49189952710935</v>
      </c>
      <c r="L114" s="356">
        <f t="shared" si="27"/>
        <v>248243.40762758223</v>
      </c>
      <c r="N114" s="356">
        <f t="shared" si="32"/>
        <v>91</v>
      </c>
      <c r="O114" s="357">
        <f t="shared" si="39"/>
        <v>7</v>
      </c>
      <c r="P114" s="357">
        <f t="shared" si="40"/>
        <v>7</v>
      </c>
      <c r="Q114" s="357">
        <f t="shared" si="41"/>
        <v>7</v>
      </c>
      <c r="R114" s="356">
        <f t="shared" si="33"/>
        <v>929080.1775328997</v>
      </c>
      <c r="S114" s="356">
        <f>+IF($G$4="mensual",S108,IF($G$4="trimestral",S108,IF($G$4="semestral",S108,0)))</f>
        <v>10000</v>
      </c>
      <c r="U114" s="356">
        <f t="shared" si="42"/>
        <v>7488.35720964722</v>
      </c>
      <c r="V114" s="359">
        <f t="shared" si="44"/>
        <v>-100.27400157777105</v>
      </c>
      <c r="X114" s="359">
        <f t="shared" si="43"/>
        <v>-946.5685347425468</v>
      </c>
      <c r="Y114" s="356">
        <f t="shared" si="28"/>
        <v>945521.6922062265</v>
      </c>
      <c r="AA114" s="357">
        <f>+Bono!J114</f>
        <v>157293.54860582884</v>
      </c>
      <c r="AC114" s="378">
        <f t="shared" si="34"/>
        <v>7.583333333333333</v>
      </c>
      <c r="AD114" s="356">
        <f t="shared" si="35"/>
        <v>1351058.6484396376</v>
      </c>
    </row>
    <row r="115" spans="2:30" x14ac:dyDescent="0.25">
      <c r="B115" s="356">
        <f t="shared" si="29"/>
        <v>92</v>
      </c>
      <c r="C115" s="357">
        <f t="shared" si="36"/>
        <v>7</v>
      </c>
      <c r="D115" s="357">
        <f t="shared" si="37"/>
        <v>8</v>
      </c>
      <c r="E115" s="357">
        <f t="shared" si="38"/>
        <v>36</v>
      </c>
      <c r="F115" s="356">
        <f t="shared" si="30"/>
        <v>248243.40762758223</v>
      </c>
      <c r="H115" s="356">
        <f t="shared" si="26"/>
        <v>1979.5277929719405</v>
      </c>
      <c r="I115" s="356">
        <v>0</v>
      </c>
      <c r="J115" s="356">
        <v>0</v>
      </c>
      <c r="K115" s="356">
        <f t="shared" si="31"/>
        <v>-250.22293542055417</v>
      </c>
      <c r="L115" s="356">
        <f t="shared" si="27"/>
        <v>249972.7124851336</v>
      </c>
      <c r="N115" s="356">
        <f t="shared" si="32"/>
        <v>92</v>
      </c>
      <c r="O115" s="357">
        <f t="shared" si="39"/>
        <v>7</v>
      </c>
      <c r="P115" s="357">
        <f t="shared" si="40"/>
        <v>8</v>
      </c>
      <c r="Q115" s="357">
        <f t="shared" si="41"/>
        <v>7</v>
      </c>
      <c r="R115" s="356">
        <f t="shared" si="33"/>
        <v>945521.6922062265</v>
      </c>
      <c r="S115" s="356">
        <f>IF($G$4="mensual",S114,0)</f>
        <v>10000</v>
      </c>
      <c r="U115" s="356">
        <f t="shared" si="42"/>
        <v>7619.46415651621</v>
      </c>
      <c r="V115" s="359">
        <f t="shared" si="44"/>
        <v>-100.27400157777105</v>
      </c>
      <c r="X115" s="359">
        <f t="shared" si="43"/>
        <v>-963.1411563627428</v>
      </c>
      <c r="Y115" s="356">
        <f t="shared" si="28"/>
        <v>962077.7412048023</v>
      </c>
      <c r="AA115" s="357">
        <f>+Bono!J115</f>
        <v>158268.78685210733</v>
      </c>
      <c r="AC115" s="378">
        <f t="shared" si="34"/>
        <v>7.666666666666667</v>
      </c>
      <c r="AD115" s="356">
        <f t="shared" si="35"/>
        <v>1370319.2405420432</v>
      </c>
    </row>
    <row r="116" spans="2:30" x14ac:dyDescent="0.25">
      <c r="B116" s="356">
        <f t="shared" si="29"/>
        <v>93</v>
      </c>
      <c r="C116" s="357">
        <f t="shared" si="36"/>
        <v>7</v>
      </c>
      <c r="D116" s="357">
        <f t="shared" si="37"/>
        <v>9</v>
      </c>
      <c r="E116" s="357">
        <f t="shared" si="38"/>
        <v>36</v>
      </c>
      <c r="F116" s="356">
        <f t="shared" si="30"/>
        <v>249972.7124851336</v>
      </c>
      <c r="H116" s="356">
        <f t="shared" si="26"/>
        <v>1993.3175127504408</v>
      </c>
      <c r="I116" s="356">
        <v>0</v>
      </c>
      <c r="J116" s="360">
        <f>-SUM(F116:H116)*$J$21</f>
        <v>-2267.694269980957</v>
      </c>
      <c r="K116" s="356">
        <f t="shared" si="31"/>
        <v>-249.69833572790313</v>
      </c>
      <c r="L116" s="356">
        <f t="shared" si="27"/>
        <v>249448.6373921752</v>
      </c>
      <c r="N116" s="356">
        <f t="shared" si="32"/>
        <v>93</v>
      </c>
      <c r="O116" s="357">
        <f t="shared" si="39"/>
        <v>7</v>
      </c>
      <c r="P116" s="357">
        <f t="shared" si="40"/>
        <v>9</v>
      </c>
      <c r="Q116" s="357">
        <f t="shared" si="41"/>
        <v>7</v>
      </c>
      <c r="R116" s="356">
        <f t="shared" si="33"/>
        <v>962077.7412048023</v>
      </c>
      <c r="S116" s="356">
        <f>IF($G$4="mensual",S115,0)</f>
        <v>10000</v>
      </c>
      <c r="U116" s="356">
        <f t="shared" si="42"/>
        <v>7751.484416178665</v>
      </c>
      <c r="V116" s="359">
        <f t="shared" si="44"/>
        <v>-100.27400157777105</v>
      </c>
      <c r="X116" s="359">
        <f t="shared" si="43"/>
        <v>-979.829225620981</v>
      </c>
      <c r="Y116" s="356">
        <f t="shared" si="28"/>
        <v>978749.1223937823</v>
      </c>
      <c r="AA116" s="357">
        <f>+Bono!J116</f>
        <v>157815.38635810514</v>
      </c>
      <c r="AC116" s="378">
        <f t="shared" si="34"/>
        <v>7.75</v>
      </c>
      <c r="AD116" s="356">
        <f t="shared" si="35"/>
        <v>1386013.1461440625</v>
      </c>
    </row>
    <row r="117" spans="2:30" x14ac:dyDescent="0.25">
      <c r="B117" s="356">
        <f t="shared" si="29"/>
        <v>94</v>
      </c>
      <c r="C117" s="357">
        <f t="shared" si="36"/>
        <v>7</v>
      </c>
      <c r="D117" s="357">
        <f t="shared" si="37"/>
        <v>10</v>
      </c>
      <c r="E117" s="357">
        <f t="shared" si="38"/>
        <v>36</v>
      </c>
      <c r="F117" s="356">
        <f t="shared" si="30"/>
        <v>249448.6373921752</v>
      </c>
      <c r="H117" s="356">
        <f t="shared" si="26"/>
        <v>1989.1384643638996</v>
      </c>
      <c r="I117" s="356">
        <v>0</v>
      </c>
      <c r="J117" s="356">
        <v>0</v>
      </c>
      <c r="K117" s="356">
        <f t="shared" si="31"/>
        <v>-251.4377758565391</v>
      </c>
      <c r="L117" s="356">
        <f t="shared" si="27"/>
        <v>251186.33808068256</v>
      </c>
      <c r="N117" s="356">
        <f t="shared" si="32"/>
        <v>94</v>
      </c>
      <c r="O117" s="357">
        <f t="shared" si="39"/>
        <v>7</v>
      </c>
      <c r="P117" s="357">
        <f t="shared" si="40"/>
        <v>10</v>
      </c>
      <c r="Q117" s="357">
        <f t="shared" si="41"/>
        <v>7</v>
      </c>
      <c r="R117" s="356">
        <f t="shared" si="33"/>
        <v>978749.1223937823</v>
      </c>
      <c r="S117" s="356">
        <f>IF($G$4="mensual",S108,IF($G$4="trimestral",S108,0))</f>
        <v>10000</v>
      </c>
      <c r="U117" s="356">
        <f t="shared" si="42"/>
        <v>7884.424350923376</v>
      </c>
      <c r="V117" s="359">
        <f t="shared" si="44"/>
        <v>-100.27400157777105</v>
      </c>
      <c r="X117" s="359">
        <f t="shared" si="43"/>
        <v>-996.6335467447057</v>
      </c>
      <c r="Y117" s="356">
        <f t="shared" si="28"/>
        <v>995536.6391963832</v>
      </c>
      <c r="AA117" s="357">
        <f>+Bono!J117</f>
        <v>158793.8600589772</v>
      </c>
      <c r="AC117" s="378">
        <f t="shared" si="34"/>
        <v>7.833333333333333</v>
      </c>
      <c r="AD117" s="356">
        <f t="shared" si="35"/>
        <v>1405516.837336043</v>
      </c>
    </row>
    <row r="118" spans="2:30" x14ac:dyDescent="0.25">
      <c r="B118" s="356">
        <f t="shared" si="29"/>
        <v>95</v>
      </c>
      <c r="C118" s="357">
        <f t="shared" si="36"/>
        <v>7</v>
      </c>
      <c r="D118" s="357">
        <f t="shared" si="37"/>
        <v>11</v>
      </c>
      <c r="E118" s="357">
        <f t="shared" si="38"/>
        <v>36</v>
      </c>
      <c r="F118" s="356">
        <f t="shared" si="30"/>
        <v>251186.33808068256</v>
      </c>
      <c r="H118" s="356">
        <f t="shared" si="26"/>
        <v>2002.99513367746</v>
      </c>
      <c r="I118" s="356">
        <v>0</v>
      </c>
      <c r="J118" s="356">
        <v>0</v>
      </c>
      <c r="K118" s="356">
        <f t="shared" si="31"/>
        <v>-253.18933321436003</v>
      </c>
      <c r="L118" s="356">
        <f t="shared" si="27"/>
        <v>252936.14388114566</v>
      </c>
      <c r="N118" s="356">
        <f t="shared" si="32"/>
        <v>95</v>
      </c>
      <c r="O118" s="357">
        <f t="shared" si="39"/>
        <v>7</v>
      </c>
      <c r="P118" s="357">
        <f t="shared" si="40"/>
        <v>11</v>
      </c>
      <c r="Q118" s="357">
        <f t="shared" si="41"/>
        <v>7</v>
      </c>
      <c r="R118" s="356">
        <f t="shared" si="33"/>
        <v>995536.6391963832</v>
      </c>
      <c r="S118" s="356">
        <f>IF($G$17="si",S106*(1+$G$20),S106)</f>
        <v>10000</v>
      </c>
      <c r="U118" s="356">
        <f t="shared" si="42"/>
        <v>8018.290367359897</v>
      </c>
      <c r="V118" s="359">
        <f t="shared" si="44"/>
        <v>-100.27400157777105</v>
      </c>
      <c r="X118" s="359">
        <f t="shared" si="43"/>
        <v>-1013.554929563743</v>
      </c>
      <c r="Y118" s="356">
        <f t="shared" si="28"/>
        <v>1012441.1006326015</v>
      </c>
      <c r="AA118" s="357">
        <f>+Bono!J118</f>
        <v>159778.40041029057</v>
      </c>
      <c r="AC118" s="378">
        <f t="shared" si="34"/>
        <v>7.916666666666667</v>
      </c>
      <c r="AD118" s="356">
        <f t="shared" si="35"/>
        <v>1425155.6449240379</v>
      </c>
    </row>
    <row r="119" spans="2:30" x14ac:dyDescent="0.25">
      <c r="B119" s="356">
        <f t="shared" si="29"/>
        <v>96</v>
      </c>
      <c r="C119" s="357">
        <f t="shared" si="36"/>
        <v>7</v>
      </c>
      <c r="D119" s="357">
        <f t="shared" si="37"/>
        <v>12</v>
      </c>
      <c r="E119" s="357">
        <f t="shared" si="38"/>
        <v>36</v>
      </c>
      <c r="F119" s="356">
        <f t="shared" si="30"/>
        <v>252936.14388114566</v>
      </c>
      <c r="H119" s="356">
        <f t="shared" si="26"/>
        <v>2016.948330853663</v>
      </c>
      <c r="I119" s="356">
        <v>0</v>
      </c>
      <c r="J119" s="360">
        <f>-SUM(F119:H119)*$J$21</f>
        <v>-2294.5778299079943</v>
      </c>
      <c r="K119" s="356">
        <f t="shared" si="31"/>
        <v>-252.65851438209134</v>
      </c>
      <c r="L119" s="356">
        <f t="shared" si="27"/>
        <v>252405.85586770924</v>
      </c>
      <c r="N119" s="356">
        <f t="shared" si="32"/>
        <v>96</v>
      </c>
      <c r="O119" s="357">
        <f t="shared" si="39"/>
        <v>7</v>
      </c>
      <c r="P119" s="357">
        <f t="shared" si="40"/>
        <v>12</v>
      </c>
      <c r="Q119" s="357">
        <f t="shared" si="41"/>
        <v>7</v>
      </c>
      <c r="R119" s="356">
        <f t="shared" si="33"/>
        <v>1012441.1006326015</v>
      </c>
      <c r="S119" s="356">
        <f>IF($G$4="mensual",S118,0)</f>
        <v>10000</v>
      </c>
      <c r="U119" s="356">
        <f t="shared" si="42"/>
        <v>8153.08891672729</v>
      </c>
      <c r="V119" s="359">
        <f t="shared" si="44"/>
        <v>-100.27400157777105</v>
      </c>
      <c r="X119" s="359">
        <f t="shared" si="43"/>
        <v>-1030.5941895493288</v>
      </c>
      <c r="Y119" s="356">
        <f t="shared" si="28"/>
        <v>1029463.3213582018</v>
      </c>
      <c r="AA119" s="357">
        <f>+Bono!J119</f>
        <v>159320.67525097285</v>
      </c>
      <c r="AC119" s="378">
        <f t="shared" si="34"/>
        <v>8</v>
      </c>
      <c r="AD119" s="356">
        <f t="shared" si="35"/>
        <v>1441189.852476884</v>
      </c>
    </row>
    <row r="120" spans="2:30" x14ac:dyDescent="0.25">
      <c r="B120" s="356">
        <f t="shared" si="29"/>
        <v>97</v>
      </c>
      <c r="C120" s="357">
        <f t="shared" si="36"/>
        <v>8</v>
      </c>
      <c r="D120" s="357">
        <f t="shared" si="37"/>
        <v>1</v>
      </c>
      <c r="E120" s="357">
        <f t="shared" si="38"/>
        <v>37</v>
      </c>
      <c r="F120" s="356">
        <f t="shared" si="30"/>
        <v>252405.85586770924</v>
      </c>
      <c r="H120" s="356">
        <f t="shared" si="26"/>
        <v>2012.7197397667567</v>
      </c>
      <c r="I120" s="356">
        <v>0</v>
      </c>
      <c r="J120" s="356">
        <v>0</v>
      </c>
      <c r="K120" s="356">
        <f t="shared" si="31"/>
        <v>-254.41857560747601</v>
      </c>
      <c r="L120" s="356">
        <f t="shared" si="27"/>
        <v>254164.15703186853</v>
      </c>
      <c r="N120" s="356">
        <f t="shared" si="32"/>
        <v>97</v>
      </c>
      <c r="O120" s="357">
        <f t="shared" si="39"/>
        <v>8</v>
      </c>
      <c r="P120" s="357">
        <f t="shared" si="40"/>
        <v>1</v>
      </c>
      <c r="Q120" s="357">
        <f t="shared" si="41"/>
        <v>8</v>
      </c>
      <c r="R120" s="356">
        <f t="shared" si="33"/>
        <v>1029463.3213582018</v>
      </c>
      <c r="S120" s="356">
        <f>IF($G$17="si",S108*(1+$G$20),S108)</f>
        <v>10000</v>
      </c>
      <c r="U120" s="356">
        <f t="shared" si="42"/>
        <v>8288.826495205023</v>
      </c>
      <c r="V120" s="359">
        <f>(V119*(1+$G$18))</f>
        <v>-104.28496164088189</v>
      </c>
      <c r="X120" s="359">
        <f t="shared" si="43"/>
        <v>-1047.7521478534068</v>
      </c>
      <c r="Y120" s="356">
        <f t="shared" si="28"/>
        <v>1046600.1107439126</v>
      </c>
      <c r="AA120" s="357">
        <f>+Bono!J120</f>
        <v>160308.48191758338</v>
      </c>
      <c r="AC120" s="378">
        <f t="shared" si="34"/>
        <v>8.083333333333334</v>
      </c>
      <c r="AD120" s="356">
        <f t="shared" si="35"/>
        <v>1461072.7496933646</v>
      </c>
    </row>
    <row r="121" spans="2:30" x14ac:dyDescent="0.25">
      <c r="B121" s="356">
        <f t="shared" si="29"/>
        <v>98</v>
      </c>
      <c r="C121" s="357">
        <f t="shared" si="36"/>
        <v>8</v>
      </c>
      <c r="D121" s="357">
        <f t="shared" si="37"/>
        <v>2</v>
      </c>
      <c r="E121" s="357">
        <f t="shared" si="38"/>
        <v>37</v>
      </c>
      <c r="F121" s="356">
        <f t="shared" si="30"/>
        <v>254164.15703186853</v>
      </c>
      <c r="H121" s="356">
        <f t="shared" si="26"/>
        <v>2026.7406801660677</v>
      </c>
      <c r="I121" s="356">
        <v>0</v>
      </c>
      <c r="J121" s="356">
        <v>0</v>
      </c>
      <c r="K121" s="356">
        <f t="shared" si="31"/>
        <v>-256.1908977120346</v>
      </c>
      <c r="L121" s="356">
        <f t="shared" si="27"/>
        <v>255934.70681432253</v>
      </c>
      <c r="N121" s="356">
        <f t="shared" si="32"/>
        <v>98</v>
      </c>
      <c r="O121" s="357">
        <f t="shared" si="39"/>
        <v>8</v>
      </c>
      <c r="P121" s="357">
        <f t="shared" si="40"/>
        <v>2</v>
      </c>
      <c r="Q121" s="357">
        <f t="shared" si="41"/>
        <v>8</v>
      </c>
      <c r="R121" s="356">
        <f t="shared" si="33"/>
        <v>1046600.1107439126</v>
      </c>
      <c r="S121" s="356">
        <f>IF($G$4="mensual",S120,0)</f>
        <v>10000</v>
      </c>
      <c r="U121" s="356">
        <f t="shared" si="42"/>
        <v>8425.477660267228</v>
      </c>
      <c r="V121" s="359">
        <f t="shared" si="44"/>
        <v>-104.28496164088189</v>
      </c>
      <c r="X121" s="359">
        <f t="shared" si="43"/>
        <v>-1065.0255884041799</v>
      </c>
      <c r="Y121" s="356">
        <f t="shared" si="28"/>
        <v>1063856.2778541348</v>
      </c>
      <c r="AA121" s="357">
        <f>+Bono!J121</f>
        <v>161302.4131001054</v>
      </c>
      <c r="AC121" s="378">
        <f t="shared" si="34"/>
        <v>8.166666666666666</v>
      </c>
      <c r="AD121" s="356">
        <f t="shared" si="35"/>
        <v>1481093.397768563</v>
      </c>
    </row>
    <row r="122" spans="2:30" x14ac:dyDescent="0.25">
      <c r="B122" s="356">
        <f t="shared" si="29"/>
        <v>99</v>
      </c>
      <c r="C122" s="357">
        <f t="shared" si="36"/>
        <v>8</v>
      </c>
      <c r="D122" s="357">
        <f t="shared" si="37"/>
        <v>3</v>
      </c>
      <c r="E122" s="357">
        <f t="shared" si="38"/>
        <v>37</v>
      </c>
      <c r="F122" s="356">
        <f t="shared" si="30"/>
        <v>255934.70681432253</v>
      </c>
      <c r="H122" s="356">
        <f t="shared" si="26"/>
        <v>2040.859292767721</v>
      </c>
      <c r="I122" s="356">
        <v>0</v>
      </c>
      <c r="J122" s="360">
        <f>-SUM(F122:H122)*$J$21</f>
        <v>-2321.7800949638126</v>
      </c>
      <c r="K122" s="356">
        <f t="shared" si="31"/>
        <v>-255.65378601212643</v>
      </c>
      <c r="L122" s="356">
        <f t="shared" si="27"/>
        <v>255398.1322261143</v>
      </c>
      <c r="N122" s="356">
        <f t="shared" si="32"/>
        <v>99</v>
      </c>
      <c r="O122" s="357">
        <f t="shared" si="39"/>
        <v>8</v>
      </c>
      <c r="P122" s="357">
        <f t="shared" si="40"/>
        <v>3</v>
      </c>
      <c r="Q122" s="357">
        <f t="shared" si="41"/>
        <v>8</v>
      </c>
      <c r="R122" s="356">
        <f t="shared" si="33"/>
        <v>1063856.2778541348</v>
      </c>
      <c r="S122" s="356">
        <f>IF($G$4="mensual",S121,0)</f>
        <v>10000</v>
      </c>
      <c r="U122" s="356">
        <f t="shared" si="42"/>
        <v>8563.08076006877</v>
      </c>
      <c r="V122" s="359">
        <f t="shared" si="44"/>
        <v>-104.28496164088189</v>
      </c>
      <c r="X122" s="359">
        <f t="shared" si="43"/>
        <v>-1082.4193586142035</v>
      </c>
      <c r="Y122" s="356">
        <f t="shared" si="28"/>
        <v>1081232.6542939486</v>
      </c>
      <c r="AA122" s="357">
        <f>+Bono!J122</f>
        <v>160840.32202556098</v>
      </c>
      <c r="AC122" s="378">
        <f t="shared" si="34"/>
        <v>8.25</v>
      </c>
      <c r="AD122" s="356">
        <f t="shared" si="35"/>
        <v>1497471.108545624</v>
      </c>
    </row>
    <row r="123" spans="2:30" x14ac:dyDescent="0.25">
      <c r="B123" s="356">
        <f t="shared" si="29"/>
        <v>100</v>
      </c>
      <c r="C123" s="357">
        <f t="shared" si="36"/>
        <v>8</v>
      </c>
      <c r="D123" s="357">
        <f t="shared" si="37"/>
        <v>4</v>
      </c>
      <c r="E123" s="357">
        <f t="shared" si="38"/>
        <v>37</v>
      </c>
      <c r="F123" s="356">
        <f t="shared" si="30"/>
        <v>255398.1322261143</v>
      </c>
      <c r="H123" s="356">
        <f t="shared" si="26"/>
        <v>2036.5805716507675</v>
      </c>
      <c r="I123" s="356">
        <v>0</v>
      </c>
      <c r="J123" s="356">
        <v>0</v>
      </c>
      <c r="K123" s="356">
        <f t="shared" si="31"/>
        <v>-257.4347127977651</v>
      </c>
      <c r="L123" s="356">
        <f t="shared" si="27"/>
        <v>257177.2780849673</v>
      </c>
      <c r="N123" s="356">
        <f t="shared" si="32"/>
        <v>100</v>
      </c>
      <c r="O123" s="357">
        <f t="shared" si="39"/>
        <v>8</v>
      </c>
      <c r="P123" s="357">
        <f t="shared" si="40"/>
        <v>4</v>
      </c>
      <c r="Q123" s="357">
        <f t="shared" si="41"/>
        <v>8</v>
      </c>
      <c r="R123" s="356">
        <f t="shared" si="33"/>
        <v>1081232.6542939486</v>
      </c>
      <c r="S123" s="356">
        <f>IF($G$4="mensual",S120,IF($G$4="trimestral",S120,0))</f>
        <v>10000</v>
      </c>
      <c r="U123" s="356">
        <f t="shared" si="42"/>
        <v>8701.64242594534</v>
      </c>
      <c r="V123" s="359">
        <f t="shared" si="44"/>
        <v>-104.28496164088189</v>
      </c>
      <c r="X123" s="359">
        <f t="shared" si="43"/>
        <v>-1099.9342967198938</v>
      </c>
      <c r="Y123" s="356">
        <f t="shared" si="28"/>
        <v>1098730.077461533</v>
      </c>
      <c r="AA123" s="357">
        <f>+Bono!J123</f>
        <v>161837.55067844206</v>
      </c>
      <c r="AC123" s="378">
        <f t="shared" si="34"/>
        <v>8.333333333333334</v>
      </c>
      <c r="AD123" s="356">
        <f t="shared" si="35"/>
        <v>1517744.9062249423</v>
      </c>
    </row>
    <row r="124" spans="2:30" x14ac:dyDescent="0.25">
      <c r="B124" s="356">
        <f t="shared" si="29"/>
        <v>101</v>
      </c>
      <c r="C124" s="357">
        <f t="shared" si="36"/>
        <v>8</v>
      </c>
      <c r="D124" s="357">
        <f t="shared" si="37"/>
        <v>5</v>
      </c>
      <c r="E124" s="357">
        <f t="shared" si="38"/>
        <v>37</v>
      </c>
      <c r="F124" s="356">
        <f t="shared" si="30"/>
        <v>257177.2780849673</v>
      </c>
      <c r="H124" s="356">
        <f t="shared" si="26"/>
        <v>2050.767730572764</v>
      </c>
      <c r="I124" s="356">
        <v>0</v>
      </c>
      <c r="J124" s="356">
        <v>0</v>
      </c>
      <c r="K124" s="356">
        <f t="shared" si="31"/>
        <v>-259.2280458155401</v>
      </c>
      <c r="L124" s="356">
        <f t="shared" si="27"/>
        <v>258968.81776972453</v>
      </c>
      <c r="N124" s="356">
        <f t="shared" si="32"/>
        <v>101</v>
      </c>
      <c r="O124" s="357">
        <f t="shared" si="39"/>
        <v>8</v>
      </c>
      <c r="P124" s="357">
        <f t="shared" si="40"/>
        <v>5</v>
      </c>
      <c r="Q124" s="357">
        <f t="shared" si="41"/>
        <v>8</v>
      </c>
      <c r="R124" s="356">
        <f t="shared" si="33"/>
        <v>1098730.077461533</v>
      </c>
      <c r="S124" s="356">
        <f>IF($G$4="mensual",S123,0)</f>
        <v>10000</v>
      </c>
      <c r="U124" s="356">
        <f t="shared" si="42"/>
        <v>8841.169335427612</v>
      </c>
      <c r="V124" s="359">
        <f t="shared" si="44"/>
        <v>-104.28496164088189</v>
      </c>
      <c r="X124" s="359">
        <f t="shared" si="43"/>
        <v>-1117.5712467969606</v>
      </c>
      <c r="Y124" s="356">
        <f t="shared" si="28"/>
        <v>1116349.390588523</v>
      </c>
      <c r="AA124" s="357">
        <f>+Bono!J124</f>
        <v>162840.96226464238</v>
      </c>
      <c r="AC124" s="378">
        <f t="shared" si="34"/>
        <v>8.416666666666666</v>
      </c>
      <c r="AD124" s="356">
        <f t="shared" si="35"/>
        <v>1538159.17062289</v>
      </c>
    </row>
    <row r="125" spans="2:30" x14ac:dyDescent="0.25">
      <c r="B125" s="356">
        <f t="shared" si="29"/>
        <v>102</v>
      </c>
      <c r="C125" s="357">
        <f t="shared" si="36"/>
        <v>8</v>
      </c>
      <c r="D125" s="357">
        <f t="shared" si="37"/>
        <v>6</v>
      </c>
      <c r="E125" s="357">
        <f t="shared" si="38"/>
        <v>37</v>
      </c>
      <c r="F125" s="356">
        <f t="shared" si="30"/>
        <v>258968.81776972453</v>
      </c>
      <c r="H125" s="356">
        <f t="shared" si="26"/>
        <v>2065.053719602972</v>
      </c>
      <c r="I125" s="356">
        <v>0</v>
      </c>
      <c r="J125" s="360">
        <f>-SUM(F125:H125)*$J$21</f>
        <v>-2349.304843403948</v>
      </c>
      <c r="K125" s="356">
        <f t="shared" si="31"/>
        <v>-258.68456664592355</v>
      </c>
      <c r="L125" s="356">
        <f t="shared" si="27"/>
        <v>258425.88207927762</v>
      </c>
      <c r="N125" s="356">
        <f t="shared" si="32"/>
        <v>102</v>
      </c>
      <c r="O125" s="357">
        <f t="shared" si="39"/>
        <v>8</v>
      </c>
      <c r="P125" s="357">
        <f t="shared" si="40"/>
        <v>6</v>
      </c>
      <c r="Q125" s="357">
        <f t="shared" si="41"/>
        <v>8</v>
      </c>
      <c r="R125" s="356">
        <f t="shared" si="33"/>
        <v>1116349.390588523</v>
      </c>
      <c r="S125" s="356">
        <f>IF($G$4="mensual",S124,0)</f>
        <v>10000</v>
      </c>
      <c r="U125" s="356">
        <f t="shared" si="42"/>
        <v>8981.668212563058</v>
      </c>
      <c r="V125" s="359">
        <f t="shared" si="44"/>
        <v>-104.28496164088189</v>
      </c>
      <c r="X125" s="359">
        <f t="shared" si="43"/>
        <v>-1135.3310588010859</v>
      </c>
      <c r="Y125" s="356">
        <f t="shared" si="28"/>
        <v>1134091.442780644</v>
      </c>
      <c r="AA125" s="357">
        <f>+Bono!J125</f>
        <v>162374.46363150654</v>
      </c>
      <c r="AC125" s="378">
        <f t="shared" si="34"/>
        <v>8.5</v>
      </c>
      <c r="AD125" s="356">
        <f t="shared" si="35"/>
        <v>1554891.7884914281</v>
      </c>
    </row>
    <row r="126" spans="2:30" x14ac:dyDescent="0.25">
      <c r="B126" s="356">
        <f t="shared" si="29"/>
        <v>103</v>
      </c>
      <c r="C126" s="357">
        <f t="shared" si="36"/>
        <v>8</v>
      </c>
      <c r="D126" s="357">
        <f t="shared" si="37"/>
        <v>7</v>
      </c>
      <c r="E126" s="357">
        <f t="shared" si="38"/>
        <v>37</v>
      </c>
      <c r="F126" s="356">
        <f t="shared" si="30"/>
        <v>258425.88207927762</v>
      </c>
      <c r="H126" s="356">
        <f t="shared" si="26"/>
        <v>2060.7242741634846</v>
      </c>
      <c r="I126" s="356">
        <v>0</v>
      </c>
      <c r="J126" s="356">
        <v>0</v>
      </c>
      <c r="K126" s="356">
        <f t="shared" si="31"/>
        <v>-260.4866063534411</v>
      </c>
      <c r="L126" s="356">
        <f t="shared" si="27"/>
        <v>260226.11974708768</v>
      </c>
      <c r="N126" s="356">
        <f t="shared" si="32"/>
        <v>103</v>
      </c>
      <c r="O126" s="357">
        <f t="shared" si="39"/>
        <v>8</v>
      </c>
      <c r="P126" s="357">
        <f t="shared" si="40"/>
        <v>7</v>
      </c>
      <c r="Q126" s="357">
        <f t="shared" si="41"/>
        <v>8</v>
      </c>
      <c r="R126" s="356">
        <f t="shared" si="33"/>
        <v>1134091.442780644</v>
      </c>
      <c r="S126" s="356">
        <f>+IF($G$4="mensual",S120,IF($G$4="trimestral",S120,IF($G$4="semestral",S120,0)))</f>
        <v>10000</v>
      </c>
      <c r="U126" s="356">
        <f t="shared" si="42"/>
        <v>9123.14582823997</v>
      </c>
      <c r="V126" s="359">
        <f t="shared" si="44"/>
        <v>-104.28496164088189</v>
      </c>
      <c r="X126" s="359">
        <f t="shared" si="43"/>
        <v>-1153.214588608884</v>
      </c>
      <c r="Y126" s="356">
        <f t="shared" si="28"/>
        <v>1151957.0890586344</v>
      </c>
      <c r="AA126" s="357">
        <f>+Bono!J126</f>
        <v>163381.2041402939</v>
      </c>
      <c r="AC126" s="378">
        <f t="shared" si="34"/>
        <v>8.583333333333334</v>
      </c>
      <c r="AD126" s="356">
        <f t="shared" si="35"/>
        <v>1575564.4129460158</v>
      </c>
    </row>
    <row r="127" spans="2:30" x14ac:dyDescent="0.25">
      <c r="B127" s="356">
        <f t="shared" si="29"/>
        <v>104</v>
      </c>
      <c r="C127" s="357">
        <f t="shared" si="36"/>
        <v>8</v>
      </c>
      <c r="D127" s="357">
        <f t="shared" si="37"/>
        <v>8</v>
      </c>
      <c r="E127" s="357">
        <f t="shared" si="38"/>
        <v>37</v>
      </c>
      <c r="F127" s="356">
        <f t="shared" si="30"/>
        <v>260226.11974708768</v>
      </c>
      <c r="H127" s="356">
        <f t="shared" si="26"/>
        <v>2075.0796221320043</v>
      </c>
      <c r="I127" s="356">
        <v>0</v>
      </c>
      <c r="J127" s="356">
        <v>0</v>
      </c>
      <c r="K127" s="356">
        <f t="shared" si="31"/>
        <v>-262.30119936921966</v>
      </c>
      <c r="L127" s="356">
        <f t="shared" si="27"/>
        <v>262038.89816985044</v>
      </c>
      <c r="N127" s="356">
        <f t="shared" si="32"/>
        <v>104</v>
      </c>
      <c r="O127" s="357">
        <f t="shared" si="39"/>
        <v>8</v>
      </c>
      <c r="P127" s="357">
        <f t="shared" si="40"/>
        <v>8</v>
      </c>
      <c r="Q127" s="357">
        <f t="shared" si="41"/>
        <v>8</v>
      </c>
      <c r="R127" s="356">
        <f t="shared" si="33"/>
        <v>1151957.0890586344</v>
      </c>
      <c r="S127" s="356">
        <f>IF($G$4="mensual",S126,0)</f>
        <v>10000</v>
      </c>
      <c r="U127" s="356">
        <f t="shared" si="42"/>
        <v>9265.609000513788</v>
      </c>
      <c r="V127" s="359">
        <f t="shared" si="44"/>
        <v>-104.28496164088189</v>
      </c>
      <c r="X127" s="359">
        <f t="shared" si="43"/>
        <v>-1171.2226980591481</v>
      </c>
      <c r="Y127" s="356">
        <f t="shared" si="28"/>
        <v>1169947.1903994482</v>
      </c>
      <c r="AA127" s="357">
        <f>+Bono!J127</f>
        <v>164394.18655701043</v>
      </c>
      <c r="AC127" s="378">
        <f t="shared" si="34"/>
        <v>8.666666666666666</v>
      </c>
      <c r="AD127" s="356">
        <f t="shared" si="35"/>
        <v>1596380.2751263091</v>
      </c>
    </row>
    <row r="128" spans="2:30" x14ac:dyDescent="0.25">
      <c r="B128" s="356">
        <f t="shared" si="29"/>
        <v>105</v>
      </c>
      <c r="C128" s="357">
        <f t="shared" si="36"/>
        <v>8</v>
      </c>
      <c r="D128" s="357">
        <f t="shared" si="37"/>
        <v>9</v>
      </c>
      <c r="E128" s="357">
        <f t="shared" si="38"/>
        <v>37</v>
      </c>
      <c r="F128" s="356">
        <f t="shared" si="30"/>
        <v>262038.89816985044</v>
      </c>
      <c r="H128" s="356">
        <f t="shared" si="26"/>
        <v>2089.534971841601</v>
      </c>
      <c r="I128" s="356">
        <v>0</v>
      </c>
      <c r="J128" s="360">
        <f>-SUM(F128:H128)*$J$21</f>
        <v>-2377.1558982752285</v>
      </c>
      <c r="K128" s="356">
        <f t="shared" si="31"/>
        <v>-261.7512772434168</v>
      </c>
      <c r="L128" s="356">
        <f t="shared" si="27"/>
        <v>261489.52596617336</v>
      </c>
      <c r="N128" s="356">
        <f t="shared" si="32"/>
        <v>105</v>
      </c>
      <c r="O128" s="357">
        <f t="shared" si="39"/>
        <v>8</v>
      </c>
      <c r="P128" s="357">
        <f t="shared" si="40"/>
        <v>9</v>
      </c>
      <c r="Q128" s="357">
        <f t="shared" si="41"/>
        <v>8</v>
      </c>
      <c r="R128" s="356">
        <f t="shared" si="33"/>
        <v>1169947.1903994482</v>
      </c>
      <c r="S128" s="356">
        <f>IF($G$4="mensual",S127,0)</f>
        <v>10000</v>
      </c>
      <c r="U128" s="356">
        <f t="shared" si="42"/>
        <v>9409.064594935648</v>
      </c>
      <c r="V128" s="359">
        <f t="shared" si="44"/>
        <v>-104.28496164088189</v>
      </c>
      <c r="X128" s="359">
        <f t="shared" si="43"/>
        <v>-1189.3562549943838</v>
      </c>
      <c r="Y128" s="356">
        <f t="shared" si="28"/>
        <v>1188062.6137777485</v>
      </c>
      <c r="AA128" s="357">
        <f>+Bono!J128</f>
        <v>163923.2383247119</v>
      </c>
      <c r="AC128" s="378">
        <f t="shared" si="34"/>
        <v>8.75</v>
      </c>
      <c r="AD128" s="356">
        <f t="shared" si="35"/>
        <v>1613475.3780686336</v>
      </c>
    </row>
    <row r="129" spans="2:30" x14ac:dyDescent="0.25">
      <c r="B129" s="356">
        <f t="shared" si="29"/>
        <v>106</v>
      </c>
      <c r="C129" s="357">
        <f t="shared" si="36"/>
        <v>8</v>
      </c>
      <c r="D129" s="357">
        <f t="shared" si="37"/>
        <v>10</v>
      </c>
      <c r="E129" s="357">
        <f t="shared" si="38"/>
        <v>37</v>
      </c>
      <c r="F129" s="356">
        <f t="shared" si="30"/>
        <v>261489.52596617336</v>
      </c>
      <c r="H129" s="356">
        <f t="shared" si="26"/>
        <v>2085.154200741744</v>
      </c>
      <c r="I129" s="356">
        <v>0</v>
      </c>
      <c r="J129" s="356">
        <v>0</v>
      </c>
      <c r="K129" s="356">
        <f t="shared" si="31"/>
        <v>-263.57468016691513</v>
      </c>
      <c r="L129" s="356">
        <f t="shared" si="27"/>
        <v>263311.1054867482</v>
      </c>
      <c r="N129" s="356">
        <f t="shared" si="32"/>
        <v>106</v>
      </c>
      <c r="O129" s="357">
        <f t="shared" si="39"/>
        <v>8</v>
      </c>
      <c r="P129" s="357">
        <f t="shared" si="40"/>
        <v>10</v>
      </c>
      <c r="Q129" s="357">
        <f t="shared" si="41"/>
        <v>8</v>
      </c>
      <c r="R129" s="356">
        <f t="shared" si="33"/>
        <v>1188062.6137777485</v>
      </c>
      <c r="S129" s="356">
        <f>IF($G$4="mensual",S120,IF($G$4="trimestral",S120,0))</f>
        <v>10000</v>
      </c>
      <c r="U129" s="356">
        <f t="shared" si="42"/>
        <v>9553.51952488326</v>
      </c>
      <c r="V129" s="359">
        <f t="shared" si="44"/>
        <v>-104.28496164088189</v>
      </c>
      <c r="X129" s="359">
        <f t="shared" si="43"/>
        <v>-1207.6161333026319</v>
      </c>
      <c r="Y129" s="356">
        <f t="shared" si="28"/>
        <v>1206304.2322076883</v>
      </c>
      <c r="AA129" s="357">
        <f>+Bono!J129</f>
        <v>164939.58141624392</v>
      </c>
      <c r="AC129" s="378">
        <f t="shared" si="34"/>
        <v>8.833333333333334</v>
      </c>
      <c r="AD129" s="356">
        <f t="shared" si="35"/>
        <v>1634554.9191106805</v>
      </c>
    </row>
    <row r="130" spans="2:30" x14ac:dyDescent="0.25">
      <c r="B130" s="356">
        <f t="shared" si="29"/>
        <v>107</v>
      </c>
      <c r="C130" s="357">
        <f t="shared" si="36"/>
        <v>8</v>
      </c>
      <c r="D130" s="357">
        <f t="shared" si="37"/>
        <v>11</v>
      </c>
      <c r="E130" s="357">
        <f t="shared" si="38"/>
        <v>37</v>
      </c>
      <c r="F130" s="356">
        <f t="shared" si="30"/>
        <v>263311.1054867482</v>
      </c>
      <c r="H130" s="356">
        <f t="shared" si="26"/>
        <v>2099.6797316412226</v>
      </c>
      <c r="I130" s="356">
        <v>0</v>
      </c>
      <c r="J130" s="356">
        <v>0</v>
      </c>
      <c r="K130" s="356">
        <f t="shared" si="31"/>
        <v>-265.41078521838944</v>
      </c>
      <c r="L130" s="356">
        <f t="shared" si="27"/>
        <v>265145.374433171</v>
      </c>
      <c r="N130" s="356">
        <f t="shared" si="32"/>
        <v>107</v>
      </c>
      <c r="O130" s="357">
        <f t="shared" si="39"/>
        <v>8</v>
      </c>
      <c r="P130" s="357">
        <f t="shared" si="40"/>
        <v>11</v>
      </c>
      <c r="Q130" s="357">
        <f t="shared" si="41"/>
        <v>8</v>
      </c>
      <c r="R130" s="356">
        <f t="shared" si="33"/>
        <v>1206304.2322076883</v>
      </c>
      <c r="S130" s="356">
        <f>IF($G$17="si",S118*(1+$G$20),S118)</f>
        <v>10000</v>
      </c>
      <c r="U130" s="356">
        <f t="shared" si="42"/>
        <v>9698.98075189408</v>
      </c>
      <c r="V130" s="359">
        <f t="shared" si="44"/>
        <v>-104.28496164088189</v>
      </c>
      <c r="X130" s="359">
        <f t="shared" si="43"/>
        <v>-1226.0032129595825</v>
      </c>
      <c r="Y130" s="356">
        <f t="shared" si="28"/>
        <v>1224672.924784982</v>
      </c>
      <c r="AA130" s="357">
        <f>+Bono!J130</f>
        <v>165962.2259528319</v>
      </c>
      <c r="AC130" s="378">
        <f t="shared" si="34"/>
        <v>8.916666666666666</v>
      </c>
      <c r="AD130" s="356">
        <f t="shared" si="35"/>
        <v>1655780.5251709851</v>
      </c>
    </row>
    <row r="131" spans="2:30" x14ac:dyDescent="0.25">
      <c r="B131" s="356">
        <f t="shared" si="29"/>
        <v>108</v>
      </c>
      <c r="C131" s="357">
        <f t="shared" si="36"/>
        <v>8</v>
      </c>
      <c r="D131" s="357">
        <f t="shared" si="37"/>
        <v>12</v>
      </c>
      <c r="E131" s="357">
        <f t="shared" si="38"/>
        <v>37</v>
      </c>
      <c r="F131" s="356">
        <f t="shared" si="30"/>
        <v>265145.374433171</v>
      </c>
      <c r="H131" s="356">
        <f t="shared" si="26"/>
        <v>2114.3064498043755</v>
      </c>
      <c r="I131" s="356">
        <v>0</v>
      </c>
      <c r="J131" s="360">
        <f>-SUM(F131:H131)*$J$21</f>
        <v>-2405.3371279467788</v>
      </c>
      <c r="K131" s="356">
        <f t="shared" si="31"/>
        <v>-264.85434375502865</v>
      </c>
      <c r="L131" s="356">
        <f t="shared" si="27"/>
        <v>264589.48941127356</v>
      </c>
      <c r="N131" s="356">
        <f t="shared" si="32"/>
        <v>108</v>
      </c>
      <c r="O131" s="357">
        <f t="shared" si="39"/>
        <v>8</v>
      </c>
      <c r="P131" s="357">
        <f t="shared" si="40"/>
        <v>12</v>
      </c>
      <c r="Q131" s="357">
        <f t="shared" si="41"/>
        <v>8</v>
      </c>
      <c r="R131" s="356">
        <f t="shared" si="33"/>
        <v>1224672.924784982</v>
      </c>
      <c r="S131" s="356">
        <f>IF($G$4="mensual",S130,0)</f>
        <v>10000</v>
      </c>
      <c r="U131" s="356">
        <f t="shared" si="42"/>
        <v>9845.455286000783</v>
      </c>
      <c r="V131" s="359">
        <f t="shared" si="44"/>
        <v>-104.28496164088189</v>
      </c>
      <c r="X131" s="359">
        <f t="shared" si="43"/>
        <v>-1244.518380070983</v>
      </c>
      <c r="Y131" s="356">
        <f t="shared" si="28"/>
        <v>1243169.576729271</v>
      </c>
      <c r="AA131" s="357">
        <f>+Bono!J131</f>
        <v>165486.7856798043</v>
      </c>
      <c r="AC131" s="378">
        <f t="shared" si="34"/>
        <v>9</v>
      </c>
      <c r="AD131" s="356">
        <f t="shared" si="35"/>
        <v>1673245.851820349</v>
      </c>
    </row>
    <row r="132" spans="2:30" x14ac:dyDescent="0.25">
      <c r="B132" s="356">
        <f t="shared" si="29"/>
        <v>109</v>
      </c>
      <c r="C132" s="357">
        <f t="shared" si="36"/>
        <v>9</v>
      </c>
      <c r="D132" s="357">
        <f t="shared" si="37"/>
        <v>1</v>
      </c>
      <c r="E132" s="357">
        <f t="shared" si="38"/>
        <v>38</v>
      </c>
      <c r="F132" s="356">
        <f t="shared" si="30"/>
        <v>264589.48941127356</v>
      </c>
      <c r="H132" s="356">
        <f t="shared" si="26"/>
        <v>2109.873744577441</v>
      </c>
      <c r="I132" s="356">
        <v>0</v>
      </c>
      <c r="J132" s="356">
        <v>0</v>
      </c>
      <c r="K132" s="356">
        <f t="shared" si="31"/>
        <v>-266.699363155851</v>
      </c>
      <c r="L132" s="356">
        <f t="shared" si="27"/>
        <v>266432.66379269515</v>
      </c>
      <c r="N132" s="356">
        <f t="shared" si="32"/>
        <v>109</v>
      </c>
      <c r="O132" s="357">
        <f t="shared" si="39"/>
        <v>9</v>
      </c>
      <c r="P132" s="357">
        <f t="shared" si="40"/>
        <v>1</v>
      </c>
      <c r="Q132" s="357">
        <f t="shared" si="41"/>
        <v>9</v>
      </c>
      <c r="R132" s="356">
        <f t="shared" si="33"/>
        <v>1243169.576729271</v>
      </c>
      <c r="S132" s="356">
        <f>IF($G$17="si",S120*(1+$G$20),S120)</f>
        <v>10000</v>
      </c>
      <c r="U132" s="356">
        <f t="shared" si="42"/>
        <v>9992.950186069098</v>
      </c>
      <c r="V132" s="359">
        <f>(V131*(1+$G$18))</f>
        <v>-108.45636010651717</v>
      </c>
      <c r="X132" s="359">
        <f t="shared" si="43"/>
        <v>-1263.1625269153403</v>
      </c>
      <c r="Y132" s="356">
        <f t="shared" si="28"/>
        <v>1261790.9080283183</v>
      </c>
      <c r="AA132" s="357">
        <f>+Bono!J132</f>
        <v>166512.82294629814</v>
      </c>
      <c r="AC132" s="378">
        <f t="shared" si="34"/>
        <v>9.083333333333334</v>
      </c>
      <c r="AD132" s="356">
        <f t="shared" si="35"/>
        <v>1694736.3947673116</v>
      </c>
    </row>
    <row r="133" spans="2:30" x14ac:dyDescent="0.25">
      <c r="B133" s="356">
        <f t="shared" si="29"/>
        <v>110</v>
      </c>
      <c r="C133" s="357">
        <f t="shared" si="36"/>
        <v>9</v>
      </c>
      <c r="D133" s="357">
        <f t="shared" si="37"/>
        <v>2</v>
      </c>
      <c r="E133" s="357">
        <f t="shared" si="38"/>
        <v>38</v>
      </c>
      <c r="F133" s="356">
        <f t="shared" si="30"/>
        <v>266432.66379269515</v>
      </c>
      <c r="H133" s="356">
        <f t="shared" si="26"/>
        <v>2124.5714759298544</v>
      </c>
      <c r="I133" s="356">
        <v>0</v>
      </c>
      <c r="J133" s="356">
        <v>0</v>
      </c>
      <c r="K133" s="356">
        <f t="shared" si="31"/>
        <v>-268.55723526862505</v>
      </c>
      <c r="L133" s="356">
        <f t="shared" si="27"/>
        <v>268288.6780333564</v>
      </c>
      <c r="N133" s="356">
        <f t="shared" si="32"/>
        <v>110</v>
      </c>
      <c r="O133" s="357">
        <f t="shared" si="39"/>
        <v>9</v>
      </c>
      <c r="P133" s="357">
        <f t="shared" si="40"/>
        <v>2</v>
      </c>
      <c r="Q133" s="357">
        <f t="shared" si="41"/>
        <v>9</v>
      </c>
      <c r="R133" s="356">
        <f t="shared" si="33"/>
        <v>1261790.9080283183</v>
      </c>
      <c r="S133" s="356">
        <f>IF($G$4="mensual",S132,0)</f>
        <v>10000</v>
      </c>
      <c r="U133" s="356">
        <f t="shared" si="42"/>
        <v>10141.439296820841</v>
      </c>
      <c r="V133" s="359">
        <f t="shared" si="44"/>
        <v>-108.45636010651717</v>
      </c>
      <c r="X133" s="359">
        <f t="shared" si="43"/>
        <v>-1281.9323473251393</v>
      </c>
      <c r="Y133" s="356">
        <f t="shared" si="28"/>
        <v>1280541.9586177075</v>
      </c>
      <c r="AA133" s="357">
        <f>+Bono!J133</f>
        <v>167545.2217628572</v>
      </c>
      <c r="AC133" s="378">
        <f t="shared" si="34"/>
        <v>9.166666666666666</v>
      </c>
      <c r="AD133" s="356">
        <f t="shared" si="35"/>
        <v>1716375.858413921</v>
      </c>
    </row>
    <row r="134" spans="2:30" x14ac:dyDescent="0.25">
      <c r="B134" s="356">
        <f t="shared" si="29"/>
        <v>111</v>
      </c>
      <c r="C134" s="357">
        <f t="shared" si="36"/>
        <v>9</v>
      </c>
      <c r="D134" s="357">
        <f t="shared" si="37"/>
        <v>3</v>
      </c>
      <c r="E134" s="357">
        <f t="shared" si="38"/>
        <v>38</v>
      </c>
      <c r="F134" s="356">
        <f t="shared" si="30"/>
        <v>268288.6780333564</v>
      </c>
      <c r="H134" s="356">
        <f t="shared" si="26"/>
        <v>2139.3715941229325</v>
      </c>
      <c r="I134" s="356">
        <v>0</v>
      </c>
      <c r="J134" s="360">
        <f>-SUM(F134:H134)*$J$21</f>
        <v>-2433.8524466473145</v>
      </c>
      <c r="K134" s="356">
        <f t="shared" si="31"/>
        <v>-267.99419718083203</v>
      </c>
      <c r="L134" s="356">
        <f t="shared" si="27"/>
        <v>267726.2029836512</v>
      </c>
      <c r="N134" s="356">
        <f t="shared" si="32"/>
        <v>111</v>
      </c>
      <c r="O134" s="357">
        <f t="shared" si="39"/>
        <v>9</v>
      </c>
      <c r="P134" s="357">
        <f t="shared" si="40"/>
        <v>3</v>
      </c>
      <c r="Q134" s="357">
        <f t="shared" si="41"/>
        <v>9</v>
      </c>
      <c r="R134" s="356">
        <f t="shared" si="33"/>
        <v>1280541.9586177075</v>
      </c>
      <c r="S134" s="356">
        <f>IF($G$4="mensual",S133,0)</f>
        <v>10000</v>
      </c>
      <c r="U134" s="356">
        <f t="shared" si="42"/>
        <v>10290.96280741011</v>
      </c>
      <c r="V134" s="359">
        <f t="shared" si="44"/>
        <v>-108.45636010651717</v>
      </c>
      <c r="X134" s="359">
        <f t="shared" si="43"/>
        <v>-1300.8329214251178</v>
      </c>
      <c r="Y134" s="356">
        <f t="shared" si="28"/>
        <v>1299423.632143586</v>
      </c>
      <c r="AA134" s="357">
        <f>+Bono!J134</f>
        <v>167065.24660271415</v>
      </c>
      <c r="AC134" s="378">
        <f t="shared" si="34"/>
        <v>9.25</v>
      </c>
      <c r="AD134" s="356">
        <f t="shared" si="35"/>
        <v>1734215.0817299513</v>
      </c>
    </row>
    <row r="135" spans="2:30" x14ac:dyDescent="0.25">
      <c r="B135" s="356">
        <f t="shared" si="29"/>
        <v>112</v>
      </c>
      <c r="C135" s="357">
        <f t="shared" si="36"/>
        <v>9</v>
      </c>
      <c r="D135" s="357">
        <f t="shared" si="37"/>
        <v>4</v>
      </c>
      <c r="E135" s="357">
        <f t="shared" si="38"/>
        <v>38</v>
      </c>
      <c r="F135" s="356">
        <f t="shared" si="30"/>
        <v>267726.2029836512</v>
      </c>
      <c r="H135" s="356">
        <f t="shared" si="26"/>
        <v>2134.8863390888287</v>
      </c>
      <c r="I135" s="356">
        <v>0</v>
      </c>
      <c r="J135" s="356">
        <v>0</v>
      </c>
      <c r="K135" s="356">
        <f t="shared" si="31"/>
        <v>-269.86108932274004</v>
      </c>
      <c r="L135" s="356">
        <f t="shared" si="27"/>
        <v>269591.2282334173</v>
      </c>
      <c r="N135" s="356">
        <f t="shared" si="32"/>
        <v>112</v>
      </c>
      <c r="O135" s="357">
        <f t="shared" si="39"/>
        <v>9</v>
      </c>
      <c r="P135" s="357">
        <f t="shared" si="40"/>
        <v>4</v>
      </c>
      <c r="Q135" s="357">
        <f t="shared" si="41"/>
        <v>9</v>
      </c>
      <c r="R135" s="356">
        <f t="shared" si="33"/>
        <v>1299423.632143586</v>
      </c>
      <c r="S135" s="356">
        <f>IF($G$4="mensual",S132,IF($G$4="trimestral",S132,0))</f>
        <v>10000</v>
      </c>
      <c r="U135" s="356">
        <f t="shared" si="42"/>
        <v>10441.52792363818</v>
      </c>
      <c r="V135" s="359">
        <f t="shared" si="44"/>
        <v>-108.45636010651717</v>
      </c>
      <c r="X135" s="359">
        <f t="shared" si="43"/>
        <v>-1319.8651600672242</v>
      </c>
      <c r="Y135" s="356">
        <f t="shared" si="28"/>
        <v>1318436.8385470503</v>
      </c>
      <c r="AA135" s="357">
        <f>+Bono!J135</f>
        <v>168101.07051002013</v>
      </c>
      <c r="AC135" s="378">
        <f t="shared" si="34"/>
        <v>9.333333333333334</v>
      </c>
      <c r="AD135" s="356">
        <f t="shared" si="35"/>
        <v>1756129.1372904878</v>
      </c>
    </row>
    <row r="136" spans="2:30" x14ac:dyDescent="0.25">
      <c r="B136" s="356">
        <f t="shared" si="29"/>
        <v>113</v>
      </c>
      <c r="C136" s="357">
        <f t="shared" si="36"/>
        <v>9</v>
      </c>
      <c r="D136" s="357">
        <f t="shared" si="37"/>
        <v>5</v>
      </c>
      <c r="E136" s="357">
        <f t="shared" si="38"/>
        <v>38</v>
      </c>
      <c r="F136" s="356">
        <f t="shared" si="30"/>
        <v>269591.2282334173</v>
      </c>
      <c r="H136" s="356">
        <f t="shared" si="26"/>
        <v>2149.758312333915</v>
      </c>
      <c r="I136" s="356">
        <v>0</v>
      </c>
      <c r="J136" s="356">
        <v>0</v>
      </c>
      <c r="K136" s="356">
        <f t="shared" si="31"/>
        <v>-271.74098654575124</v>
      </c>
      <c r="L136" s="356">
        <f t="shared" si="27"/>
        <v>271469.2455592055</v>
      </c>
      <c r="N136" s="356">
        <f t="shared" si="32"/>
        <v>113</v>
      </c>
      <c r="O136" s="357">
        <f t="shared" si="39"/>
        <v>9</v>
      </c>
      <c r="P136" s="357">
        <f t="shared" si="40"/>
        <v>5</v>
      </c>
      <c r="Q136" s="357">
        <f t="shared" si="41"/>
        <v>9</v>
      </c>
      <c r="R136" s="356">
        <f t="shared" si="33"/>
        <v>1318436.8385470503</v>
      </c>
      <c r="S136" s="356">
        <f>IF($G$4="mensual",S135,0)</f>
        <v>10000</v>
      </c>
      <c r="U136" s="356">
        <f t="shared" si="42"/>
        <v>10593.141901503135</v>
      </c>
      <c r="V136" s="359">
        <f t="shared" si="44"/>
        <v>-108.45636010651717</v>
      </c>
      <c r="X136" s="359">
        <f t="shared" si="43"/>
        <v>-1339.0299804485533</v>
      </c>
      <c r="Y136" s="356">
        <f t="shared" si="28"/>
        <v>1337582.4941079982</v>
      </c>
      <c r="AA136" s="357">
        <f>+Bono!J136</f>
        <v>169143.31664569958</v>
      </c>
      <c r="AC136" s="378">
        <f t="shared" si="34"/>
        <v>9.416666666666666</v>
      </c>
      <c r="AD136" s="356">
        <f t="shared" si="35"/>
        <v>1778195.0563129033</v>
      </c>
    </row>
    <row r="137" spans="2:30" x14ac:dyDescent="0.25">
      <c r="B137" s="356">
        <f t="shared" si="29"/>
        <v>114</v>
      </c>
      <c r="C137" s="357">
        <f t="shared" si="36"/>
        <v>9</v>
      </c>
      <c r="D137" s="357">
        <f t="shared" si="37"/>
        <v>6</v>
      </c>
      <c r="E137" s="357">
        <f t="shared" si="38"/>
        <v>38</v>
      </c>
      <c r="F137" s="356">
        <f t="shared" si="30"/>
        <v>271469.2455592055</v>
      </c>
      <c r="H137" s="356">
        <f t="shared" si="26"/>
        <v>2164.733886217664</v>
      </c>
      <c r="I137" s="356">
        <v>0</v>
      </c>
      <c r="J137" s="360">
        <f>-SUM(F137:H137)*$J$21</f>
        <v>-2462.7058150088083</v>
      </c>
      <c r="K137" s="356">
        <f t="shared" si="31"/>
        <v>-271.17127363041436</v>
      </c>
      <c r="L137" s="356">
        <f t="shared" si="27"/>
        <v>270900.10235678393</v>
      </c>
      <c r="N137" s="356">
        <f t="shared" si="32"/>
        <v>114</v>
      </c>
      <c r="O137" s="357">
        <f t="shared" si="39"/>
        <v>9</v>
      </c>
      <c r="P137" s="357">
        <f t="shared" si="40"/>
        <v>6</v>
      </c>
      <c r="Q137" s="357">
        <f t="shared" si="41"/>
        <v>9</v>
      </c>
      <c r="R137" s="356">
        <f t="shared" si="33"/>
        <v>1337582.4941079982</v>
      </c>
      <c r="S137" s="356">
        <f>IF($G$4="mensual",S136,0)</f>
        <v>10000</v>
      </c>
      <c r="U137" s="356">
        <f t="shared" si="42"/>
        <v>10745.812047549558</v>
      </c>
      <c r="V137" s="359">
        <f t="shared" si="44"/>
        <v>-108.45636010651717</v>
      </c>
      <c r="X137" s="359">
        <f t="shared" si="43"/>
        <v>-1358.3283061555478</v>
      </c>
      <c r="Y137" s="356">
        <f t="shared" si="28"/>
        <v>1356861.5214892856</v>
      </c>
      <c r="AA137" s="357">
        <f>+Bono!J137</f>
        <v>168658.76334337358</v>
      </c>
      <c r="AC137" s="378">
        <f t="shared" si="34"/>
        <v>9.5</v>
      </c>
      <c r="AD137" s="356">
        <f t="shared" si="35"/>
        <v>1796420.3871894432</v>
      </c>
    </row>
    <row r="138" spans="2:30" x14ac:dyDescent="0.25">
      <c r="B138" s="356">
        <f t="shared" si="29"/>
        <v>115</v>
      </c>
      <c r="C138" s="357">
        <f t="shared" si="36"/>
        <v>9</v>
      </c>
      <c r="D138" s="357">
        <f t="shared" si="37"/>
        <v>7</v>
      </c>
      <c r="E138" s="357">
        <f t="shared" si="38"/>
        <v>38</v>
      </c>
      <c r="F138" s="356">
        <f t="shared" si="30"/>
        <v>270900.10235678393</v>
      </c>
      <c r="H138" s="356">
        <f t="shared" si="26"/>
        <v>2160.195458397399</v>
      </c>
      <c r="I138" s="356">
        <v>0</v>
      </c>
      <c r="J138" s="356">
        <v>0</v>
      </c>
      <c r="K138" s="356">
        <f t="shared" si="31"/>
        <v>-273.06029781518134</v>
      </c>
      <c r="L138" s="356">
        <f t="shared" si="27"/>
        <v>272787.2375173661</v>
      </c>
      <c r="N138" s="356">
        <f t="shared" si="32"/>
        <v>115</v>
      </c>
      <c r="O138" s="357">
        <f t="shared" si="39"/>
        <v>9</v>
      </c>
      <c r="P138" s="357">
        <f t="shared" si="40"/>
        <v>7</v>
      </c>
      <c r="Q138" s="357">
        <f t="shared" si="41"/>
        <v>9</v>
      </c>
      <c r="R138" s="356">
        <f t="shared" si="33"/>
        <v>1356861.5214892856</v>
      </c>
      <c r="S138" s="356">
        <f>+IF($G$4="mensual",S132,IF($G$4="trimestral",S132,IF($G$4="semestral",S132,0)))</f>
        <v>10000</v>
      </c>
      <c r="U138" s="356">
        <f t="shared" si="42"/>
        <v>10899.545719220623</v>
      </c>
      <c r="V138" s="359">
        <f t="shared" si="44"/>
        <v>-108.45636010651717</v>
      </c>
      <c r="X138" s="359">
        <f t="shared" si="43"/>
        <v>-1377.7610672085061</v>
      </c>
      <c r="Y138" s="356">
        <f t="shared" si="28"/>
        <v>1376274.849781191</v>
      </c>
      <c r="AA138" s="357">
        <f>+Bono!J138</f>
        <v>169704.46723930814</v>
      </c>
      <c r="AC138" s="378">
        <f t="shared" si="34"/>
        <v>9.583333333333334</v>
      </c>
      <c r="AD138" s="356">
        <f t="shared" si="35"/>
        <v>1818766.5545378653</v>
      </c>
    </row>
    <row r="139" spans="2:30" x14ac:dyDescent="0.25">
      <c r="B139" s="356">
        <f t="shared" si="29"/>
        <v>116</v>
      </c>
      <c r="C139" s="357">
        <f t="shared" si="36"/>
        <v>9</v>
      </c>
      <c r="D139" s="357">
        <f t="shared" si="37"/>
        <v>8</v>
      </c>
      <c r="E139" s="357">
        <f t="shared" si="38"/>
        <v>38</v>
      </c>
      <c r="F139" s="356">
        <f t="shared" si="30"/>
        <v>272787.2375173661</v>
      </c>
      <c r="H139" s="356">
        <f t="shared" si="26"/>
        <v>2175.243739176203</v>
      </c>
      <c r="I139" s="356">
        <v>0</v>
      </c>
      <c r="J139" s="356">
        <v>0</v>
      </c>
      <c r="K139" s="356">
        <f t="shared" si="31"/>
        <v>-274.96248125654233</v>
      </c>
      <c r="L139" s="356">
        <f t="shared" si="27"/>
        <v>274687.5187752858</v>
      </c>
      <c r="N139" s="356">
        <f t="shared" si="32"/>
        <v>116</v>
      </c>
      <c r="O139" s="357">
        <f t="shared" si="39"/>
        <v>9</v>
      </c>
      <c r="P139" s="357">
        <f t="shared" si="40"/>
        <v>8</v>
      </c>
      <c r="Q139" s="357">
        <f t="shared" si="41"/>
        <v>9</v>
      </c>
      <c r="R139" s="356">
        <f t="shared" si="33"/>
        <v>1376274.849781191</v>
      </c>
      <c r="S139" s="356">
        <f>IF($G$4="mensual",S138,0)</f>
        <v>10000</v>
      </c>
      <c r="U139" s="356">
        <f t="shared" si="42"/>
        <v>11054.350325212688</v>
      </c>
      <c r="V139" s="359">
        <f t="shared" si="44"/>
        <v>-108.45636010651717</v>
      </c>
      <c r="X139" s="359">
        <f t="shared" si="43"/>
        <v>-1397.3292001064035</v>
      </c>
      <c r="Y139" s="356">
        <f t="shared" si="28"/>
        <v>1395823.4145461905</v>
      </c>
      <c r="AA139" s="357">
        <f>+Bono!J139</f>
        <v>170756.65462069167</v>
      </c>
      <c r="AC139" s="378">
        <f t="shared" si="34"/>
        <v>9.666666666666666</v>
      </c>
      <c r="AD139" s="356">
        <f t="shared" si="35"/>
        <v>1841267.5879421681</v>
      </c>
    </row>
    <row r="140" spans="2:30" x14ac:dyDescent="0.25">
      <c r="B140" s="356">
        <f t="shared" si="29"/>
        <v>117</v>
      </c>
      <c r="C140" s="357">
        <f t="shared" si="36"/>
        <v>9</v>
      </c>
      <c r="D140" s="357">
        <f t="shared" si="37"/>
        <v>9</v>
      </c>
      <c r="E140" s="357">
        <f t="shared" si="38"/>
        <v>38</v>
      </c>
      <c r="F140" s="356">
        <f t="shared" si="30"/>
        <v>274687.5187752858</v>
      </c>
      <c r="H140" s="356">
        <f t="shared" si="26"/>
        <v>2190.3968487812685</v>
      </c>
      <c r="I140" s="356">
        <v>0</v>
      </c>
      <c r="J140" s="360">
        <f>-SUM(F140:H140)*$J$21</f>
        <v>-2491.901240616604</v>
      </c>
      <c r="K140" s="356">
        <f t="shared" si="31"/>
        <v>-274.38601438345046</v>
      </c>
      <c r="L140" s="356">
        <f t="shared" si="27"/>
        <v>274111.628369067</v>
      </c>
      <c r="N140" s="356">
        <f t="shared" si="32"/>
        <v>117</v>
      </c>
      <c r="O140" s="357">
        <f t="shared" si="39"/>
        <v>9</v>
      </c>
      <c r="P140" s="357">
        <f t="shared" si="40"/>
        <v>9</v>
      </c>
      <c r="Q140" s="357">
        <f t="shared" si="41"/>
        <v>9</v>
      </c>
      <c r="R140" s="356">
        <f t="shared" si="33"/>
        <v>1395823.4145461905</v>
      </c>
      <c r="S140" s="356">
        <f>IF($G$4="mensual",S139,0)</f>
        <v>10000</v>
      </c>
      <c r="U140" s="356">
        <f t="shared" si="42"/>
        <v>11210.233325832314</v>
      </c>
      <c r="V140" s="359">
        <f t="shared" si="44"/>
        <v>-108.45636010651717</v>
      </c>
      <c r="X140" s="359">
        <f t="shared" si="43"/>
        <v>-1417.0336478720228</v>
      </c>
      <c r="Y140" s="356">
        <f t="shared" si="28"/>
        <v>1415508.1578640442</v>
      </c>
      <c r="AA140" s="357">
        <f>+Bono!J140</f>
        <v>170267.47950853565</v>
      </c>
      <c r="AC140" s="378">
        <f t="shared" si="34"/>
        <v>9.75</v>
      </c>
      <c r="AD140" s="356">
        <f t="shared" si="35"/>
        <v>1859887.2657416468</v>
      </c>
    </row>
    <row r="141" spans="2:30" x14ac:dyDescent="0.25">
      <c r="B141" s="356">
        <f t="shared" si="29"/>
        <v>118</v>
      </c>
      <c r="C141" s="357">
        <f t="shared" si="36"/>
        <v>9</v>
      </c>
      <c r="D141" s="357">
        <f t="shared" si="37"/>
        <v>10</v>
      </c>
      <c r="E141" s="357">
        <f t="shared" si="38"/>
        <v>38</v>
      </c>
      <c r="F141" s="356">
        <f t="shared" si="30"/>
        <v>274111.628369067</v>
      </c>
      <c r="H141" s="356">
        <f t="shared" si="26"/>
        <v>2185.804617810421</v>
      </c>
      <c r="I141" s="356">
        <v>0</v>
      </c>
      <c r="J141" s="356">
        <v>0</v>
      </c>
      <c r="K141" s="356">
        <f t="shared" si="31"/>
        <v>-276.2974329868774</v>
      </c>
      <c r="L141" s="356">
        <f t="shared" si="27"/>
        <v>276021.1355538905</v>
      </c>
      <c r="N141" s="356">
        <f t="shared" si="32"/>
        <v>118</v>
      </c>
      <c r="O141" s="357">
        <f t="shared" si="39"/>
        <v>9</v>
      </c>
      <c r="P141" s="357">
        <f t="shared" si="40"/>
        <v>10</v>
      </c>
      <c r="Q141" s="357">
        <f t="shared" si="41"/>
        <v>9</v>
      </c>
      <c r="R141" s="356">
        <f t="shared" si="33"/>
        <v>1415508.1578640442</v>
      </c>
      <c r="S141" s="356">
        <f>IF($G$4="mensual",S132,IF($G$4="trimestral",S132,0))</f>
        <v>10000</v>
      </c>
      <c r="U141" s="356">
        <f t="shared" si="42"/>
        <v>11367.202233355803</v>
      </c>
      <c r="V141" s="359">
        <f t="shared" si="44"/>
        <v>-108.45636010651717</v>
      </c>
      <c r="X141" s="359">
        <f t="shared" si="43"/>
        <v>-1436.8753600973998</v>
      </c>
      <c r="Y141" s="356">
        <f t="shared" si="28"/>
        <v>1435330.0283771958</v>
      </c>
      <c r="AA141" s="357">
        <f>+Bono!J141</f>
        <v>171323.15763129375</v>
      </c>
      <c r="AC141" s="378">
        <f t="shared" si="34"/>
        <v>9.833333333333334</v>
      </c>
      <c r="AD141" s="356">
        <f t="shared" si="35"/>
        <v>1882674.32156238</v>
      </c>
    </row>
    <row r="142" spans="2:30" x14ac:dyDescent="0.25">
      <c r="B142" s="356">
        <f t="shared" si="29"/>
        <v>119</v>
      </c>
      <c r="C142" s="357">
        <f t="shared" si="36"/>
        <v>9</v>
      </c>
      <c r="D142" s="357">
        <f t="shared" si="37"/>
        <v>11</v>
      </c>
      <c r="E142" s="357">
        <f t="shared" si="38"/>
        <v>38</v>
      </c>
      <c r="F142" s="356">
        <f t="shared" si="30"/>
        <v>276021.1355538905</v>
      </c>
      <c r="H142" s="356">
        <f t="shared" si="26"/>
        <v>2201.0312962522044</v>
      </c>
      <c r="I142" s="356">
        <v>0</v>
      </c>
      <c r="J142" s="356">
        <v>0</v>
      </c>
      <c r="K142" s="356">
        <f t="shared" si="31"/>
        <v>-278.2221668501427</v>
      </c>
      <c r="L142" s="356">
        <f t="shared" si="27"/>
        <v>277943.9446832926</v>
      </c>
      <c r="N142" s="356">
        <f t="shared" si="32"/>
        <v>119</v>
      </c>
      <c r="O142" s="357">
        <f t="shared" si="39"/>
        <v>9</v>
      </c>
      <c r="P142" s="357">
        <f t="shared" si="40"/>
        <v>11</v>
      </c>
      <c r="Q142" s="357">
        <f t="shared" si="41"/>
        <v>9</v>
      </c>
      <c r="R142" s="356">
        <f t="shared" si="33"/>
        <v>1435330.0283771958</v>
      </c>
      <c r="S142" s="356">
        <f>IF($G$17="si",S130*(1+$G$20),S130)</f>
        <v>10000</v>
      </c>
      <c r="U142" s="356">
        <f t="shared" si="42"/>
        <v>11525.264612391222</v>
      </c>
      <c r="V142" s="359">
        <f t="shared" si="44"/>
        <v>-108.45636010651717</v>
      </c>
      <c r="X142" s="359">
        <f t="shared" si="43"/>
        <v>-1456.855292989587</v>
      </c>
      <c r="Y142" s="356">
        <f t="shared" si="28"/>
        <v>1455289.9813364907</v>
      </c>
      <c r="AA142" s="357">
        <f>+Bono!J142</f>
        <v>172385.38108086406</v>
      </c>
      <c r="AC142" s="378">
        <f t="shared" si="34"/>
        <v>9.916666666666666</v>
      </c>
      <c r="AD142" s="356">
        <f t="shared" si="35"/>
        <v>1905619.3071006474</v>
      </c>
    </row>
    <row r="143" spans="2:30" x14ac:dyDescent="0.25">
      <c r="B143" s="356">
        <f t="shared" si="29"/>
        <v>120</v>
      </c>
      <c r="C143" s="357">
        <f t="shared" si="36"/>
        <v>9</v>
      </c>
      <c r="D143" s="357">
        <f t="shared" si="37"/>
        <v>12</v>
      </c>
      <c r="E143" s="357">
        <f t="shared" si="38"/>
        <v>38</v>
      </c>
      <c r="F143" s="356">
        <f t="shared" si="30"/>
        <v>277943.9446832926</v>
      </c>
      <c r="H143" s="356">
        <f t="shared" si="26"/>
        <v>2216.364046268035</v>
      </c>
      <c r="I143" s="356">
        <v>0</v>
      </c>
      <c r="J143" s="360">
        <f>-SUM(F143:H143)*$J$21</f>
        <v>-2521.442778566046</v>
      </c>
      <c r="K143" s="356">
        <f t="shared" si="31"/>
        <v>-277.6388659509946</v>
      </c>
      <c r="L143" s="356">
        <f t="shared" si="27"/>
        <v>277361.2270850436</v>
      </c>
      <c r="N143" s="356">
        <f t="shared" si="32"/>
        <v>120</v>
      </c>
      <c r="O143" s="357">
        <f t="shared" si="39"/>
        <v>9</v>
      </c>
      <c r="P143" s="357">
        <f t="shared" si="40"/>
        <v>12</v>
      </c>
      <c r="Q143" s="357">
        <f t="shared" si="41"/>
        <v>9</v>
      </c>
      <c r="R143" s="356">
        <f t="shared" si="33"/>
        <v>1455289.9813364907</v>
      </c>
      <c r="S143" s="356">
        <f>IF($G$4="mensual",S142,0)</f>
        <v>10000</v>
      </c>
      <c r="U143" s="356">
        <f t="shared" si="42"/>
        <v>11684.428080242953</v>
      </c>
      <c r="V143" s="359">
        <f t="shared" si="44"/>
        <v>-108.45636010651717</v>
      </c>
      <c r="X143" s="359">
        <f t="shared" si="43"/>
        <v>-1476.9744094167338</v>
      </c>
      <c r="Y143" s="356">
        <f t="shared" si="28"/>
        <v>1475388.9786472104</v>
      </c>
      <c r="AA143" s="357">
        <f>+Bono!J143</f>
        <v>171891.54007471638</v>
      </c>
      <c r="AC143" s="378">
        <f t="shared" si="34"/>
        <v>10</v>
      </c>
      <c r="AD143" s="356">
        <f t="shared" si="35"/>
        <v>1924641.7458069704</v>
      </c>
    </row>
    <row r="144" spans="2:30" x14ac:dyDescent="0.25">
      <c r="B144" s="356">
        <f t="shared" si="29"/>
        <v>121</v>
      </c>
      <c r="C144" s="357">
        <f t="shared" si="36"/>
        <v>10</v>
      </c>
      <c r="D144" s="357">
        <f t="shared" si="37"/>
        <v>1</v>
      </c>
      <c r="E144" s="357">
        <f t="shared" si="38"/>
        <v>39</v>
      </c>
      <c r="F144" s="356">
        <f t="shared" si="30"/>
        <v>277361.2270850436</v>
      </c>
      <c r="H144" s="356">
        <f t="shared" si="26"/>
        <v>2211.717374309204</v>
      </c>
      <c r="I144" s="356">
        <v>0</v>
      </c>
      <c r="J144" s="356">
        <v>0</v>
      </c>
      <c r="K144" s="356">
        <f t="shared" si="31"/>
        <v>-279.5729444593528</v>
      </c>
      <c r="L144" s="356">
        <f t="shared" si="27"/>
        <v>279293.3715148935</v>
      </c>
      <c r="N144" s="356">
        <f t="shared" si="32"/>
        <v>121</v>
      </c>
      <c r="O144" s="357">
        <f t="shared" si="39"/>
        <v>10</v>
      </c>
      <c r="P144" s="357">
        <f t="shared" si="40"/>
        <v>1</v>
      </c>
      <c r="Q144" s="357">
        <f t="shared" si="41"/>
        <v>10</v>
      </c>
      <c r="R144" s="356">
        <f t="shared" si="33"/>
        <v>1475388.9786472104</v>
      </c>
      <c r="S144" s="356">
        <f>IF($G$17="si",S132*(1+$G$20),S132)</f>
        <v>10000</v>
      </c>
      <c r="U144" s="356">
        <f t="shared" si="42"/>
        <v>11844.70030727879</v>
      </c>
      <c r="V144" s="359">
        <f>(V143*(1+$G$18))</f>
        <v>-112.79461451077786</v>
      </c>
      <c r="X144" s="359">
        <f t="shared" si="43"/>
        <v>-1497.2336789544893</v>
      </c>
      <c r="Y144" s="356">
        <f t="shared" si="28"/>
        <v>1495623.650661024</v>
      </c>
      <c r="AA144" s="357">
        <f>+Bono!J144</f>
        <v>172957.28756136418</v>
      </c>
      <c r="AC144" s="378">
        <f t="shared" si="34"/>
        <v>10.083333333333334</v>
      </c>
      <c r="AD144" s="356">
        <f t="shared" si="35"/>
        <v>1947874.3097372819</v>
      </c>
    </row>
    <row r="145" spans="2:30" x14ac:dyDescent="0.25">
      <c r="B145" s="356">
        <f t="shared" si="29"/>
        <v>122</v>
      </c>
      <c r="C145" s="357">
        <f t="shared" si="36"/>
        <v>10</v>
      </c>
      <c r="D145" s="357">
        <f t="shared" si="37"/>
        <v>2</v>
      </c>
      <c r="E145" s="357">
        <f t="shared" si="38"/>
        <v>39</v>
      </c>
      <c r="F145" s="356">
        <f t="shared" si="30"/>
        <v>279293.3715148935</v>
      </c>
      <c r="H145" s="356">
        <f t="shared" si="26"/>
        <v>2227.124565321751</v>
      </c>
      <c r="I145" s="356">
        <v>0</v>
      </c>
      <c r="J145" s="356">
        <v>0</v>
      </c>
      <c r="K145" s="356">
        <f t="shared" si="31"/>
        <v>-281.52049608021525</v>
      </c>
      <c r="L145" s="356">
        <f t="shared" si="27"/>
        <v>281238.97558413504</v>
      </c>
      <c r="N145" s="356">
        <f t="shared" si="32"/>
        <v>122</v>
      </c>
      <c r="O145" s="357">
        <f t="shared" si="39"/>
        <v>10</v>
      </c>
      <c r="P145" s="357">
        <f t="shared" si="40"/>
        <v>2</v>
      </c>
      <c r="Q145" s="357">
        <f t="shared" si="41"/>
        <v>10</v>
      </c>
      <c r="R145" s="356">
        <f t="shared" si="33"/>
        <v>1495623.650661024</v>
      </c>
      <c r="S145" s="356">
        <f>IF($G$4="mensual",S144,0)</f>
        <v>10000</v>
      </c>
      <c r="U145" s="356">
        <f t="shared" si="42"/>
        <v>12006.05442344975</v>
      </c>
      <c r="V145" s="359">
        <f t="shared" si="44"/>
        <v>-112.79461451077786</v>
      </c>
      <c r="X145" s="359">
        <f t="shared" si="43"/>
        <v>-1517.629705084474</v>
      </c>
      <c r="Y145" s="356">
        <f t="shared" si="28"/>
        <v>1515999.2807648785</v>
      </c>
      <c r="AA145" s="357">
        <f>+Bono!J145</f>
        <v>174029.64280604827</v>
      </c>
      <c r="AC145" s="378">
        <f t="shared" si="34"/>
        <v>10.166666666666666</v>
      </c>
      <c r="AD145" s="356">
        <f t="shared" si="35"/>
        <v>1971267.8991550617</v>
      </c>
    </row>
    <row r="146" spans="2:30" x14ac:dyDescent="0.25">
      <c r="B146" s="356">
        <f t="shared" si="29"/>
        <v>123</v>
      </c>
      <c r="C146" s="357">
        <f t="shared" si="36"/>
        <v>10</v>
      </c>
      <c r="D146" s="357">
        <f t="shared" si="37"/>
        <v>3</v>
      </c>
      <c r="E146" s="357">
        <f t="shared" si="38"/>
        <v>39</v>
      </c>
      <c r="F146" s="356">
        <f t="shared" si="30"/>
        <v>281238.97558413504</v>
      </c>
      <c r="H146" s="356">
        <f t="shared" si="26"/>
        <v>2242.6390853889297</v>
      </c>
      <c r="I146" s="356">
        <v>0</v>
      </c>
      <c r="J146" s="360">
        <f>-SUM(F146:H146)*$J$21</f>
        <v>-2551.334532025716</v>
      </c>
      <c r="K146" s="356">
        <f t="shared" si="31"/>
        <v>-280.93028013749824</v>
      </c>
      <c r="L146" s="356">
        <f t="shared" si="27"/>
        <v>280649.3498573607</v>
      </c>
      <c r="N146" s="356">
        <f t="shared" si="32"/>
        <v>123</v>
      </c>
      <c r="O146" s="357">
        <f t="shared" si="39"/>
        <v>10</v>
      </c>
      <c r="P146" s="357">
        <f t="shared" si="40"/>
        <v>3</v>
      </c>
      <c r="Q146" s="357">
        <f t="shared" si="41"/>
        <v>10</v>
      </c>
      <c r="R146" s="356">
        <f t="shared" si="33"/>
        <v>1515999.2807648785</v>
      </c>
      <c r="S146" s="356">
        <f>IF($G$4="mensual",S145,0)</f>
        <v>10000</v>
      </c>
      <c r="U146" s="356">
        <f t="shared" si="42"/>
        <v>12168.532559225285</v>
      </c>
      <c r="V146" s="359">
        <f t="shared" si="44"/>
        <v>-112.79461451077786</v>
      </c>
      <c r="X146" s="359">
        <f t="shared" si="43"/>
        <v>-1538.167813324104</v>
      </c>
      <c r="Y146" s="356">
        <f t="shared" si="28"/>
        <v>1536516.8508962689</v>
      </c>
      <c r="AA146" s="357">
        <f>+Bono!J146</f>
        <v>173531.09140125982</v>
      </c>
      <c r="AC146" s="378">
        <f t="shared" si="34"/>
        <v>10.25</v>
      </c>
      <c r="AD146" s="356">
        <f t="shared" si="35"/>
        <v>1990697.2921548896</v>
      </c>
    </row>
    <row r="147" spans="2:30" x14ac:dyDescent="0.25">
      <c r="B147" s="356">
        <f t="shared" si="29"/>
        <v>124</v>
      </c>
      <c r="C147" s="357">
        <f t="shared" si="36"/>
        <v>10</v>
      </c>
      <c r="D147" s="357">
        <f t="shared" si="37"/>
        <v>4</v>
      </c>
      <c r="E147" s="357">
        <f t="shared" si="38"/>
        <v>39</v>
      </c>
      <c r="F147" s="356">
        <f t="shared" si="30"/>
        <v>280649.3498573607</v>
      </c>
      <c r="H147" s="356">
        <f t="shared" si="26"/>
        <v>2237.937327043137</v>
      </c>
      <c r="I147" s="356">
        <v>0</v>
      </c>
      <c r="J147" s="356">
        <v>0</v>
      </c>
      <c r="K147" s="356">
        <f t="shared" si="31"/>
        <v>-282.8872871844039</v>
      </c>
      <c r="L147" s="356">
        <f t="shared" si="27"/>
        <v>282604.39989721944</v>
      </c>
      <c r="N147" s="356">
        <f t="shared" si="32"/>
        <v>124</v>
      </c>
      <c r="O147" s="357">
        <f t="shared" si="39"/>
        <v>10</v>
      </c>
      <c r="P147" s="357">
        <f t="shared" si="40"/>
        <v>4</v>
      </c>
      <c r="Q147" s="357">
        <f t="shared" si="41"/>
        <v>10</v>
      </c>
      <c r="R147" s="356">
        <f t="shared" si="33"/>
        <v>1536516.8508962689</v>
      </c>
      <c r="S147" s="356">
        <f>IF($G$4="mensual",S144,IF($G$4="trimestral",S144,0))</f>
        <v>10000</v>
      </c>
      <c r="U147" s="356">
        <f t="shared" si="42"/>
        <v>12332.142544712871</v>
      </c>
      <c r="V147" s="359">
        <f t="shared" si="44"/>
        <v>-112.79461451077786</v>
      </c>
      <c r="X147" s="359">
        <f t="shared" si="43"/>
        <v>-1558.8489934409818</v>
      </c>
      <c r="Y147" s="356">
        <f t="shared" si="28"/>
        <v>1557177.3498330298</v>
      </c>
      <c r="AA147" s="357">
        <f>+Bono!J147</f>
        <v>174607.00429630838</v>
      </c>
      <c r="AC147" s="378">
        <f t="shared" si="34"/>
        <v>10.333333333333334</v>
      </c>
      <c r="AD147" s="356">
        <f t="shared" si="35"/>
        <v>2014388.7540265576</v>
      </c>
    </row>
    <row r="148" spans="2:30" x14ac:dyDescent="0.25">
      <c r="B148" s="356">
        <f t="shared" si="29"/>
        <v>125</v>
      </c>
      <c r="C148" s="357">
        <f t="shared" si="36"/>
        <v>10</v>
      </c>
      <c r="D148" s="357">
        <f t="shared" si="37"/>
        <v>5</v>
      </c>
      <c r="E148" s="357">
        <f t="shared" si="38"/>
        <v>39</v>
      </c>
      <c r="F148" s="356">
        <f t="shared" si="30"/>
        <v>282604.39989721944</v>
      </c>
      <c r="H148" s="356">
        <f t="shared" si="26"/>
        <v>2253.527170606504</v>
      </c>
      <c r="I148" s="356">
        <v>0</v>
      </c>
      <c r="J148" s="356">
        <v>0</v>
      </c>
      <c r="K148" s="356">
        <f t="shared" si="31"/>
        <v>-284.8579270678259</v>
      </c>
      <c r="L148" s="356">
        <f t="shared" si="27"/>
        <v>284573.0691407581</v>
      </c>
      <c r="N148" s="356">
        <f t="shared" si="32"/>
        <v>125</v>
      </c>
      <c r="O148" s="357">
        <f t="shared" si="39"/>
        <v>10</v>
      </c>
      <c r="P148" s="357">
        <f t="shared" si="40"/>
        <v>5</v>
      </c>
      <c r="Q148" s="357">
        <f t="shared" si="41"/>
        <v>10</v>
      </c>
      <c r="R148" s="356">
        <f t="shared" si="33"/>
        <v>1557177.3498330298</v>
      </c>
      <c r="S148" s="356">
        <f>IF($G$4="mensual",S147,0)</f>
        <v>10000</v>
      </c>
      <c r="U148" s="356">
        <f t="shared" si="42"/>
        <v>12496.89226456582</v>
      </c>
      <c r="V148" s="359">
        <f t="shared" si="44"/>
        <v>-112.79461451077786</v>
      </c>
      <c r="X148" s="359">
        <f t="shared" si="43"/>
        <v>-1579.6742420975957</v>
      </c>
      <c r="Y148" s="356">
        <f t="shared" si="28"/>
        <v>1577981.7732409872</v>
      </c>
      <c r="AA148" s="357">
        <f>+Bono!J148</f>
        <v>175689.58797610443</v>
      </c>
      <c r="AC148" s="378">
        <f t="shared" si="34"/>
        <v>10.416666666666666</v>
      </c>
      <c r="AD148" s="356">
        <f t="shared" si="35"/>
        <v>2038244.4303578497</v>
      </c>
    </row>
    <row r="149" spans="2:30" x14ac:dyDescent="0.25">
      <c r="B149" s="356">
        <f t="shared" si="29"/>
        <v>126</v>
      </c>
      <c r="C149" s="357">
        <f t="shared" si="36"/>
        <v>10</v>
      </c>
      <c r="D149" s="357">
        <f t="shared" si="37"/>
        <v>6</v>
      </c>
      <c r="E149" s="357">
        <f t="shared" si="38"/>
        <v>39</v>
      </c>
      <c r="F149" s="356">
        <f t="shared" si="30"/>
        <v>284573.0691407581</v>
      </c>
      <c r="H149" s="356">
        <f t="shared" si="26"/>
        <v>2269.225615612545</v>
      </c>
      <c r="I149" s="356">
        <v>0</v>
      </c>
      <c r="J149" s="360">
        <f>-SUM(F149:H149)*$J$21</f>
        <v>-2581.580652807336</v>
      </c>
      <c r="K149" s="356">
        <f t="shared" si="31"/>
        <v>-284.26071410356326</v>
      </c>
      <c r="L149" s="356">
        <f t="shared" si="27"/>
        <v>283976.4533894597</v>
      </c>
      <c r="N149" s="356">
        <f t="shared" si="32"/>
        <v>126</v>
      </c>
      <c r="O149" s="357">
        <f t="shared" si="39"/>
        <v>10</v>
      </c>
      <c r="P149" s="357">
        <f t="shared" si="40"/>
        <v>6</v>
      </c>
      <c r="Q149" s="357">
        <f t="shared" si="41"/>
        <v>10</v>
      </c>
      <c r="R149" s="356">
        <f t="shared" si="33"/>
        <v>1577981.7732409872</v>
      </c>
      <c r="S149" s="356">
        <f>IF($G$4="mensual",S148,0)</f>
        <v>10000</v>
      </c>
      <c r="U149" s="356">
        <f t="shared" si="42"/>
        <v>12662.789658363246</v>
      </c>
      <c r="V149" s="359">
        <f t="shared" si="44"/>
        <v>-112.79461451077786</v>
      </c>
      <c r="X149" s="359">
        <f t="shared" si="43"/>
        <v>-1600.6445628993504</v>
      </c>
      <c r="Y149" s="356">
        <f t="shared" si="28"/>
        <v>1598931.1237219402</v>
      </c>
      <c r="AA149" s="357">
        <f>+Bono!J149</f>
        <v>175186.28124352777</v>
      </c>
      <c r="AC149" s="378">
        <f t="shared" si="34"/>
        <v>10.5</v>
      </c>
      <c r="AD149" s="356">
        <f t="shared" si="35"/>
        <v>2058093.8583549277</v>
      </c>
    </row>
    <row r="150" spans="2:30" x14ac:dyDescent="0.25">
      <c r="B150" s="356">
        <f t="shared" si="29"/>
        <v>127</v>
      </c>
      <c r="C150" s="357">
        <f t="shared" si="36"/>
        <v>10</v>
      </c>
      <c r="D150" s="357">
        <f t="shared" si="37"/>
        <v>7</v>
      </c>
      <c r="E150" s="357">
        <f t="shared" si="38"/>
        <v>39</v>
      </c>
      <c r="F150" s="356">
        <f t="shared" si="30"/>
        <v>283976.4533894597</v>
      </c>
      <c r="H150" s="356">
        <f t="shared" si="26"/>
        <v>2264.468117829596</v>
      </c>
      <c r="I150" s="356">
        <v>0</v>
      </c>
      <c r="J150" s="356">
        <v>0</v>
      </c>
      <c r="K150" s="356">
        <f t="shared" si="31"/>
        <v>-286.2409215072893</v>
      </c>
      <c r="L150" s="356">
        <f t="shared" si="27"/>
        <v>285954.680585782</v>
      </c>
      <c r="N150" s="356">
        <f t="shared" si="32"/>
        <v>127</v>
      </c>
      <c r="O150" s="357">
        <f t="shared" si="39"/>
        <v>10</v>
      </c>
      <c r="P150" s="357">
        <f t="shared" si="40"/>
        <v>7</v>
      </c>
      <c r="Q150" s="357">
        <f t="shared" si="41"/>
        <v>10</v>
      </c>
      <c r="R150" s="356">
        <f t="shared" si="33"/>
        <v>1598931.1237219402</v>
      </c>
      <c r="S150" s="356">
        <f>+IF($G$4="mensual",S144,IF($G$4="trimestral",S144,IF($G$4="semestral",S144,0)))</f>
        <v>10000</v>
      </c>
      <c r="U150" s="356">
        <f t="shared" si="42"/>
        <v>12829.842720992689</v>
      </c>
      <c r="V150" s="359">
        <f t="shared" si="44"/>
        <v>-112.79461451077786</v>
      </c>
      <c r="X150" s="359">
        <f t="shared" si="43"/>
        <v>-1621.7609664429328</v>
      </c>
      <c r="Y150" s="356">
        <f t="shared" si="28"/>
        <v>1620026.410861979</v>
      </c>
      <c r="AA150" s="357">
        <f>+Bono!J150</f>
        <v>176272.45650758853</v>
      </c>
      <c r="AC150" s="378">
        <f t="shared" si="34"/>
        <v>10.583333333333334</v>
      </c>
      <c r="AD150" s="356">
        <f t="shared" si="35"/>
        <v>2082253.5479553496</v>
      </c>
    </row>
    <row r="151" spans="2:30" x14ac:dyDescent="0.25">
      <c r="B151" s="356">
        <f t="shared" si="29"/>
        <v>128</v>
      </c>
      <c r="C151" s="357">
        <f t="shared" si="36"/>
        <v>10</v>
      </c>
      <c r="D151" s="357">
        <f t="shared" si="37"/>
        <v>8</v>
      </c>
      <c r="E151" s="357">
        <f t="shared" si="38"/>
        <v>39</v>
      </c>
      <c r="F151" s="356">
        <f t="shared" si="30"/>
        <v>285954.680585782</v>
      </c>
      <c r="H151" s="356">
        <f t="shared" si="26"/>
        <v>2280.2427792933463</v>
      </c>
      <c r="I151" s="356">
        <v>0</v>
      </c>
      <c r="J151" s="356">
        <v>0</v>
      </c>
      <c r="K151" s="356">
        <f t="shared" si="31"/>
        <v>-288.2349233650753</v>
      </c>
      <c r="L151" s="356">
        <f t="shared" si="27"/>
        <v>287946.68844171026</v>
      </c>
      <c r="N151" s="356">
        <f t="shared" si="32"/>
        <v>128</v>
      </c>
      <c r="O151" s="357">
        <f t="shared" si="39"/>
        <v>10</v>
      </c>
      <c r="P151" s="357">
        <f t="shared" si="40"/>
        <v>8</v>
      </c>
      <c r="Q151" s="357">
        <f t="shared" si="41"/>
        <v>10</v>
      </c>
      <c r="R151" s="356">
        <f t="shared" si="33"/>
        <v>1620026.410861979</v>
      </c>
      <c r="S151" s="356">
        <f>IF($G$4="mensual",S150,0)</f>
        <v>10000</v>
      </c>
      <c r="U151" s="356">
        <f t="shared" si="42"/>
        <v>12998.059503035405</v>
      </c>
      <c r="V151" s="359">
        <f t="shared" si="44"/>
        <v>-112.79461451077786</v>
      </c>
      <c r="X151" s="359">
        <f t="shared" si="43"/>
        <v>-1643.0244703650144</v>
      </c>
      <c r="Y151" s="356">
        <f t="shared" si="28"/>
        <v>1641268.6512801386</v>
      </c>
      <c r="AA151" s="357">
        <f>+Bono!J151</f>
        <v>177365.366184275</v>
      </c>
      <c r="AC151" s="378">
        <f t="shared" si="34"/>
        <v>10.666666666666666</v>
      </c>
      <c r="AD151" s="356">
        <f t="shared" si="35"/>
        <v>2106580.705906124</v>
      </c>
    </row>
    <row r="152" spans="2:30" x14ac:dyDescent="0.25">
      <c r="B152" s="356">
        <f t="shared" si="29"/>
        <v>129</v>
      </c>
      <c r="C152" s="357">
        <f t="shared" si="36"/>
        <v>10</v>
      </c>
      <c r="D152" s="357">
        <f t="shared" si="37"/>
        <v>9</v>
      </c>
      <c r="E152" s="357">
        <f t="shared" si="38"/>
        <v>39</v>
      </c>
      <c r="F152" s="356">
        <f t="shared" si="30"/>
        <v>287946.68844171026</v>
      </c>
      <c r="H152" s="356">
        <f t="shared" ref="H152:H215" si="45">SUM(F152:G152)*$G$8</f>
        <v>2296.127329671998</v>
      </c>
      <c r="I152" s="356">
        <v>0</v>
      </c>
      <c r="J152" s="360">
        <f>-SUM(F152:H152)*$J$21</f>
        <v>-2612.1853419424406</v>
      </c>
      <c r="K152" s="356">
        <f t="shared" si="31"/>
        <v>-287.63063042943986</v>
      </c>
      <c r="L152" s="356">
        <f t="shared" ref="L152:L215" si="46">SUM(F152:K152)</f>
        <v>287342.9997990104</v>
      </c>
      <c r="N152" s="356">
        <f t="shared" si="32"/>
        <v>129</v>
      </c>
      <c r="O152" s="357">
        <f t="shared" si="39"/>
        <v>10</v>
      </c>
      <c r="P152" s="357">
        <f t="shared" si="40"/>
        <v>9</v>
      </c>
      <c r="Q152" s="357">
        <f t="shared" si="41"/>
        <v>10</v>
      </c>
      <c r="R152" s="356">
        <f t="shared" si="33"/>
        <v>1641268.6512801386</v>
      </c>
      <c r="S152" s="356">
        <f>IF($G$4="mensual",S151,0)</f>
        <v>10000</v>
      </c>
      <c r="U152" s="356">
        <f t="shared" si="42"/>
        <v>13167.448111154345</v>
      </c>
      <c r="V152" s="359">
        <f t="shared" si="44"/>
        <v>-112.79461451077786</v>
      </c>
      <c r="X152" s="359">
        <f t="shared" si="43"/>
        <v>-1664.436099391293</v>
      </c>
      <c r="Y152" s="356">
        <f t="shared" ref="Y152:Y215" si="47">SUM(R152:X152)</f>
        <v>1662658.868677391</v>
      </c>
      <c r="AA152" s="357">
        <f>+Bono!J152</f>
        <v>176857.25876621556</v>
      </c>
      <c r="AC152" s="378">
        <f t="shared" si="34"/>
        <v>10.75</v>
      </c>
      <c r="AD152" s="356">
        <f t="shared" si="35"/>
        <v>2126859.127242617</v>
      </c>
    </row>
    <row r="153" spans="2:30" x14ac:dyDescent="0.25">
      <c r="B153" s="356">
        <f t="shared" ref="B153:B216" si="48">+B152+1</f>
        <v>130</v>
      </c>
      <c r="C153" s="357">
        <f t="shared" si="36"/>
        <v>10</v>
      </c>
      <c r="D153" s="357">
        <f t="shared" si="37"/>
        <v>10</v>
      </c>
      <c r="E153" s="357">
        <f t="shared" si="38"/>
        <v>39</v>
      </c>
      <c r="F153" s="356">
        <f t="shared" ref="F153:F216" si="49">L152</f>
        <v>287342.9997990104</v>
      </c>
      <c r="H153" s="356">
        <f t="shared" si="45"/>
        <v>2291.3134316597752</v>
      </c>
      <c r="I153" s="356">
        <v>0</v>
      </c>
      <c r="J153" s="356">
        <v>0</v>
      </c>
      <c r="K153" s="356">
        <f t="shared" ref="K153:K216" si="50">-SUM(F153:J153)*0.1%</f>
        <v>-289.63431323067016</v>
      </c>
      <c r="L153" s="356">
        <f t="shared" si="46"/>
        <v>289344.6789174395</v>
      </c>
      <c r="N153" s="356">
        <f t="shared" ref="N153:N216" si="51">+N152+1</f>
        <v>130</v>
      </c>
      <c r="O153" s="357">
        <f t="shared" si="39"/>
        <v>10</v>
      </c>
      <c r="P153" s="357">
        <f t="shared" si="40"/>
        <v>10</v>
      </c>
      <c r="Q153" s="357">
        <f t="shared" si="41"/>
        <v>10</v>
      </c>
      <c r="R153" s="356">
        <f t="shared" ref="R153:R216" si="52">Y152</f>
        <v>1662658.868677391</v>
      </c>
      <c r="S153" s="356">
        <f>IF($G$4="mensual",S144,IF($G$4="trimestral",S144,0))</f>
        <v>10000</v>
      </c>
      <c r="U153" s="356">
        <f t="shared" si="42"/>
        <v>13338.016708484816</v>
      </c>
      <c r="V153" s="359">
        <f t="shared" si="44"/>
        <v>-112.79461451077786</v>
      </c>
      <c r="X153" s="359">
        <f t="shared" si="43"/>
        <v>-1685.9968853858759</v>
      </c>
      <c r="Y153" s="356">
        <f t="shared" si="47"/>
        <v>1684198.0938859791</v>
      </c>
      <c r="AA153" s="357">
        <f>+Bono!J153</f>
        <v>177953.79428473837</v>
      </c>
      <c r="AC153" s="378">
        <f t="shared" ref="AC153:AC216" si="53">+B153/12</f>
        <v>10.833333333333334</v>
      </c>
      <c r="AD153" s="356">
        <f t="shared" ref="AD153:AD216" si="54">+AA153+Y153+L153</f>
        <v>2151496.567088157</v>
      </c>
    </row>
    <row r="154" spans="2:30" x14ac:dyDescent="0.25">
      <c r="B154" s="356">
        <f t="shared" si="48"/>
        <v>131</v>
      </c>
      <c r="C154" s="357">
        <f t="shared" si="36"/>
        <v>10</v>
      </c>
      <c r="D154" s="357">
        <f t="shared" si="37"/>
        <v>11</v>
      </c>
      <c r="E154" s="357">
        <f t="shared" si="38"/>
        <v>39</v>
      </c>
      <c r="F154" s="356">
        <f t="shared" si="49"/>
        <v>289344.6789174395</v>
      </c>
      <c r="H154" s="356">
        <f t="shared" si="45"/>
        <v>2307.2751020437327</v>
      </c>
      <c r="I154" s="356">
        <v>0</v>
      </c>
      <c r="J154" s="356">
        <v>0</v>
      </c>
      <c r="K154" s="356">
        <f t="shared" si="50"/>
        <v>-291.65195401948324</v>
      </c>
      <c r="L154" s="356">
        <f t="shared" si="46"/>
        <v>291360.30206546374</v>
      </c>
      <c r="N154" s="356">
        <f t="shared" si="51"/>
        <v>131</v>
      </c>
      <c r="O154" s="357">
        <f t="shared" si="39"/>
        <v>10</v>
      </c>
      <c r="P154" s="357">
        <f t="shared" si="40"/>
        <v>11</v>
      </c>
      <c r="Q154" s="357">
        <f t="shared" si="41"/>
        <v>10</v>
      </c>
      <c r="R154" s="356">
        <f t="shared" si="52"/>
        <v>1684198.0938859791</v>
      </c>
      <c r="S154" s="356">
        <f>IF($G$17="si",S142*(1+$G$20),S142)</f>
        <v>10000</v>
      </c>
      <c r="U154" s="356">
        <f t="shared" si="42"/>
        <v>13509.773515027882</v>
      </c>
      <c r="V154" s="359">
        <f t="shared" si="44"/>
        <v>-112.79461451077786</v>
      </c>
      <c r="X154" s="359">
        <f t="shared" si="43"/>
        <v>-1707.7078674010072</v>
      </c>
      <c r="Y154" s="356">
        <f t="shared" si="47"/>
        <v>1705887.3649190953</v>
      </c>
      <c r="AA154" s="357">
        <f>+Bono!J154</f>
        <v>179057.1284506663</v>
      </c>
      <c r="AC154" s="378">
        <f t="shared" si="53"/>
        <v>10.916666666666666</v>
      </c>
      <c r="AD154" s="356">
        <f t="shared" si="54"/>
        <v>2176304.7954352256</v>
      </c>
    </row>
    <row r="155" spans="2:30" x14ac:dyDescent="0.25">
      <c r="B155" s="356">
        <f t="shared" si="48"/>
        <v>132</v>
      </c>
      <c r="C155" s="357">
        <f t="shared" si="36"/>
        <v>10</v>
      </c>
      <c r="D155" s="357">
        <f t="shared" si="37"/>
        <v>12</v>
      </c>
      <c r="E155" s="357">
        <f t="shared" si="38"/>
        <v>39</v>
      </c>
      <c r="F155" s="356">
        <f t="shared" si="49"/>
        <v>291360.30206546374</v>
      </c>
      <c r="H155" s="356">
        <f t="shared" si="45"/>
        <v>2323.3479640778273</v>
      </c>
      <c r="I155" s="356">
        <v>0</v>
      </c>
      <c r="J155" s="360">
        <f>-SUM(F155:H155)*$J$21</f>
        <v>-2643.1528502658743</v>
      </c>
      <c r="K155" s="356">
        <f t="shared" si="50"/>
        <v>-291.04049717927575</v>
      </c>
      <c r="L155" s="356">
        <f t="shared" si="46"/>
        <v>290749.45668209647</v>
      </c>
      <c r="N155" s="356">
        <f t="shared" si="51"/>
        <v>132</v>
      </c>
      <c r="O155" s="357">
        <f t="shared" si="39"/>
        <v>10</v>
      </c>
      <c r="P155" s="357">
        <f t="shared" si="40"/>
        <v>12</v>
      </c>
      <c r="Q155" s="357">
        <f t="shared" si="41"/>
        <v>10</v>
      </c>
      <c r="R155" s="356">
        <f t="shared" si="52"/>
        <v>1705887.3649190953</v>
      </c>
      <c r="S155" s="356">
        <f>IF($G$4="mensual",S154,0)</f>
        <v>10000</v>
      </c>
      <c r="U155" s="356">
        <f t="shared" si="42"/>
        <v>13682.726808046504</v>
      </c>
      <c r="V155" s="359">
        <f t="shared" si="44"/>
        <v>-112.79461451077786</v>
      </c>
      <c r="X155" s="359">
        <f t="shared" si="43"/>
        <v>-1729.5700917271417</v>
      </c>
      <c r="Y155" s="356">
        <f t="shared" si="47"/>
        <v>1727727.7270209037</v>
      </c>
      <c r="AA155" s="357">
        <f>+Bono!J155</f>
        <v>178544.17455679458</v>
      </c>
      <c r="AC155" s="378">
        <f t="shared" si="53"/>
        <v>11</v>
      </c>
      <c r="AD155" s="356">
        <f t="shared" si="54"/>
        <v>2197021.358259795</v>
      </c>
    </row>
    <row r="156" spans="2:30" x14ac:dyDescent="0.25">
      <c r="B156" s="356">
        <f t="shared" si="48"/>
        <v>133</v>
      </c>
      <c r="C156" s="357">
        <f t="shared" si="36"/>
        <v>11</v>
      </c>
      <c r="D156" s="357">
        <f t="shared" si="37"/>
        <v>1</v>
      </c>
      <c r="E156" s="357">
        <f t="shared" si="38"/>
        <v>40</v>
      </c>
      <c r="F156" s="356">
        <f t="shared" si="49"/>
        <v>290749.45668209647</v>
      </c>
      <c r="H156" s="356">
        <f t="shared" si="45"/>
        <v>2318.476997210509</v>
      </c>
      <c r="I156" s="356">
        <v>0</v>
      </c>
      <c r="J156" s="356">
        <v>0</v>
      </c>
      <c r="K156" s="356">
        <f t="shared" si="50"/>
        <v>-293.067933679307</v>
      </c>
      <c r="L156" s="356">
        <f t="shared" si="46"/>
        <v>292774.86574562767</v>
      </c>
      <c r="N156" s="356">
        <f t="shared" si="51"/>
        <v>133</v>
      </c>
      <c r="O156" s="357">
        <f t="shared" si="39"/>
        <v>11</v>
      </c>
      <c r="P156" s="357">
        <f t="shared" si="40"/>
        <v>1</v>
      </c>
      <c r="Q156" s="357">
        <f t="shared" si="41"/>
        <v>11</v>
      </c>
      <c r="R156" s="356">
        <f t="shared" si="52"/>
        <v>1727727.7270209037</v>
      </c>
      <c r="S156" s="356">
        <f>IF($G$17="si",S144*(1+$G$20),S144)</f>
        <v>10000</v>
      </c>
      <c r="U156" s="356">
        <f t="shared" si="42"/>
        <v>13856.884922464433</v>
      </c>
      <c r="V156" s="359">
        <f>(V155*(1+$G$18))</f>
        <v>-117.30639909120897</v>
      </c>
      <c r="X156" s="359">
        <f t="shared" si="43"/>
        <v>-1751.5846119433681</v>
      </c>
      <c r="Y156" s="356">
        <f t="shared" si="47"/>
        <v>1749715.7209323335</v>
      </c>
      <c r="AA156" s="357">
        <f>+Bono!J156</f>
        <v>179651.1691488891</v>
      </c>
      <c r="AC156" s="378">
        <f t="shared" si="53"/>
        <v>11.083333333333334</v>
      </c>
      <c r="AD156" s="356">
        <f t="shared" si="54"/>
        <v>2222141.7558268504</v>
      </c>
    </row>
    <row r="157" spans="2:30" x14ac:dyDescent="0.25">
      <c r="B157" s="356">
        <f t="shared" si="48"/>
        <v>134</v>
      </c>
      <c r="C157" s="357">
        <f t="shared" si="36"/>
        <v>11</v>
      </c>
      <c r="D157" s="357">
        <f t="shared" si="37"/>
        <v>2</v>
      </c>
      <c r="E157" s="357">
        <f t="shared" si="38"/>
        <v>40</v>
      </c>
      <c r="F157" s="356">
        <f t="shared" si="49"/>
        <v>292774.86574562767</v>
      </c>
      <c r="H157" s="356">
        <f t="shared" si="45"/>
        <v>2334.6278935090813</v>
      </c>
      <c r="I157" s="356">
        <v>0</v>
      </c>
      <c r="J157" s="356">
        <v>0</v>
      </c>
      <c r="K157" s="356">
        <f t="shared" si="50"/>
        <v>-295.1094936391368</v>
      </c>
      <c r="L157" s="356">
        <f t="shared" si="46"/>
        <v>294814.38414549764</v>
      </c>
      <c r="N157" s="356">
        <f t="shared" si="51"/>
        <v>134</v>
      </c>
      <c r="O157" s="357">
        <f t="shared" si="39"/>
        <v>11</v>
      </c>
      <c r="P157" s="357">
        <f t="shared" si="40"/>
        <v>2</v>
      </c>
      <c r="Q157" s="357">
        <f t="shared" si="41"/>
        <v>11</v>
      </c>
      <c r="R157" s="356">
        <f t="shared" si="52"/>
        <v>1749715.7209323335</v>
      </c>
      <c r="S157" s="356">
        <f>IF($G$4="mensual",S156,0)</f>
        <v>10000</v>
      </c>
      <c r="U157" s="356">
        <f t="shared" si="42"/>
        <v>14032.220273664054</v>
      </c>
      <c r="V157" s="359">
        <f t="shared" si="44"/>
        <v>-117.30639909120897</v>
      </c>
      <c r="X157" s="359">
        <f t="shared" si="43"/>
        <v>-1773.7479412059974</v>
      </c>
      <c r="Y157" s="356">
        <f t="shared" si="47"/>
        <v>1771856.8868657004</v>
      </c>
      <c r="AA157" s="357">
        <f>+Bono!J157</f>
        <v>180765.02723585806</v>
      </c>
      <c r="AC157" s="378">
        <f t="shared" si="53"/>
        <v>11.166666666666666</v>
      </c>
      <c r="AD157" s="356">
        <f t="shared" si="54"/>
        <v>2247436.298247056</v>
      </c>
    </row>
    <row r="158" spans="2:30" x14ac:dyDescent="0.25">
      <c r="B158" s="356">
        <f t="shared" si="48"/>
        <v>135</v>
      </c>
      <c r="C158" s="357">
        <f t="shared" si="36"/>
        <v>11</v>
      </c>
      <c r="D158" s="357">
        <f t="shared" si="37"/>
        <v>3</v>
      </c>
      <c r="E158" s="357">
        <f t="shared" si="38"/>
        <v>40</v>
      </c>
      <c r="F158" s="356">
        <f t="shared" si="49"/>
        <v>294814.38414549764</v>
      </c>
      <c r="H158" s="356">
        <f t="shared" si="45"/>
        <v>2350.8912996369777</v>
      </c>
      <c r="I158" s="356">
        <v>0</v>
      </c>
      <c r="J158" s="360">
        <f>-SUM(F158:H158)*$J$21</f>
        <v>-2674.4874790062117</v>
      </c>
      <c r="K158" s="356">
        <f t="shared" si="50"/>
        <v>-294.4907879661284</v>
      </c>
      <c r="L158" s="356">
        <f t="shared" si="46"/>
        <v>294196.29717816226</v>
      </c>
      <c r="N158" s="356">
        <f t="shared" si="51"/>
        <v>135</v>
      </c>
      <c r="O158" s="357">
        <f t="shared" si="39"/>
        <v>11</v>
      </c>
      <c r="P158" s="357">
        <f t="shared" si="40"/>
        <v>3</v>
      </c>
      <c r="Q158" s="357">
        <f t="shared" si="41"/>
        <v>11</v>
      </c>
      <c r="R158" s="356">
        <f t="shared" si="52"/>
        <v>1771856.8868657004</v>
      </c>
      <c r="S158" s="356">
        <f>IF($G$4="mensual",S157,0)</f>
        <v>10000</v>
      </c>
      <c r="U158" s="356">
        <f t="shared" si="42"/>
        <v>14208.777040076382</v>
      </c>
      <c r="V158" s="359">
        <f t="shared" si="44"/>
        <v>-117.30639909120897</v>
      </c>
      <c r="X158" s="359">
        <f t="shared" si="43"/>
        <v>-1796.0656639057768</v>
      </c>
      <c r="Y158" s="356">
        <f t="shared" si="47"/>
        <v>1794152.2918427798</v>
      </c>
      <c r="AA158" s="357">
        <f>+Bono!J158</f>
        <v>180247.18063908315</v>
      </c>
      <c r="AC158" s="378">
        <f t="shared" si="53"/>
        <v>11.25</v>
      </c>
      <c r="AD158" s="356">
        <f t="shared" si="54"/>
        <v>2268595.7696600254</v>
      </c>
    </row>
    <row r="159" spans="2:30" x14ac:dyDescent="0.25">
      <c r="B159" s="356">
        <f t="shared" si="48"/>
        <v>136</v>
      </c>
      <c r="C159" s="357">
        <f t="shared" si="36"/>
        <v>11</v>
      </c>
      <c r="D159" s="357">
        <f t="shared" si="37"/>
        <v>4</v>
      </c>
      <c r="E159" s="357">
        <f t="shared" si="38"/>
        <v>40</v>
      </c>
      <c r="F159" s="356">
        <f t="shared" si="49"/>
        <v>294196.29717816226</v>
      </c>
      <c r="H159" s="356">
        <f t="shared" si="45"/>
        <v>2345.9625873621703</v>
      </c>
      <c r="I159" s="356">
        <v>0</v>
      </c>
      <c r="J159" s="356">
        <v>0</v>
      </c>
      <c r="K159" s="356">
        <f t="shared" si="50"/>
        <v>-296.5422597655244</v>
      </c>
      <c r="L159" s="356">
        <f t="shared" si="46"/>
        <v>296245.7175057589</v>
      </c>
      <c r="N159" s="356">
        <f t="shared" si="51"/>
        <v>136</v>
      </c>
      <c r="O159" s="357">
        <f t="shared" si="39"/>
        <v>11</v>
      </c>
      <c r="P159" s="357">
        <f t="shared" si="40"/>
        <v>4</v>
      </c>
      <c r="Q159" s="357">
        <f t="shared" si="41"/>
        <v>11</v>
      </c>
      <c r="R159" s="356">
        <f t="shared" si="52"/>
        <v>1794152.2918427798</v>
      </c>
      <c r="S159" s="356">
        <f>IF($G$4="mensual",S156,IF($G$4="trimestral",S156,0))</f>
        <v>10000</v>
      </c>
      <c r="U159" s="356">
        <f t="shared" si="42"/>
        <v>14386.563730282895</v>
      </c>
      <c r="V159" s="359">
        <f t="shared" si="44"/>
        <v>-117.30639909120897</v>
      </c>
      <c r="X159" s="359">
        <f t="shared" si="43"/>
        <v>-1818.5388555730628</v>
      </c>
      <c r="Y159" s="356">
        <f t="shared" si="47"/>
        <v>1816603.0103183985</v>
      </c>
      <c r="AA159" s="357">
        <f>+Bono!J159</f>
        <v>181364.73406642434</v>
      </c>
      <c r="AC159" s="378">
        <f t="shared" si="53"/>
        <v>11.333333333333334</v>
      </c>
      <c r="AD159" s="356">
        <f t="shared" si="54"/>
        <v>2294213.461890582</v>
      </c>
    </row>
    <row r="160" spans="2:30" x14ac:dyDescent="0.25">
      <c r="B160" s="356">
        <f t="shared" si="48"/>
        <v>137</v>
      </c>
      <c r="C160" s="357">
        <f t="shared" si="36"/>
        <v>11</v>
      </c>
      <c r="D160" s="357">
        <f t="shared" si="37"/>
        <v>5</v>
      </c>
      <c r="E160" s="357">
        <f t="shared" si="38"/>
        <v>40</v>
      </c>
      <c r="F160" s="356">
        <f t="shared" si="49"/>
        <v>296245.7175057589</v>
      </c>
      <c r="H160" s="356">
        <f t="shared" si="45"/>
        <v>2362.3049528522756</v>
      </c>
      <c r="I160" s="356">
        <v>0</v>
      </c>
      <c r="J160" s="356">
        <v>0</v>
      </c>
      <c r="K160" s="356">
        <f t="shared" si="50"/>
        <v>-298.6080224586112</v>
      </c>
      <c r="L160" s="356">
        <f t="shared" si="46"/>
        <v>298309.41443615255</v>
      </c>
      <c r="N160" s="356">
        <f t="shared" si="51"/>
        <v>137</v>
      </c>
      <c r="O160" s="357">
        <f t="shared" si="39"/>
        <v>11</v>
      </c>
      <c r="P160" s="357">
        <f t="shared" si="40"/>
        <v>5</v>
      </c>
      <c r="Q160" s="357">
        <f t="shared" si="41"/>
        <v>11</v>
      </c>
      <c r="R160" s="356">
        <f t="shared" si="52"/>
        <v>1816603.0103183985</v>
      </c>
      <c r="S160" s="356">
        <f>IF($G$4="mensual",S159,0)</f>
        <v>10000</v>
      </c>
      <c r="U160" s="356">
        <f t="shared" si="42"/>
        <v>14565.58891213726</v>
      </c>
      <c r="V160" s="359">
        <f t="shared" si="44"/>
        <v>-117.30639909120897</v>
      </c>
      <c r="X160" s="359">
        <f t="shared" si="43"/>
        <v>-1841.1685992305358</v>
      </c>
      <c r="Y160" s="356">
        <f t="shared" si="47"/>
        <v>1839210.1242322142</v>
      </c>
      <c r="AA160" s="357">
        <f>+Bono!J160</f>
        <v>182489.2164546432</v>
      </c>
      <c r="AC160" s="378">
        <f t="shared" si="53"/>
        <v>11.416666666666666</v>
      </c>
      <c r="AD160" s="356">
        <f t="shared" si="54"/>
        <v>2320008.75512301</v>
      </c>
    </row>
    <row r="161" spans="2:30" x14ac:dyDescent="0.25">
      <c r="B161" s="356">
        <f t="shared" si="48"/>
        <v>138</v>
      </c>
      <c r="C161" s="357">
        <f t="shared" si="36"/>
        <v>11</v>
      </c>
      <c r="D161" s="357">
        <f t="shared" si="37"/>
        <v>6</v>
      </c>
      <c r="E161" s="357">
        <f t="shared" si="38"/>
        <v>40</v>
      </c>
      <c r="F161" s="356">
        <f t="shared" si="49"/>
        <v>298309.41443615255</v>
      </c>
      <c r="H161" s="356">
        <f t="shared" si="45"/>
        <v>2378.7611619779323</v>
      </c>
      <c r="I161" s="356">
        <v>0</v>
      </c>
      <c r="J161" s="360">
        <f>-SUM(F161:H161)*$J$21</f>
        <v>-2706.193580383175</v>
      </c>
      <c r="K161" s="356">
        <f t="shared" si="50"/>
        <v>-297.9819820177473</v>
      </c>
      <c r="L161" s="356">
        <f t="shared" si="46"/>
        <v>297684.00003572955</v>
      </c>
      <c r="N161" s="356">
        <f t="shared" si="51"/>
        <v>138</v>
      </c>
      <c r="O161" s="357">
        <f t="shared" si="39"/>
        <v>11</v>
      </c>
      <c r="P161" s="357">
        <f t="shared" si="40"/>
        <v>6</v>
      </c>
      <c r="Q161" s="357">
        <f t="shared" si="41"/>
        <v>11</v>
      </c>
      <c r="R161" s="356">
        <f t="shared" si="52"/>
        <v>1839210.1242322142</v>
      </c>
      <c r="S161" s="356">
        <f>IF($G$4="mensual",S160,0)</f>
        <v>10000</v>
      </c>
      <c r="U161" s="356">
        <f t="shared" si="42"/>
        <v>14745.861213178252</v>
      </c>
      <c r="V161" s="359">
        <f t="shared" si="44"/>
        <v>-117.30639909120897</v>
      </c>
      <c r="X161" s="359">
        <f t="shared" si="43"/>
        <v>-1863.9559854453923</v>
      </c>
      <c r="Y161" s="356">
        <f t="shared" si="47"/>
        <v>1861974.7230608559</v>
      </c>
      <c r="AA161" s="357">
        <f>+Bono!J161</f>
        <v>181966.4304869469</v>
      </c>
      <c r="AC161" s="378">
        <f t="shared" si="53"/>
        <v>11.5</v>
      </c>
      <c r="AD161" s="356">
        <f t="shared" si="54"/>
        <v>2341625.153583532</v>
      </c>
    </row>
    <row r="162" spans="2:30" x14ac:dyDescent="0.25">
      <c r="B162" s="356">
        <f t="shared" si="48"/>
        <v>139</v>
      </c>
      <c r="C162" s="357">
        <f t="shared" si="36"/>
        <v>11</v>
      </c>
      <c r="D162" s="357">
        <f t="shared" si="37"/>
        <v>7</v>
      </c>
      <c r="E162" s="357">
        <f t="shared" si="38"/>
        <v>40</v>
      </c>
      <c r="F162" s="356">
        <f t="shared" si="49"/>
        <v>297684.00003572955</v>
      </c>
      <c r="H162" s="356">
        <f t="shared" si="45"/>
        <v>2373.774019722701</v>
      </c>
      <c r="I162" s="356">
        <v>0</v>
      </c>
      <c r="J162" s="356">
        <v>0</v>
      </c>
      <c r="K162" s="356">
        <f t="shared" si="50"/>
        <v>-300.0577740554523</v>
      </c>
      <c r="L162" s="356">
        <f t="shared" si="46"/>
        <v>299757.7162813968</v>
      </c>
      <c r="N162" s="356">
        <f t="shared" si="51"/>
        <v>139</v>
      </c>
      <c r="O162" s="357">
        <f t="shared" si="39"/>
        <v>11</v>
      </c>
      <c r="P162" s="357">
        <f t="shared" si="40"/>
        <v>7</v>
      </c>
      <c r="Q162" s="357">
        <f t="shared" si="41"/>
        <v>11</v>
      </c>
      <c r="R162" s="356">
        <f t="shared" si="52"/>
        <v>1861974.7230608559</v>
      </c>
      <c r="S162" s="356">
        <f>+IF($G$4="mensual",S156,IF($G$4="trimestral",S156,IF($G$4="semestral",S156,0)))</f>
        <v>10000</v>
      </c>
      <c r="U162" s="356">
        <f t="shared" si="42"/>
        <v>14927.389321045499</v>
      </c>
      <c r="V162" s="359">
        <f t="shared" si="44"/>
        <v>-117.30639909120897</v>
      </c>
      <c r="X162" s="359">
        <f t="shared" si="43"/>
        <v>-1886.9021123819014</v>
      </c>
      <c r="Y162" s="356">
        <f t="shared" si="47"/>
        <v>1884897.9038704282</v>
      </c>
      <c r="AA162" s="357">
        <f>+Bono!J162</f>
        <v>183094.6434627655</v>
      </c>
      <c r="AC162" s="378">
        <f t="shared" si="53"/>
        <v>11.583333333333334</v>
      </c>
      <c r="AD162" s="356">
        <f t="shared" si="54"/>
        <v>2367750.2636145903</v>
      </c>
    </row>
    <row r="163" spans="2:30" x14ac:dyDescent="0.25">
      <c r="B163" s="356">
        <f t="shared" si="48"/>
        <v>140</v>
      </c>
      <c r="C163" s="357">
        <f t="shared" si="36"/>
        <v>11</v>
      </c>
      <c r="D163" s="357">
        <f t="shared" si="37"/>
        <v>8</v>
      </c>
      <c r="E163" s="357">
        <f t="shared" si="38"/>
        <v>40</v>
      </c>
      <c r="F163" s="356">
        <f t="shared" si="49"/>
        <v>299757.7162813968</v>
      </c>
      <c r="H163" s="356">
        <f t="shared" si="45"/>
        <v>2390.3101242753505</v>
      </c>
      <c r="I163" s="356">
        <v>0</v>
      </c>
      <c r="J163" s="356">
        <v>0</v>
      </c>
      <c r="K163" s="356">
        <f t="shared" si="50"/>
        <v>-302.14802640567217</v>
      </c>
      <c r="L163" s="356">
        <f t="shared" si="46"/>
        <v>301845.8783792665</v>
      </c>
      <c r="N163" s="356">
        <f t="shared" si="51"/>
        <v>140</v>
      </c>
      <c r="O163" s="357">
        <f t="shared" si="39"/>
        <v>11</v>
      </c>
      <c r="P163" s="357">
        <f t="shared" si="40"/>
        <v>8</v>
      </c>
      <c r="Q163" s="357">
        <f t="shared" si="41"/>
        <v>11</v>
      </c>
      <c r="R163" s="356">
        <f t="shared" si="52"/>
        <v>1884897.9038704282</v>
      </c>
      <c r="S163" s="356">
        <f>IF($G$4="mensual",S162,0)</f>
        <v>10000</v>
      </c>
      <c r="U163" s="356">
        <f t="shared" si="42"/>
        <v>15110.181983898181</v>
      </c>
      <c r="V163" s="359">
        <f t="shared" si="44"/>
        <v>-117.30639909120897</v>
      </c>
      <c r="X163" s="359">
        <f t="shared" si="43"/>
        <v>-1910.0080858543265</v>
      </c>
      <c r="Y163" s="356">
        <f t="shared" si="47"/>
        <v>1907980.7713693809</v>
      </c>
      <c r="AA163" s="357">
        <f>+Bono!J163</f>
        <v>184229.85148989878</v>
      </c>
      <c r="AC163" s="378">
        <f t="shared" si="53"/>
        <v>11.666666666666666</v>
      </c>
      <c r="AD163" s="356">
        <f t="shared" si="54"/>
        <v>2394056.5012385463</v>
      </c>
    </row>
    <row r="164" spans="2:30" x14ac:dyDescent="0.25">
      <c r="B164" s="356">
        <f t="shared" si="48"/>
        <v>141</v>
      </c>
      <c r="C164" s="357">
        <f t="shared" ref="C164:C227" si="55">C152+1</f>
        <v>11</v>
      </c>
      <c r="D164" s="357">
        <f t="shared" ref="D164:D227" si="56">D152</f>
        <v>9</v>
      </c>
      <c r="E164" s="357">
        <f t="shared" ref="E164:E227" si="57">E152+1</f>
        <v>40</v>
      </c>
      <c r="F164" s="356">
        <f t="shared" si="49"/>
        <v>301845.8783792665</v>
      </c>
      <c r="H164" s="356">
        <f t="shared" si="45"/>
        <v>2406.9614220820777</v>
      </c>
      <c r="I164" s="356">
        <v>0</v>
      </c>
      <c r="J164" s="360">
        <f>-SUM(F164:H164)*$J$21</f>
        <v>-2738.2755582121376</v>
      </c>
      <c r="K164" s="356">
        <f t="shared" si="50"/>
        <v>-301.5145642431364</v>
      </c>
      <c r="L164" s="356">
        <f t="shared" si="46"/>
        <v>301213.0496788933</v>
      </c>
      <c r="N164" s="356">
        <f t="shared" si="51"/>
        <v>141</v>
      </c>
      <c r="O164" s="357">
        <f t="shared" ref="O164:O227" si="58">O152+1</f>
        <v>11</v>
      </c>
      <c r="P164" s="357">
        <f t="shared" ref="P164:P227" si="59">P152</f>
        <v>9</v>
      </c>
      <c r="Q164" s="357">
        <f t="shared" ref="Q164:Q227" si="60">Q152+1</f>
        <v>11</v>
      </c>
      <c r="R164" s="356">
        <f t="shared" si="52"/>
        <v>1907980.7713693809</v>
      </c>
      <c r="S164" s="356">
        <f>IF($G$4="mensual",S163,0)</f>
        <v>10000</v>
      </c>
      <c r="U164" s="356">
        <f t="shared" ref="U164:U227" si="61">SUM(R164:T164)*$G$8</f>
        <v>15294.248010836607</v>
      </c>
      <c r="V164" s="359">
        <f t="shared" si="44"/>
        <v>-117.30639909120897</v>
      </c>
      <c r="X164" s="359">
        <f t="shared" si="43"/>
        <v>-1933.2750193802174</v>
      </c>
      <c r="Y164" s="356">
        <f t="shared" si="47"/>
        <v>1931224.437961746</v>
      </c>
      <c r="AA164" s="357">
        <f>+Bono!J164</f>
        <v>183702.07903812962</v>
      </c>
      <c r="AC164" s="378">
        <f t="shared" si="53"/>
        <v>11.75</v>
      </c>
      <c r="AD164" s="356">
        <f t="shared" si="54"/>
        <v>2416139.566678769</v>
      </c>
    </row>
    <row r="165" spans="2:30" x14ac:dyDescent="0.25">
      <c r="B165" s="356">
        <f t="shared" si="48"/>
        <v>142</v>
      </c>
      <c r="C165" s="357">
        <f t="shared" si="55"/>
        <v>11</v>
      </c>
      <c r="D165" s="357">
        <f t="shared" si="56"/>
        <v>10</v>
      </c>
      <c r="E165" s="357">
        <f t="shared" si="57"/>
        <v>40</v>
      </c>
      <c r="F165" s="356">
        <f t="shared" si="49"/>
        <v>301213.0496788933</v>
      </c>
      <c r="H165" s="356">
        <f t="shared" si="45"/>
        <v>2401.915157157861</v>
      </c>
      <c r="I165" s="356">
        <v>0</v>
      </c>
      <c r="J165" s="356">
        <v>0</v>
      </c>
      <c r="K165" s="356">
        <f t="shared" si="50"/>
        <v>-303.6149648360512</v>
      </c>
      <c r="L165" s="356">
        <f t="shared" si="46"/>
        <v>303311.3498712151</v>
      </c>
      <c r="N165" s="356">
        <f t="shared" si="51"/>
        <v>142</v>
      </c>
      <c r="O165" s="357">
        <f t="shared" si="58"/>
        <v>11</v>
      </c>
      <c r="P165" s="357">
        <f t="shared" si="59"/>
        <v>10</v>
      </c>
      <c r="Q165" s="357">
        <f t="shared" si="60"/>
        <v>11</v>
      </c>
      <c r="R165" s="356">
        <f t="shared" si="52"/>
        <v>1931224.437961746</v>
      </c>
      <c r="S165" s="356">
        <f>IF($G$4="mensual",S156,IF($G$4="trimestral",S156,0))</f>
        <v>10000</v>
      </c>
      <c r="U165" s="356">
        <f t="shared" si="61"/>
        <v>15479.596272326746</v>
      </c>
      <c r="V165" s="359">
        <f t="shared" si="44"/>
        <v>-117.30639909120897</v>
      </c>
      <c r="X165" s="359">
        <f t="shared" si="43"/>
        <v>-1956.7040342340729</v>
      </c>
      <c r="Y165" s="356">
        <f t="shared" si="47"/>
        <v>1954630.0238007475</v>
      </c>
      <c r="AA165" s="357">
        <f>+Bono!J165</f>
        <v>184841.0532362883</v>
      </c>
      <c r="AC165" s="378">
        <f t="shared" si="53"/>
        <v>11.833333333333334</v>
      </c>
      <c r="AD165" s="356">
        <f t="shared" si="54"/>
        <v>2442782.426908251</v>
      </c>
    </row>
    <row r="166" spans="2:30" x14ac:dyDescent="0.25">
      <c r="B166" s="356">
        <f t="shared" si="48"/>
        <v>143</v>
      </c>
      <c r="C166" s="357">
        <f t="shared" si="55"/>
        <v>11</v>
      </c>
      <c r="D166" s="357">
        <f t="shared" si="56"/>
        <v>11</v>
      </c>
      <c r="E166" s="357">
        <f t="shared" si="57"/>
        <v>40</v>
      </c>
      <c r="F166" s="356">
        <f t="shared" si="49"/>
        <v>303311.3498712151</v>
      </c>
      <c r="H166" s="356">
        <f t="shared" si="45"/>
        <v>2418.647297553431</v>
      </c>
      <c r="I166" s="356">
        <v>0</v>
      </c>
      <c r="J166" s="356">
        <v>0</v>
      </c>
      <c r="K166" s="356">
        <f t="shared" si="50"/>
        <v>-305.72999716876853</v>
      </c>
      <c r="L166" s="356">
        <f t="shared" si="46"/>
        <v>305424.2671715998</v>
      </c>
      <c r="N166" s="356">
        <f t="shared" si="51"/>
        <v>143</v>
      </c>
      <c r="O166" s="357">
        <f t="shared" si="58"/>
        <v>11</v>
      </c>
      <c r="P166" s="357">
        <f t="shared" si="59"/>
        <v>11</v>
      </c>
      <c r="Q166" s="357">
        <f t="shared" si="60"/>
        <v>11</v>
      </c>
      <c r="R166" s="356">
        <f t="shared" si="52"/>
        <v>1954630.0238007475</v>
      </c>
      <c r="S166" s="356">
        <f>IF($G$17="si",S154*(1+$G$20),S154)</f>
        <v>10000</v>
      </c>
      <c r="U166" s="356">
        <f t="shared" si="61"/>
        <v>15666.235700627705</v>
      </c>
      <c r="V166" s="359">
        <f t="shared" si="44"/>
        <v>-117.30639909120897</v>
      </c>
      <c r="X166" s="359">
        <f t="shared" si="43"/>
        <v>-1980.2962595013753</v>
      </c>
      <c r="Y166" s="356">
        <f t="shared" si="47"/>
        <v>1978198.6568427826</v>
      </c>
      <c r="AA166" s="357">
        <f>+Bono!J166</f>
        <v>185987.08920658843</v>
      </c>
      <c r="AC166" s="378">
        <f t="shared" si="53"/>
        <v>11.916666666666666</v>
      </c>
      <c r="AD166" s="356">
        <f t="shared" si="54"/>
        <v>2469610.013220971</v>
      </c>
    </row>
    <row r="167" spans="2:30" x14ac:dyDescent="0.25">
      <c r="B167" s="356">
        <f t="shared" si="48"/>
        <v>144</v>
      </c>
      <c r="C167" s="357">
        <f t="shared" si="55"/>
        <v>11</v>
      </c>
      <c r="D167" s="357">
        <f t="shared" si="56"/>
        <v>12</v>
      </c>
      <c r="E167" s="357">
        <f t="shared" si="57"/>
        <v>40</v>
      </c>
      <c r="F167" s="356">
        <f t="shared" si="49"/>
        <v>305424.2671715998</v>
      </c>
      <c r="H167" s="356">
        <f t="shared" si="45"/>
        <v>2435.4959968213584</v>
      </c>
      <c r="I167" s="356">
        <v>0</v>
      </c>
      <c r="J167" s="360">
        <f>-SUM(F167:H167)*$J$21</f>
        <v>-2770.737868515791</v>
      </c>
      <c r="K167" s="356">
        <f t="shared" si="50"/>
        <v>-305.0890252999054</v>
      </c>
      <c r="L167" s="356">
        <f t="shared" si="46"/>
        <v>304783.9362746055</v>
      </c>
      <c r="N167" s="356">
        <f t="shared" si="51"/>
        <v>144</v>
      </c>
      <c r="O167" s="357">
        <f t="shared" si="58"/>
        <v>11</v>
      </c>
      <c r="P167" s="357">
        <f t="shared" si="59"/>
        <v>12</v>
      </c>
      <c r="Q167" s="357">
        <f t="shared" si="60"/>
        <v>11</v>
      </c>
      <c r="R167" s="356">
        <f t="shared" si="52"/>
        <v>1978198.6568427826</v>
      </c>
      <c r="S167" s="356">
        <f>IF($G$4="mensual",S166,0)</f>
        <v>10000</v>
      </c>
      <c r="U167" s="356">
        <f t="shared" si="61"/>
        <v>15854.175290222194</v>
      </c>
      <c r="V167" s="359">
        <f t="shared" si="44"/>
        <v>-117.30639909120897</v>
      </c>
      <c r="X167" s="359">
        <f t="shared" si="43"/>
        <v>-2004.052832133005</v>
      </c>
      <c r="Y167" s="356">
        <f t="shared" si="47"/>
        <v>2001931.4729017809</v>
      </c>
      <c r="AA167" s="357">
        <f>+Bono!J167</f>
        <v>185454.2827082162</v>
      </c>
      <c r="AC167" s="378">
        <f t="shared" si="53"/>
        <v>12</v>
      </c>
      <c r="AD167" s="356">
        <f t="shared" si="54"/>
        <v>2492169.6918846024</v>
      </c>
    </row>
    <row r="168" spans="2:30" x14ac:dyDescent="0.25">
      <c r="B168" s="356">
        <f t="shared" si="48"/>
        <v>145</v>
      </c>
      <c r="C168" s="357">
        <f t="shared" si="55"/>
        <v>12</v>
      </c>
      <c r="D168" s="357">
        <f t="shared" si="56"/>
        <v>1</v>
      </c>
      <c r="E168" s="357">
        <f t="shared" si="57"/>
        <v>41</v>
      </c>
      <c r="F168" s="356">
        <f t="shared" si="49"/>
        <v>304783.9362746055</v>
      </c>
      <c r="H168" s="356">
        <f t="shared" si="45"/>
        <v>2430.38990832776</v>
      </c>
      <c r="I168" s="356">
        <v>0</v>
      </c>
      <c r="J168" s="356">
        <v>0</v>
      </c>
      <c r="K168" s="356">
        <f t="shared" si="50"/>
        <v>-307.2143261829333</v>
      </c>
      <c r="L168" s="356">
        <f t="shared" si="46"/>
        <v>306907.1118567503</v>
      </c>
      <c r="N168" s="356">
        <f t="shared" si="51"/>
        <v>145</v>
      </c>
      <c r="O168" s="357">
        <f t="shared" si="58"/>
        <v>12</v>
      </c>
      <c r="P168" s="357">
        <f t="shared" si="59"/>
        <v>1</v>
      </c>
      <c r="Q168" s="357">
        <f t="shared" si="60"/>
        <v>12</v>
      </c>
      <c r="R168" s="356">
        <f t="shared" si="52"/>
        <v>2001931.4729017809</v>
      </c>
      <c r="S168" s="356">
        <f>IF($G$17="si",S156*(1+$G$20),S156)</f>
        <v>10000</v>
      </c>
      <c r="U168" s="356">
        <f t="shared" si="61"/>
        <v>16043.424098249989</v>
      </c>
      <c r="V168" s="359">
        <f>(V167*(1+$G$18))</f>
        <v>-121.99865505485734</v>
      </c>
      <c r="X168" s="359">
        <f t="shared" si="43"/>
        <v>-2027.974897000031</v>
      </c>
      <c r="Y168" s="356">
        <f t="shared" si="47"/>
        <v>2025824.923447976</v>
      </c>
      <c r="AA168" s="357">
        <f>+Bono!J168</f>
        <v>186604.1207723725</v>
      </c>
      <c r="AC168" s="378">
        <f t="shared" si="53"/>
        <v>12.083333333333334</v>
      </c>
      <c r="AD168" s="356">
        <f t="shared" si="54"/>
        <v>2519336.1560770986</v>
      </c>
    </row>
    <row r="169" spans="2:30" x14ac:dyDescent="0.25">
      <c r="B169" s="356">
        <f t="shared" si="48"/>
        <v>146</v>
      </c>
      <c r="C169" s="357">
        <f t="shared" si="55"/>
        <v>12</v>
      </c>
      <c r="D169" s="357">
        <f t="shared" si="56"/>
        <v>2</v>
      </c>
      <c r="E169" s="357">
        <f t="shared" si="57"/>
        <v>41</v>
      </c>
      <c r="F169" s="356">
        <f t="shared" si="49"/>
        <v>306907.1118567503</v>
      </c>
      <c r="H169" s="356">
        <f t="shared" si="45"/>
        <v>2447.3204085750026</v>
      </c>
      <c r="I169" s="356">
        <v>0</v>
      </c>
      <c r="J169" s="356">
        <v>0</v>
      </c>
      <c r="K169" s="356">
        <f t="shared" si="50"/>
        <v>-309.35443226532533</v>
      </c>
      <c r="L169" s="356">
        <f t="shared" si="46"/>
        <v>309045.07783306</v>
      </c>
      <c r="N169" s="356">
        <f t="shared" si="51"/>
        <v>146</v>
      </c>
      <c r="O169" s="357">
        <f t="shared" si="58"/>
        <v>12</v>
      </c>
      <c r="P169" s="357">
        <f t="shared" si="59"/>
        <v>2</v>
      </c>
      <c r="Q169" s="357">
        <f t="shared" si="60"/>
        <v>12</v>
      </c>
      <c r="R169" s="356">
        <f t="shared" si="52"/>
        <v>2025824.923447976</v>
      </c>
      <c r="S169" s="356">
        <f>IF($G$4="mensual",S168,0)</f>
        <v>10000</v>
      </c>
      <c r="U169" s="356">
        <f t="shared" si="61"/>
        <v>16233.953828236416</v>
      </c>
      <c r="V169" s="359">
        <f t="shared" si="44"/>
        <v>-121.99865505485734</v>
      </c>
      <c r="X169" s="359">
        <f t="shared" si="43"/>
        <v>-2052.058877276212</v>
      </c>
      <c r="Y169" s="356">
        <f t="shared" si="47"/>
        <v>2049884.819743881</v>
      </c>
      <c r="AA169" s="357">
        <f>+Bono!J169</f>
        <v>187761.08796589953</v>
      </c>
      <c r="AC169" s="378">
        <f t="shared" si="53"/>
        <v>12.166666666666666</v>
      </c>
      <c r="AD169" s="356">
        <f t="shared" si="54"/>
        <v>2546690.985542841</v>
      </c>
    </row>
    <row r="170" spans="2:30" x14ac:dyDescent="0.25">
      <c r="B170" s="356">
        <f t="shared" si="48"/>
        <v>147</v>
      </c>
      <c r="C170" s="357">
        <f t="shared" si="55"/>
        <v>12</v>
      </c>
      <c r="D170" s="357">
        <f t="shared" si="56"/>
        <v>3</v>
      </c>
      <c r="E170" s="357">
        <f t="shared" si="57"/>
        <v>41</v>
      </c>
      <c r="F170" s="356">
        <f t="shared" si="49"/>
        <v>309045.07783306</v>
      </c>
      <c r="H170" s="356">
        <f t="shared" si="45"/>
        <v>2464.3688495023143</v>
      </c>
      <c r="I170" s="356">
        <v>0</v>
      </c>
      <c r="J170" s="360">
        <f>-SUM(F170:H170)*$J$21</f>
        <v>-2803.585020143061</v>
      </c>
      <c r="K170" s="356">
        <f t="shared" si="50"/>
        <v>-308.70586166241924</v>
      </c>
      <c r="L170" s="356">
        <f t="shared" si="46"/>
        <v>308397.1558007568</v>
      </c>
      <c r="N170" s="356">
        <f t="shared" si="51"/>
        <v>147</v>
      </c>
      <c r="O170" s="357">
        <f t="shared" si="58"/>
        <v>12</v>
      </c>
      <c r="P170" s="357">
        <f t="shared" si="59"/>
        <v>3</v>
      </c>
      <c r="Q170" s="357">
        <f t="shared" si="60"/>
        <v>12</v>
      </c>
      <c r="R170" s="356">
        <f t="shared" si="52"/>
        <v>2049884.819743881</v>
      </c>
      <c r="S170" s="356">
        <f>IF($G$4="mensual",S169,0)</f>
        <v>10000</v>
      </c>
      <c r="U170" s="356">
        <f t="shared" si="61"/>
        <v>16425.810820004823</v>
      </c>
      <c r="V170" s="359">
        <f t="shared" si="44"/>
        <v>-121.99865505485734</v>
      </c>
      <c r="X170" s="359">
        <f t="shared" si="43"/>
        <v>-2076.3106305638858</v>
      </c>
      <c r="Y170" s="356">
        <f t="shared" si="47"/>
        <v>2074112.321278267</v>
      </c>
      <c r="AA170" s="357">
        <f>+Bono!J170</f>
        <v>187223.19940472874</v>
      </c>
      <c r="AC170" s="378">
        <f t="shared" si="53"/>
        <v>12.25</v>
      </c>
      <c r="AD170" s="356">
        <f t="shared" si="54"/>
        <v>2569732.6764837527</v>
      </c>
    </row>
    <row r="171" spans="2:30" x14ac:dyDescent="0.25">
      <c r="B171" s="356">
        <f t="shared" si="48"/>
        <v>148</v>
      </c>
      <c r="C171" s="357">
        <f t="shared" si="55"/>
        <v>12</v>
      </c>
      <c r="D171" s="357">
        <f t="shared" si="56"/>
        <v>4</v>
      </c>
      <c r="E171" s="357">
        <f t="shared" si="57"/>
        <v>41</v>
      </c>
      <c r="F171" s="356">
        <f t="shared" si="49"/>
        <v>308397.1558007568</v>
      </c>
      <c r="H171" s="356">
        <f t="shared" si="45"/>
        <v>2459.202228229748</v>
      </c>
      <c r="I171" s="356">
        <v>0</v>
      </c>
      <c r="J171" s="356">
        <v>0</v>
      </c>
      <c r="K171" s="356">
        <f t="shared" si="50"/>
        <v>-310.85635802898656</v>
      </c>
      <c r="L171" s="356">
        <f t="shared" si="46"/>
        <v>310545.50167095754</v>
      </c>
      <c r="N171" s="356">
        <f t="shared" si="51"/>
        <v>148</v>
      </c>
      <c r="O171" s="357">
        <f t="shared" si="58"/>
        <v>12</v>
      </c>
      <c r="P171" s="357">
        <f t="shared" si="59"/>
        <v>4</v>
      </c>
      <c r="Q171" s="357">
        <f t="shared" si="60"/>
        <v>12</v>
      </c>
      <c r="R171" s="356">
        <f t="shared" si="52"/>
        <v>2074112.321278267</v>
      </c>
      <c r="S171" s="356">
        <f>IF($G$4="mensual",S168,IF($G$4="trimestral",S168,0))</f>
        <v>10000</v>
      </c>
      <c r="U171" s="356">
        <f t="shared" si="61"/>
        <v>16619.0043194815</v>
      </c>
      <c r="V171" s="359">
        <f t="shared" si="44"/>
        <v>-121.99865505485734</v>
      </c>
      <c r="X171" s="359">
        <f t="shared" ref="X171:X234" si="62">-SUM(R171:U171)*0.1%</f>
        <v>-2100.7313255977488</v>
      </c>
      <c r="Y171" s="356">
        <f t="shared" si="47"/>
        <v>2098508.595617096</v>
      </c>
      <c r="AA171" s="357">
        <f>+Bono!J171</f>
        <v>188384.00495758504</v>
      </c>
      <c r="AC171" s="378">
        <f t="shared" si="53"/>
        <v>12.333333333333334</v>
      </c>
      <c r="AD171" s="356">
        <f t="shared" si="54"/>
        <v>2597438.1022456386</v>
      </c>
    </row>
    <row r="172" spans="2:30" x14ac:dyDescent="0.25">
      <c r="B172" s="356">
        <f t="shared" si="48"/>
        <v>149</v>
      </c>
      <c r="C172" s="357">
        <f t="shared" si="55"/>
        <v>12</v>
      </c>
      <c r="D172" s="357">
        <f t="shared" si="56"/>
        <v>5</v>
      </c>
      <c r="E172" s="357">
        <f t="shared" si="57"/>
        <v>41</v>
      </c>
      <c r="F172" s="356">
        <f t="shared" si="49"/>
        <v>310545.50167095754</v>
      </c>
      <c r="H172" s="356">
        <f t="shared" si="45"/>
        <v>2476.333439888584</v>
      </c>
      <c r="I172" s="356">
        <v>0</v>
      </c>
      <c r="J172" s="356">
        <v>0</v>
      </c>
      <c r="K172" s="356">
        <f t="shared" si="50"/>
        <v>-313.02183511084615</v>
      </c>
      <c r="L172" s="356">
        <f t="shared" si="46"/>
        <v>312708.8132757353</v>
      </c>
      <c r="N172" s="356">
        <f t="shared" si="51"/>
        <v>149</v>
      </c>
      <c r="O172" s="357">
        <f t="shared" si="58"/>
        <v>12</v>
      </c>
      <c r="P172" s="357">
        <f t="shared" si="59"/>
        <v>5</v>
      </c>
      <c r="Q172" s="357">
        <f t="shared" si="60"/>
        <v>12</v>
      </c>
      <c r="R172" s="356">
        <f t="shared" si="52"/>
        <v>2098508.595617096</v>
      </c>
      <c r="S172" s="356">
        <f>IF($G$4="mensual",S171,0)</f>
        <v>10000</v>
      </c>
      <c r="U172" s="356">
        <f t="shared" si="61"/>
        <v>16813.543637001385</v>
      </c>
      <c r="V172" s="359">
        <f t="shared" si="44"/>
        <v>-121.99865505485734</v>
      </c>
      <c r="X172" s="359">
        <f t="shared" si="62"/>
        <v>-2125.3221392540972</v>
      </c>
      <c r="Y172" s="356">
        <f t="shared" si="47"/>
        <v>2123074.8184597883</v>
      </c>
      <c r="AA172" s="357">
        <f>+Bono!J172</f>
        <v>189552.00763951417</v>
      </c>
      <c r="AC172" s="378">
        <f t="shared" si="53"/>
        <v>12.416666666666666</v>
      </c>
      <c r="AD172" s="356">
        <f t="shared" si="54"/>
        <v>2625335.639375038</v>
      </c>
    </row>
    <row r="173" spans="2:30" x14ac:dyDescent="0.25">
      <c r="B173" s="356">
        <f t="shared" si="48"/>
        <v>150</v>
      </c>
      <c r="C173" s="357">
        <f t="shared" si="55"/>
        <v>12</v>
      </c>
      <c r="D173" s="357">
        <f t="shared" si="56"/>
        <v>6</v>
      </c>
      <c r="E173" s="357">
        <f t="shared" si="57"/>
        <v>41</v>
      </c>
      <c r="F173" s="356">
        <f t="shared" si="49"/>
        <v>312708.8132757353</v>
      </c>
      <c r="H173" s="356">
        <f t="shared" si="45"/>
        <v>2493.583990416559</v>
      </c>
      <c r="I173" s="356">
        <v>0</v>
      </c>
      <c r="J173" s="360">
        <f>-SUM(F173:H173)*$J$21</f>
        <v>-2836.821575395367</v>
      </c>
      <c r="K173" s="356">
        <f t="shared" si="50"/>
        <v>-312.3655756907565</v>
      </c>
      <c r="L173" s="356">
        <f t="shared" si="46"/>
        <v>312053.21011506574</v>
      </c>
      <c r="N173" s="356">
        <f t="shared" si="51"/>
        <v>150</v>
      </c>
      <c r="O173" s="357">
        <f t="shared" si="58"/>
        <v>12</v>
      </c>
      <c r="P173" s="357">
        <f t="shared" si="59"/>
        <v>6</v>
      </c>
      <c r="Q173" s="357">
        <f t="shared" si="60"/>
        <v>12</v>
      </c>
      <c r="R173" s="356">
        <f t="shared" si="52"/>
        <v>2123074.8184597883</v>
      </c>
      <c r="S173" s="356">
        <f>IF($G$4="mensual",S172,0)</f>
        <v>10000</v>
      </c>
      <c r="U173" s="356">
        <f t="shared" si="61"/>
        <v>17009.438147756755</v>
      </c>
      <c r="V173" s="359">
        <f t="shared" si="44"/>
        <v>-121.99865505485734</v>
      </c>
      <c r="X173" s="359">
        <f t="shared" si="62"/>
        <v>-2150.0842566075453</v>
      </c>
      <c r="Y173" s="356">
        <f t="shared" si="47"/>
        <v>2147812.173695883</v>
      </c>
      <c r="AA173" s="357">
        <f>+Bono!J173</f>
        <v>189008.98854135702</v>
      </c>
      <c r="AC173" s="378">
        <f t="shared" si="53"/>
        <v>12.5</v>
      </c>
      <c r="AD173" s="356">
        <f t="shared" si="54"/>
        <v>2648874.372352306</v>
      </c>
    </row>
    <row r="174" spans="2:30" x14ac:dyDescent="0.25">
      <c r="B174" s="356">
        <f t="shared" si="48"/>
        <v>151</v>
      </c>
      <c r="C174" s="357">
        <f t="shared" si="55"/>
        <v>12</v>
      </c>
      <c r="D174" s="357">
        <f t="shared" si="56"/>
        <v>7</v>
      </c>
      <c r="E174" s="357">
        <f t="shared" si="57"/>
        <v>41</v>
      </c>
      <c r="F174" s="356">
        <f t="shared" si="49"/>
        <v>312053.21011506574</v>
      </c>
      <c r="H174" s="356">
        <f t="shared" si="45"/>
        <v>2488.3561187477467</v>
      </c>
      <c r="I174" s="356">
        <v>0</v>
      </c>
      <c r="J174" s="356">
        <v>0</v>
      </c>
      <c r="K174" s="356">
        <f t="shared" si="50"/>
        <v>-314.54156623381346</v>
      </c>
      <c r="L174" s="356">
        <f t="shared" si="46"/>
        <v>314227.0246675797</v>
      </c>
      <c r="N174" s="356">
        <f t="shared" si="51"/>
        <v>151</v>
      </c>
      <c r="O174" s="357">
        <f t="shared" si="58"/>
        <v>12</v>
      </c>
      <c r="P174" s="357">
        <f t="shared" si="59"/>
        <v>7</v>
      </c>
      <c r="Q174" s="357">
        <f t="shared" si="60"/>
        <v>12</v>
      </c>
      <c r="R174" s="356">
        <f t="shared" si="52"/>
        <v>2147812.173695883</v>
      </c>
      <c r="S174" s="356">
        <f>+IF($G$4="mensual",S168,IF($G$4="trimestral",S168,IF($G$4="semestral",S168,0)))</f>
        <v>10000</v>
      </c>
      <c r="U174" s="356">
        <f t="shared" si="61"/>
        <v>17206.69729224905</v>
      </c>
      <c r="V174" s="359">
        <f t="shared" si="44"/>
        <v>-121.99865505485734</v>
      </c>
      <c r="X174" s="359">
        <f t="shared" si="62"/>
        <v>-2175.018870988132</v>
      </c>
      <c r="Y174" s="356">
        <f t="shared" si="47"/>
        <v>2172721.8534620893</v>
      </c>
      <c r="AA174" s="357">
        <f>+Bono!J174</f>
        <v>190180.86619399913</v>
      </c>
      <c r="AC174" s="378">
        <f t="shared" si="53"/>
        <v>12.583333333333334</v>
      </c>
      <c r="AD174" s="356">
        <f t="shared" si="54"/>
        <v>2677129.744323668</v>
      </c>
    </row>
    <row r="175" spans="2:30" x14ac:dyDescent="0.25">
      <c r="B175" s="356">
        <f t="shared" si="48"/>
        <v>152</v>
      </c>
      <c r="C175" s="357">
        <f t="shared" si="55"/>
        <v>12</v>
      </c>
      <c r="D175" s="357">
        <f t="shared" si="56"/>
        <v>8</v>
      </c>
      <c r="E175" s="357">
        <f t="shared" si="57"/>
        <v>41</v>
      </c>
      <c r="F175" s="356">
        <f t="shared" si="49"/>
        <v>314227.0246675797</v>
      </c>
      <c r="H175" s="356">
        <f t="shared" si="45"/>
        <v>2505.6904212558875</v>
      </c>
      <c r="I175" s="356">
        <v>0</v>
      </c>
      <c r="J175" s="356">
        <v>0</v>
      </c>
      <c r="K175" s="356">
        <f t="shared" si="50"/>
        <v>-316.73271508883556</v>
      </c>
      <c r="L175" s="356">
        <f t="shared" si="46"/>
        <v>316415.98237374675</v>
      </c>
      <c r="N175" s="356">
        <f t="shared" si="51"/>
        <v>152</v>
      </c>
      <c r="O175" s="357">
        <f t="shared" si="58"/>
        <v>12</v>
      </c>
      <c r="P175" s="357">
        <f t="shared" si="59"/>
        <v>8</v>
      </c>
      <c r="Q175" s="357">
        <f t="shared" si="60"/>
        <v>12</v>
      </c>
      <c r="R175" s="356">
        <f t="shared" si="52"/>
        <v>2172721.8534620893</v>
      </c>
      <c r="S175" s="356">
        <f>IF($G$4="mensual",S174,0)</f>
        <v>10000</v>
      </c>
      <c r="U175" s="356">
        <f t="shared" si="61"/>
        <v>17405.330576743803</v>
      </c>
      <c r="V175" s="359">
        <f t="shared" si="44"/>
        <v>-121.99865505485734</v>
      </c>
      <c r="X175" s="359">
        <f t="shared" si="62"/>
        <v>-2200.127184038833</v>
      </c>
      <c r="Y175" s="356">
        <f t="shared" si="47"/>
        <v>2197805.0581997395</v>
      </c>
      <c r="AA175" s="357">
        <f>+Bono!J175</f>
        <v>191360.00962401702</v>
      </c>
      <c r="AC175" s="378">
        <f t="shared" si="53"/>
        <v>12.666666666666666</v>
      </c>
      <c r="AD175" s="356">
        <f t="shared" si="54"/>
        <v>2705581.050197503</v>
      </c>
    </row>
    <row r="176" spans="2:30" x14ac:dyDescent="0.25">
      <c r="B176" s="356">
        <f t="shared" si="48"/>
        <v>153</v>
      </c>
      <c r="C176" s="357">
        <f t="shared" si="55"/>
        <v>12</v>
      </c>
      <c r="D176" s="357">
        <f t="shared" si="56"/>
        <v>9</v>
      </c>
      <c r="E176" s="357">
        <f t="shared" si="57"/>
        <v>41</v>
      </c>
      <c r="F176" s="356">
        <f t="shared" si="49"/>
        <v>316415.98237374675</v>
      </c>
      <c r="H176" s="356">
        <f t="shared" si="45"/>
        <v>2523.145477397795</v>
      </c>
      <c r="I176" s="356">
        <v>0</v>
      </c>
      <c r="J176" s="360">
        <f>-SUM(F176:H176)*$J$21</f>
        <v>-2870.452150660301</v>
      </c>
      <c r="K176" s="356">
        <f t="shared" si="50"/>
        <v>-316.0686757004843</v>
      </c>
      <c r="L176" s="356">
        <f t="shared" si="46"/>
        <v>315752.6070247838</v>
      </c>
      <c r="N176" s="356">
        <f t="shared" si="51"/>
        <v>153</v>
      </c>
      <c r="O176" s="357">
        <f t="shared" si="58"/>
        <v>12</v>
      </c>
      <c r="P176" s="357">
        <f t="shared" si="59"/>
        <v>9</v>
      </c>
      <c r="Q176" s="357">
        <f t="shared" si="60"/>
        <v>12</v>
      </c>
      <c r="R176" s="356">
        <f t="shared" si="52"/>
        <v>2197805.0581997395</v>
      </c>
      <c r="S176" s="356">
        <f>IF($G$4="mensual",S175,0)</f>
        <v>10000</v>
      </c>
      <c r="U176" s="356">
        <f t="shared" si="61"/>
        <v>17605.34757372877</v>
      </c>
      <c r="V176" s="359">
        <f t="shared" si="44"/>
        <v>-121.99865505485734</v>
      </c>
      <c r="X176" s="359">
        <f t="shared" si="62"/>
        <v>-2225.4104057734685</v>
      </c>
      <c r="Y176" s="356">
        <f t="shared" si="47"/>
        <v>2223062.99671264</v>
      </c>
      <c r="AA176" s="357">
        <f>+Bono!J176</f>
        <v>190811.81105232477</v>
      </c>
      <c r="AC176" s="378">
        <f t="shared" si="53"/>
        <v>12.75</v>
      </c>
      <c r="AD176" s="356">
        <f t="shared" si="54"/>
        <v>2729627.4147897484</v>
      </c>
    </row>
    <row r="177" spans="2:30" x14ac:dyDescent="0.25">
      <c r="B177" s="356">
        <f t="shared" si="48"/>
        <v>154</v>
      </c>
      <c r="C177" s="357">
        <f t="shared" si="55"/>
        <v>12</v>
      </c>
      <c r="D177" s="357">
        <f t="shared" si="56"/>
        <v>10</v>
      </c>
      <c r="E177" s="357">
        <f t="shared" si="57"/>
        <v>41</v>
      </c>
      <c r="F177" s="356">
        <f t="shared" si="49"/>
        <v>315752.6070247838</v>
      </c>
      <c r="H177" s="356">
        <f t="shared" si="45"/>
        <v>2517.855629208091</v>
      </c>
      <c r="I177" s="356">
        <v>0</v>
      </c>
      <c r="J177" s="356">
        <v>0</v>
      </c>
      <c r="K177" s="356">
        <f t="shared" si="50"/>
        <v>-318.2704626539919</v>
      </c>
      <c r="L177" s="356">
        <f t="shared" si="46"/>
        <v>317952.1921913379</v>
      </c>
      <c r="N177" s="356">
        <f t="shared" si="51"/>
        <v>154</v>
      </c>
      <c r="O177" s="357">
        <f t="shared" si="58"/>
        <v>12</v>
      </c>
      <c r="P177" s="357">
        <f t="shared" si="59"/>
        <v>10</v>
      </c>
      <c r="Q177" s="357">
        <f t="shared" si="60"/>
        <v>12</v>
      </c>
      <c r="R177" s="356">
        <f t="shared" si="52"/>
        <v>2223062.99671264</v>
      </c>
      <c r="S177" s="356">
        <f>IF($G$4="mensual",S168,IF($G$4="trimestral",S168,0))</f>
        <v>10000</v>
      </c>
      <c r="U177" s="356">
        <f t="shared" si="61"/>
        <v>17806.757922375255</v>
      </c>
      <c r="V177" s="359">
        <f t="shared" ref="V177:V239" si="63">V176</f>
        <v>-121.99865505485734</v>
      </c>
      <c r="X177" s="359">
        <f t="shared" si="62"/>
        <v>-2250.869754635015</v>
      </c>
      <c r="Y177" s="356">
        <f t="shared" si="47"/>
        <v>2248496.8862253255</v>
      </c>
      <c r="AA177" s="357">
        <f>+Bono!J177</f>
        <v>191994.86641364935</v>
      </c>
      <c r="AC177" s="378">
        <f t="shared" si="53"/>
        <v>12.833333333333334</v>
      </c>
      <c r="AD177" s="356">
        <f t="shared" si="54"/>
        <v>2758443.9448303124</v>
      </c>
    </row>
    <row r="178" spans="2:30" x14ac:dyDescent="0.25">
      <c r="B178" s="356">
        <f t="shared" si="48"/>
        <v>155</v>
      </c>
      <c r="C178" s="357">
        <f t="shared" si="55"/>
        <v>12</v>
      </c>
      <c r="D178" s="357">
        <f t="shared" si="56"/>
        <v>11</v>
      </c>
      <c r="E178" s="357">
        <f t="shared" si="57"/>
        <v>41</v>
      </c>
      <c r="F178" s="356">
        <f t="shared" si="49"/>
        <v>317952.1921913379</v>
      </c>
      <c r="H178" s="356">
        <f t="shared" si="45"/>
        <v>2535.395430211527</v>
      </c>
      <c r="I178" s="356">
        <v>0</v>
      </c>
      <c r="J178" s="356">
        <v>0</v>
      </c>
      <c r="K178" s="356">
        <f t="shared" si="50"/>
        <v>-320.4875876215494</v>
      </c>
      <c r="L178" s="356">
        <f t="shared" si="46"/>
        <v>320167.1000339278</v>
      </c>
      <c r="N178" s="356">
        <f t="shared" si="51"/>
        <v>155</v>
      </c>
      <c r="O178" s="357">
        <f t="shared" si="58"/>
        <v>12</v>
      </c>
      <c r="P178" s="357">
        <f t="shared" si="59"/>
        <v>11</v>
      </c>
      <c r="Q178" s="357">
        <f t="shared" si="60"/>
        <v>12</v>
      </c>
      <c r="R178" s="356">
        <f t="shared" si="52"/>
        <v>2248496.8862253255</v>
      </c>
      <c r="S178" s="356">
        <f>IF($G$17="si",S166*(1+$G$20),S166)</f>
        <v>10000</v>
      </c>
      <c r="U178" s="356">
        <f t="shared" si="61"/>
        <v>18009.571329002632</v>
      </c>
      <c r="V178" s="359">
        <f t="shared" si="63"/>
        <v>-121.99865505485734</v>
      </c>
      <c r="X178" s="359">
        <f t="shared" si="62"/>
        <v>-2276.5064575543283</v>
      </c>
      <c r="Y178" s="356">
        <f t="shared" si="47"/>
        <v>2274107.9524417194</v>
      </c>
      <c r="AA178" s="357">
        <f>+Bono!J178</f>
        <v>193185.25685544006</v>
      </c>
      <c r="AC178" s="378">
        <f t="shared" si="53"/>
        <v>12.916666666666666</v>
      </c>
      <c r="AD178" s="356">
        <f t="shared" si="54"/>
        <v>2787460.309331087</v>
      </c>
    </row>
    <row r="179" spans="2:30" x14ac:dyDescent="0.25">
      <c r="B179" s="356">
        <f t="shared" si="48"/>
        <v>156</v>
      </c>
      <c r="C179" s="357">
        <f t="shared" si="55"/>
        <v>12</v>
      </c>
      <c r="D179" s="357">
        <f t="shared" si="56"/>
        <v>12</v>
      </c>
      <c r="E179" s="357">
        <f t="shared" si="57"/>
        <v>41</v>
      </c>
      <c r="F179" s="356">
        <f t="shared" si="49"/>
        <v>320167.1000339278</v>
      </c>
      <c r="H179" s="356">
        <f t="shared" si="45"/>
        <v>2553.05741638542</v>
      </c>
      <c r="I179" s="356">
        <v>0</v>
      </c>
      <c r="J179" s="360">
        <f>-SUM(F179:H179)*$J$21</f>
        <v>-2904.48141705282</v>
      </c>
      <c r="K179" s="356">
        <f t="shared" si="50"/>
        <v>-319.8156760332605</v>
      </c>
      <c r="L179" s="356">
        <f t="shared" si="46"/>
        <v>319495.8603572272</v>
      </c>
      <c r="N179" s="356">
        <f t="shared" si="51"/>
        <v>156</v>
      </c>
      <c r="O179" s="357">
        <f t="shared" si="58"/>
        <v>12</v>
      </c>
      <c r="P179" s="357">
        <f t="shared" si="59"/>
        <v>12</v>
      </c>
      <c r="Q179" s="357">
        <f t="shared" si="60"/>
        <v>12</v>
      </c>
      <c r="R179" s="356">
        <f t="shared" si="52"/>
        <v>2274107.9524417194</v>
      </c>
      <c r="S179" s="356">
        <f>IF($G$4="mensual",S178,0)</f>
        <v>10000</v>
      </c>
      <c r="U179" s="356">
        <f t="shared" si="61"/>
        <v>18213.79756754611</v>
      </c>
      <c r="V179" s="359">
        <f t="shared" si="63"/>
        <v>-121.99865505485734</v>
      </c>
      <c r="X179" s="359">
        <f t="shared" si="62"/>
        <v>-2302.321750009265</v>
      </c>
      <c r="Y179" s="356">
        <f t="shared" si="47"/>
        <v>2299897.429604201</v>
      </c>
      <c r="AA179" s="357">
        <f>+Bono!J179</f>
        <v>192631.82940689308</v>
      </c>
      <c r="AC179" s="378">
        <f t="shared" si="53"/>
        <v>13</v>
      </c>
      <c r="AD179" s="356">
        <f t="shared" si="54"/>
        <v>2812025.1193683213</v>
      </c>
    </row>
    <row r="180" spans="2:30" x14ac:dyDescent="0.25">
      <c r="B180" s="356">
        <f t="shared" si="48"/>
        <v>157</v>
      </c>
      <c r="C180" s="357">
        <f t="shared" si="55"/>
        <v>13</v>
      </c>
      <c r="D180" s="357">
        <f t="shared" si="56"/>
        <v>1</v>
      </c>
      <c r="E180" s="357">
        <f t="shared" si="57"/>
        <v>42</v>
      </c>
      <c r="F180" s="356">
        <f t="shared" si="49"/>
        <v>319495.8603572272</v>
      </c>
      <c r="H180" s="356">
        <f t="shared" si="45"/>
        <v>2547.704856941957</v>
      </c>
      <c r="I180" s="356">
        <v>0</v>
      </c>
      <c r="J180" s="356">
        <v>0</v>
      </c>
      <c r="K180" s="356">
        <f t="shared" si="50"/>
        <v>-322.0435652141692</v>
      </c>
      <c r="L180" s="356">
        <f t="shared" si="46"/>
        <v>321721.521648955</v>
      </c>
      <c r="N180" s="356">
        <f t="shared" si="51"/>
        <v>157</v>
      </c>
      <c r="O180" s="357">
        <f t="shared" si="58"/>
        <v>13</v>
      </c>
      <c r="P180" s="357">
        <f t="shared" si="59"/>
        <v>1</v>
      </c>
      <c r="Q180" s="357">
        <f t="shared" si="60"/>
        <v>13</v>
      </c>
      <c r="R180" s="356">
        <f t="shared" si="52"/>
        <v>2299897.429604201</v>
      </c>
      <c r="S180" s="356">
        <f>IF($G$17="si",S168*(1+$G$20),S168)</f>
        <v>10000</v>
      </c>
      <c r="U180" s="356">
        <f t="shared" si="61"/>
        <v>18419.446480027746</v>
      </c>
      <c r="V180" s="359">
        <f>(V179*(1+$G$18))</f>
        <v>-126.87860125705164</v>
      </c>
      <c r="X180" s="359">
        <f t="shared" si="62"/>
        <v>-2328.316876084229</v>
      </c>
      <c r="Y180" s="356">
        <f t="shared" si="47"/>
        <v>2325861.6806068877</v>
      </c>
      <c r="AA180" s="357">
        <f>+Bono!J180</f>
        <v>193826.16909312506</v>
      </c>
      <c r="AC180" s="378">
        <f t="shared" si="53"/>
        <v>13.083333333333334</v>
      </c>
      <c r="AD180" s="356">
        <f t="shared" si="54"/>
        <v>2841409.371348968</v>
      </c>
    </row>
    <row r="181" spans="2:30" x14ac:dyDescent="0.25">
      <c r="B181" s="356">
        <f t="shared" si="48"/>
        <v>158</v>
      </c>
      <c r="C181" s="357">
        <f t="shared" si="55"/>
        <v>13</v>
      </c>
      <c r="D181" s="357">
        <f t="shared" si="56"/>
        <v>2</v>
      </c>
      <c r="E181" s="357">
        <f t="shared" si="57"/>
        <v>42</v>
      </c>
      <c r="F181" s="356">
        <f t="shared" si="49"/>
        <v>321721.521648955</v>
      </c>
      <c r="H181" s="356">
        <f t="shared" si="45"/>
        <v>2565.45259262937</v>
      </c>
      <c r="I181" s="356">
        <v>0</v>
      </c>
      <c r="J181" s="356">
        <v>0</v>
      </c>
      <c r="K181" s="356">
        <f t="shared" si="50"/>
        <v>-324.28697424158435</v>
      </c>
      <c r="L181" s="356">
        <f t="shared" si="46"/>
        <v>323962.68726734276</v>
      </c>
      <c r="N181" s="356">
        <f t="shared" si="51"/>
        <v>158</v>
      </c>
      <c r="O181" s="357">
        <f t="shared" si="58"/>
        <v>13</v>
      </c>
      <c r="P181" s="357">
        <f t="shared" si="59"/>
        <v>2</v>
      </c>
      <c r="Q181" s="357">
        <f t="shared" si="60"/>
        <v>13</v>
      </c>
      <c r="R181" s="356">
        <f t="shared" si="52"/>
        <v>2325861.6806068877</v>
      </c>
      <c r="S181" s="356">
        <f>IF($G$4="mensual",S180,0)</f>
        <v>10000</v>
      </c>
      <c r="U181" s="356">
        <f t="shared" si="61"/>
        <v>18626.489063654473</v>
      </c>
      <c r="V181" s="359">
        <f t="shared" si="63"/>
        <v>-126.87860125705164</v>
      </c>
      <c r="X181" s="359">
        <f t="shared" si="62"/>
        <v>-2354.4881696705424</v>
      </c>
      <c r="Y181" s="356">
        <f t="shared" si="47"/>
        <v>2352006.8028996144</v>
      </c>
      <c r="AA181" s="357">
        <f>+Bono!J181</f>
        <v>195027.9138239465</v>
      </c>
      <c r="AC181" s="378">
        <f t="shared" si="53"/>
        <v>13.166666666666666</v>
      </c>
      <c r="AD181" s="356">
        <f t="shared" si="54"/>
        <v>2870997.4039909034</v>
      </c>
    </row>
    <row r="182" spans="2:30" x14ac:dyDescent="0.25">
      <c r="B182" s="356">
        <f t="shared" si="48"/>
        <v>159</v>
      </c>
      <c r="C182" s="357">
        <f t="shared" si="55"/>
        <v>13</v>
      </c>
      <c r="D182" s="357">
        <f t="shared" si="56"/>
        <v>3</v>
      </c>
      <c r="E182" s="357">
        <f t="shared" si="57"/>
        <v>42</v>
      </c>
      <c r="F182" s="356">
        <f t="shared" si="49"/>
        <v>323962.68726734276</v>
      </c>
      <c r="H182" s="356">
        <f t="shared" si="45"/>
        <v>2583.3239619948245</v>
      </c>
      <c r="I182" s="356">
        <v>0</v>
      </c>
      <c r="J182" s="360">
        <f>-SUM(F182:H182)*$J$21</f>
        <v>-2938.9141010640387</v>
      </c>
      <c r="K182" s="356">
        <f t="shared" si="50"/>
        <v>-323.60709712827355</v>
      </c>
      <c r="L182" s="356">
        <f t="shared" si="46"/>
        <v>323283.4900311453</v>
      </c>
      <c r="N182" s="356">
        <f t="shared" si="51"/>
        <v>159</v>
      </c>
      <c r="O182" s="357">
        <f t="shared" si="58"/>
        <v>13</v>
      </c>
      <c r="P182" s="357">
        <f t="shared" si="59"/>
        <v>3</v>
      </c>
      <c r="Q182" s="357">
        <f t="shared" si="60"/>
        <v>13</v>
      </c>
      <c r="R182" s="356">
        <f t="shared" si="52"/>
        <v>2352006.8028996144</v>
      </c>
      <c r="S182" s="356">
        <f>IF($G$4="mensual",S181,0)</f>
        <v>10000</v>
      </c>
      <c r="U182" s="356">
        <f t="shared" si="61"/>
        <v>18834.97394034754</v>
      </c>
      <c r="V182" s="359">
        <f t="shared" si="63"/>
        <v>-126.87860125705164</v>
      </c>
      <c r="X182" s="359">
        <f t="shared" si="62"/>
        <v>-2380.8417768399618</v>
      </c>
      <c r="Y182" s="356">
        <f t="shared" si="47"/>
        <v>2378334.0564618646</v>
      </c>
      <c r="AA182" s="357">
        <f>+Bono!J182</f>
        <v>194469.20762400184</v>
      </c>
      <c r="AC182" s="378">
        <f t="shared" si="53"/>
        <v>13.25</v>
      </c>
      <c r="AD182" s="356">
        <f t="shared" si="54"/>
        <v>2896086.754117012</v>
      </c>
    </row>
    <row r="183" spans="2:30" x14ac:dyDescent="0.25">
      <c r="B183" s="356">
        <f t="shared" si="48"/>
        <v>160</v>
      </c>
      <c r="C183" s="357">
        <f t="shared" si="55"/>
        <v>13</v>
      </c>
      <c r="D183" s="357">
        <f t="shared" si="56"/>
        <v>4</v>
      </c>
      <c r="E183" s="357">
        <f t="shared" si="57"/>
        <v>42</v>
      </c>
      <c r="F183" s="356">
        <f t="shared" si="49"/>
        <v>323283.4900311453</v>
      </c>
      <c r="H183" s="356">
        <f t="shared" si="45"/>
        <v>2577.9079478544627</v>
      </c>
      <c r="I183" s="356">
        <v>0</v>
      </c>
      <c r="J183" s="356">
        <v>0</v>
      </c>
      <c r="K183" s="356">
        <f t="shared" si="50"/>
        <v>-325.8613979789998</v>
      </c>
      <c r="L183" s="356">
        <f t="shared" si="46"/>
        <v>325535.53658102074</v>
      </c>
      <c r="N183" s="356">
        <f t="shared" si="51"/>
        <v>160</v>
      </c>
      <c r="O183" s="357">
        <f t="shared" si="58"/>
        <v>13</v>
      </c>
      <c r="P183" s="357">
        <f t="shared" si="59"/>
        <v>4</v>
      </c>
      <c r="Q183" s="357">
        <f t="shared" si="60"/>
        <v>13</v>
      </c>
      <c r="R183" s="356">
        <f t="shared" si="52"/>
        <v>2378334.0564618646</v>
      </c>
      <c r="S183" s="356">
        <f>IF($G$4="mensual",S180,IF($G$4="trimestral",S180,0))</f>
        <v>10000</v>
      </c>
      <c r="U183" s="356">
        <f t="shared" si="61"/>
        <v>19044.91115736028</v>
      </c>
      <c r="V183" s="359">
        <f t="shared" si="63"/>
        <v>-126.87860125705164</v>
      </c>
      <c r="X183" s="359">
        <f t="shared" si="62"/>
        <v>-2407.378967619225</v>
      </c>
      <c r="Y183" s="356">
        <f t="shared" si="47"/>
        <v>2404844.7100503487</v>
      </c>
      <c r="AA183" s="357">
        <f>+Bono!J183</f>
        <v>195674.93926830258</v>
      </c>
      <c r="AC183" s="378">
        <f t="shared" si="53"/>
        <v>13.333333333333334</v>
      </c>
      <c r="AD183" s="356">
        <f t="shared" si="54"/>
        <v>2926055.185899672</v>
      </c>
    </row>
    <row r="184" spans="2:30" x14ac:dyDescent="0.25">
      <c r="B184" s="356">
        <f t="shared" si="48"/>
        <v>161</v>
      </c>
      <c r="C184" s="357">
        <f t="shared" si="55"/>
        <v>13</v>
      </c>
      <c r="D184" s="357">
        <f t="shared" si="56"/>
        <v>5</v>
      </c>
      <c r="E184" s="357">
        <f t="shared" si="57"/>
        <v>42</v>
      </c>
      <c r="F184" s="356">
        <f t="shared" si="49"/>
        <v>325535.53658102074</v>
      </c>
      <c r="H184" s="356">
        <f t="shared" si="45"/>
        <v>2595.866083295598</v>
      </c>
      <c r="I184" s="356">
        <v>0</v>
      </c>
      <c r="J184" s="356">
        <v>0</v>
      </c>
      <c r="K184" s="356">
        <f t="shared" si="50"/>
        <v>-328.13140266431634</v>
      </c>
      <c r="L184" s="356">
        <f t="shared" si="46"/>
        <v>327803.27126165206</v>
      </c>
      <c r="N184" s="356">
        <f t="shared" si="51"/>
        <v>161</v>
      </c>
      <c r="O184" s="357">
        <f t="shared" si="58"/>
        <v>13</v>
      </c>
      <c r="P184" s="357">
        <f t="shared" si="59"/>
        <v>5</v>
      </c>
      <c r="Q184" s="357">
        <f t="shared" si="60"/>
        <v>13</v>
      </c>
      <c r="R184" s="356">
        <f t="shared" si="52"/>
        <v>2404844.7100503487</v>
      </c>
      <c r="S184" s="356">
        <f>IF($G$4="mensual",S183,0)</f>
        <v>10000</v>
      </c>
      <c r="U184" s="356">
        <f t="shared" si="61"/>
        <v>19256.310831936873</v>
      </c>
      <c r="V184" s="359">
        <f t="shared" si="63"/>
        <v>-126.87860125705164</v>
      </c>
      <c r="X184" s="359">
        <f t="shared" si="62"/>
        <v>-2434.101020882286</v>
      </c>
      <c r="Y184" s="356">
        <f t="shared" si="47"/>
        <v>2431540.041260146</v>
      </c>
      <c r="AA184" s="357">
        <f>+Bono!J184</f>
        <v>196888.14658865417</v>
      </c>
      <c r="AC184" s="378">
        <f t="shared" si="53"/>
        <v>13.416666666666666</v>
      </c>
      <c r="AD184" s="356">
        <f t="shared" si="54"/>
        <v>2956231.4591104523</v>
      </c>
    </row>
    <row r="185" spans="2:30" x14ac:dyDescent="0.25">
      <c r="B185" s="356">
        <f t="shared" si="48"/>
        <v>162</v>
      </c>
      <c r="C185" s="357">
        <f t="shared" si="55"/>
        <v>13</v>
      </c>
      <c r="D185" s="357">
        <f t="shared" si="56"/>
        <v>6</v>
      </c>
      <c r="E185" s="357">
        <f t="shared" si="57"/>
        <v>42</v>
      </c>
      <c r="F185" s="356">
        <f t="shared" si="49"/>
        <v>327803.27126165206</v>
      </c>
      <c r="H185" s="356">
        <f t="shared" si="45"/>
        <v>2613.9493180944473</v>
      </c>
      <c r="I185" s="356">
        <v>0</v>
      </c>
      <c r="J185" s="360">
        <f>-SUM(F185:H185)*$J$21</f>
        <v>-2973.754985217719</v>
      </c>
      <c r="K185" s="356">
        <f t="shared" si="50"/>
        <v>-327.44346559452885</v>
      </c>
      <c r="L185" s="356">
        <f t="shared" si="46"/>
        <v>327116.0221289343</v>
      </c>
      <c r="N185" s="356">
        <f t="shared" si="51"/>
        <v>162</v>
      </c>
      <c r="O185" s="357">
        <f t="shared" si="58"/>
        <v>13</v>
      </c>
      <c r="P185" s="357">
        <f t="shared" si="59"/>
        <v>6</v>
      </c>
      <c r="Q185" s="357">
        <f t="shared" si="60"/>
        <v>13</v>
      </c>
      <c r="R185" s="356">
        <f t="shared" si="52"/>
        <v>2431540.041260146</v>
      </c>
      <c r="S185" s="356">
        <f>IF($G$4="mensual",S184,0)</f>
        <v>10000</v>
      </c>
      <c r="U185" s="356">
        <f t="shared" si="61"/>
        <v>19469.183151799894</v>
      </c>
      <c r="V185" s="359">
        <f t="shared" si="63"/>
        <v>-126.87860125705164</v>
      </c>
      <c r="X185" s="359">
        <f t="shared" si="62"/>
        <v>-2461.009224411946</v>
      </c>
      <c r="Y185" s="356">
        <f t="shared" si="47"/>
        <v>2458421.3365862765</v>
      </c>
      <c r="AA185" s="357">
        <f>+Bono!J185</f>
        <v>196324.11128705117</v>
      </c>
      <c r="AC185" s="378">
        <f t="shared" si="53"/>
        <v>13.5</v>
      </c>
      <c r="AD185" s="356">
        <f t="shared" si="54"/>
        <v>2981861.470002262</v>
      </c>
    </row>
    <row r="186" spans="2:30" x14ac:dyDescent="0.25">
      <c r="B186" s="356">
        <f t="shared" si="48"/>
        <v>163</v>
      </c>
      <c r="C186" s="357">
        <f t="shared" si="55"/>
        <v>13</v>
      </c>
      <c r="D186" s="357">
        <f t="shared" si="56"/>
        <v>7</v>
      </c>
      <c r="E186" s="357">
        <f t="shared" si="57"/>
        <v>42</v>
      </c>
      <c r="F186" s="356">
        <f t="shared" si="49"/>
        <v>327116.0221289343</v>
      </c>
      <c r="H186" s="356">
        <f t="shared" si="45"/>
        <v>2608.469097000513</v>
      </c>
      <c r="I186" s="356">
        <v>0</v>
      </c>
      <c r="J186" s="356">
        <v>0</v>
      </c>
      <c r="K186" s="356">
        <f t="shared" si="50"/>
        <v>-329.72449122593474</v>
      </c>
      <c r="L186" s="356">
        <f t="shared" si="46"/>
        <v>329394.7667347088</v>
      </c>
      <c r="N186" s="356">
        <f t="shared" si="51"/>
        <v>163</v>
      </c>
      <c r="O186" s="357">
        <f t="shared" si="58"/>
        <v>13</v>
      </c>
      <c r="P186" s="357">
        <f t="shared" si="59"/>
        <v>7</v>
      </c>
      <c r="Q186" s="357">
        <f t="shared" si="60"/>
        <v>13</v>
      </c>
      <c r="R186" s="356">
        <f t="shared" si="52"/>
        <v>2458421.3365862765</v>
      </c>
      <c r="S186" s="356">
        <f>+IF($G$4="mensual",S180,IF($G$4="trimestral",S180,IF($G$4="semestral",S180,0)))</f>
        <v>10000</v>
      </c>
      <c r="U186" s="356">
        <f t="shared" si="61"/>
        <v>19683.538375641296</v>
      </c>
      <c r="V186" s="359">
        <f t="shared" si="63"/>
        <v>-126.87860125705164</v>
      </c>
      <c r="X186" s="359">
        <f t="shared" si="62"/>
        <v>-2488.1048749619176</v>
      </c>
      <c r="Y186" s="356">
        <f t="shared" si="47"/>
        <v>2485489.8914856985</v>
      </c>
      <c r="AA186" s="357">
        <f>+Bono!J186</f>
        <v>197541.3435492183</v>
      </c>
      <c r="AC186" s="378">
        <f t="shared" si="53"/>
        <v>13.583333333333334</v>
      </c>
      <c r="AD186" s="356">
        <f t="shared" si="54"/>
        <v>3012426.0017696256</v>
      </c>
    </row>
    <row r="187" spans="2:30" x14ac:dyDescent="0.25">
      <c r="B187" s="356">
        <f t="shared" si="48"/>
        <v>164</v>
      </c>
      <c r="C187" s="357">
        <f t="shared" si="55"/>
        <v>13</v>
      </c>
      <c r="D187" s="357">
        <f t="shared" si="56"/>
        <v>8</v>
      </c>
      <c r="E187" s="357">
        <f t="shared" si="57"/>
        <v>42</v>
      </c>
      <c r="F187" s="356">
        <f t="shared" si="49"/>
        <v>329394.7667347088</v>
      </c>
      <c r="H187" s="356">
        <f t="shared" si="45"/>
        <v>2626.6401264885662</v>
      </c>
      <c r="I187" s="356">
        <v>0</v>
      </c>
      <c r="J187" s="356">
        <v>0</v>
      </c>
      <c r="K187" s="356">
        <f t="shared" si="50"/>
        <v>-332.02140686119736</v>
      </c>
      <c r="L187" s="356">
        <f t="shared" si="46"/>
        <v>331689.3854543362</v>
      </c>
      <c r="N187" s="356">
        <f t="shared" si="51"/>
        <v>164</v>
      </c>
      <c r="O187" s="357">
        <f t="shared" si="58"/>
        <v>13</v>
      </c>
      <c r="P187" s="357">
        <f t="shared" si="59"/>
        <v>8</v>
      </c>
      <c r="Q187" s="357">
        <f t="shared" si="60"/>
        <v>13</v>
      </c>
      <c r="R187" s="356">
        <f t="shared" si="52"/>
        <v>2485489.8914856985</v>
      </c>
      <c r="S187" s="356">
        <f>IF($G$4="mensual",S186,0)</f>
        <v>10000</v>
      </c>
      <c r="U187" s="356">
        <f t="shared" si="61"/>
        <v>19899.386833616776</v>
      </c>
      <c r="V187" s="359">
        <f t="shared" si="63"/>
        <v>-126.87860125705164</v>
      </c>
      <c r="X187" s="359">
        <f t="shared" si="62"/>
        <v>-2515.3892783193155</v>
      </c>
      <c r="Y187" s="356">
        <f t="shared" si="47"/>
        <v>2512747.010439739</v>
      </c>
      <c r="AA187" s="357">
        <f>+Bono!J187</f>
        <v>198766.1227926011</v>
      </c>
      <c r="AC187" s="378">
        <f t="shared" si="53"/>
        <v>13.666666666666666</v>
      </c>
      <c r="AD187" s="356">
        <f t="shared" si="54"/>
        <v>3043202.5186866764</v>
      </c>
    </row>
    <row r="188" spans="2:30" x14ac:dyDescent="0.25">
      <c r="B188" s="356">
        <f t="shared" si="48"/>
        <v>165</v>
      </c>
      <c r="C188" s="357">
        <f t="shared" si="55"/>
        <v>13</v>
      </c>
      <c r="D188" s="357">
        <f t="shared" si="56"/>
        <v>9</v>
      </c>
      <c r="E188" s="357">
        <f t="shared" si="57"/>
        <v>42</v>
      </c>
      <c r="F188" s="356">
        <f t="shared" si="49"/>
        <v>331689.3854543362</v>
      </c>
      <c r="H188" s="356">
        <f t="shared" si="45"/>
        <v>2644.9377383896663</v>
      </c>
      <c r="I188" s="356">
        <v>0</v>
      </c>
      <c r="J188" s="360">
        <f>-SUM(F188:H188)*$J$21</f>
        <v>-3009.0089087345327</v>
      </c>
      <c r="K188" s="356">
        <f t="shared" si="50"/>
        <v>-331.3253142839913</v>
      </c>
      <c r="L188" s="356">
        <f t="shared" si="46"/>
        <v>330993.9889697073</v>
      </c>
      <c r="N188" s="356">
        <f t="shared" si="51"/>
        <v>165</v>
      </c>
      <c r="O188" s="357">
        <f t="shared" si="58"/>
        <v>13</v>
      </c>
      <c r="P188" s="357">
        <f t="shared" si="59"/>
        <v>9</v>
      </c>
      <c r="Q188" s="357">
        <f t="shared" si="60"/>
        <v>13</v>
      </c>
      <c r="R188" s="356">
        <f t="shared" si="52"/>
        <v>2512747.010439739</v>
      </c>
      <c r="S188" s="356">
        <f>IF($G$4="mensual",S187,0)</f>
        <v>10000</v>
      </c>
      <c r="U188" s="356">
        <f t="shared" si="61"/>
        <v>20116.73892784363</v>
      </c>
      <c r="V188" s="359">
        <f t="shared" si="63"/>
        <v>-126.87860125705164</v>
      </c>
      <c r="X188" s="359">
        <f t="shared" si="62"/>
        <v>-2542.863749367583</v>
      </c>
      <c r="Y188" s="356">
        <f t="shared" si="47"/>
        <v>2540194.0070169577</v>
      </c>
      <c r="AA188" s="357">
        <f>+Bono!J188</f>
        <v>198196.70755882366</v>
      </c>
      <c r="AC188" s="378">
        <f t="shared" si="53"/>
        <v>13.75</v>
      </c>
      <c r="AD188" s="356">
        <f t="shared" si="54"/>
        <v>3069384.703545489</v>
      </c>
    </row>
    <row r="189" spans="2:30" x14ac:dyDescent="0.25">
      <c r="B189" s="356">
        <f t="shared" si="48"/>
        <v>166</v>
      </c>
      <c r="C189" s="357">
        <f t="shared" si="55"/>
        <v>13</v>
      </c>
      <c r="D189" s="357">
        <f t="shared" si="56"/>
        <v>10</v>
      </c>
      <c r="E189" s="357">
        <f t="shared" si="57"/>
        <v>42</v>
      </c>
      <c r="F189" s="356">
        <f t="shared" si="49"/>
        <v>330993.9889697073</v>
      </c>
      <c r="H189" s="356">
        <f t="shared" si="45"/>
        <v>2639.3925491674695</v>
      </c>
      <c r="I189" s="356">
        <v>0</v>
      </c>
      <c r="J189" s="356">
        <v>0</v>
      </c>
      <c r="K189" s="356">
        <f t="shared" si="50"/>
        <v>-333.6333815188747</v>
      </c>
      <c r="L189" s="356">
        <f t="shared" si="46"/>
        <v>333299.74813735584</v>
      </c>
      <c r="N189" s="356">
        <f t="shared" si="51"/>
        <v>166</v>
      </c>
      <c r="O189" s="357">
        <f t="shared" si="58"/>
        <v>13</v>
      </c>
      <c r="P189" s="357">
        <f t="shared" si="59"/>
        <v>10</v>
      </c>
      <c r="Q189" s="357">
        <f t="shared" si="60"/>
        <v>13</v>
      </c>
      <c r="R189" s="356">
        <f t="shared" si="52"/>
        <v>2540194.0070169577</v>
      </c>
      <c r="S189" s="356">
        <f>IF($G$4="mensual",S180,IF($G$4="trimestral",S180,0))</f>
        <v>10000</v>
      </c>
      <c r="U189" s="356">
        <f t="shared" si="61"/>
        <v>20335.605132902012</v>
      </c>
      <c r="V189" s="359">
        <f t="shared" si="63"/>
        <v>-126.87860125705164</v>
      </c>
      <c r="X189" s="359">
        <f t="shared" si="62"/>
        <v>-2570.52961214986</v>
      </c>
      <c r="Y189" s="356">
        <f t="shared" si="47"/>
        <v>2567832.2039364525</v>
      </c>
      <c r="AA189" s="357">
        <f>+Bono!J189</f>
        <v>199425.55013508353</v>
      </c>
      <c r="AC189" s="378">
        <f t="shared" si="53"/>
        <v>13.833333333333334</v>
      </c>
      <c r="AD189" s="356">
        <f t="shared" si="54"/>
        <v>3100557.502208892</v>
      </c>
    </row>
    <row r="190" spans="2:30" x14ac:dyDescent="0.25">
      <c r="B190" s="356">
        <f t="shared" si="48"/>
        <v>167</v>
      </c>
      <c r="C190" s="357">
        <f t="shared" si="55"/>
        <v>13</v>
      </c>
      <c r="D190" s="357">
        <f t="shared" si="56"/>
        <v>11</v>
      </c>
      <c r="E190" s="357">
        <f t="shared" si="57"/>
        <v>42</v>
      </c>
      <c r="F190" s="356">
        <f t="shared" si="49"/>
        <v>333299.74813735584</v>
      </c>
      <c r="H190" s="356">
        <f t="shared" si="45"/>
        <v>2657.778996565531</v>
      </c>
      <c r="I190" s="356">
        <v>0</v>
      </c>
      <c r="J190" s="356">
        <v>0</v>
      </c>
      <c r="K190" s="356">
        <f t="shared" si="50"/>
        <v>-335.9575271339214</v>
      </c>
      <c r="L190" s="356">
        <f t="shared" si="46"/>
        <v>335621.56960678747</v>
      </c>
      <c r="N190" s="356">
        <f t="shared" si="51"/>
        <v>167</v>
      </c>
      <c r="O190" s="357">
        <f t="shared" si="58"/>
        <v>13</v>
      </c>
      <c r="P190" s="357">
        <f t="shared" si="59"/>
        <v>11</v>
      </c>
      <c r="Q190" s="357">
        <f t="shared" si="60"/>
        <v>13</v>
      </c>
      <c r="R190" s="356">
        <f t="shared" si="52"/>
        <v>2567832.2039364525</v>
      </c>
      <c r="S190" s="356">
        <f>IF($G$17="si",S178*(1+$G$20),S178)</f>
        <v>10000</v>
      </c>
      <c r="U190" s="356">
        <f t="shared" si="61"/>
        <v>20555.99599633976</v>
      </c>
      <c r="V190" s="359">
        <f t="shared" si="63"/>
        <v>-126.87860125705164</v>
      </c>
      <c r="X190" s="359">
        <f t="shared" si="62"/>
        <v>-2598.3881999327923</v>
      </c>
      <c r="Y190" s="356">
        <f t="shared" si="47"/>
        <v>2595662.933131602</v>
      </c>
      <c r="AA190" s="357">
        <f>+Bono!J190</f>
        <v>200662.0116778531</v>
      </c>
      <c r="AC190" s="378">
        <f t="shared" si="53"/>
        <v>13.916666666666666</v>
      </c>
      <c r="AD190" s="356">
        <f t="shared" si="54"/>
        <v>3131946.514416243</v>
      </c>
    </row>
    <row r="191" spans="2:30" x14ac:dyDescent="0.25">
      <c r="B191" s="356">
        <f t="shared" si="48"/>
        <v>168</v>
      </c>
      <c r="C191" s="357">
        <f t="shared" si="55"/>
        <v>13</v>
      </c>
      <c r="D191" s="357">
        <f t="shared" si="56"/>
        <v>12</v>
      </c>
      <c r="E191" s="357">
        <f t="shared" si="57"/>
        <v>42</v>
      </c>
      <c r="F191" s="356">
        <f t="shared" si="49"/>
        <v>335621.56960678747</v>
      </c>
      <c r="H191" s="356">
        <f t="shared" si="45"/>
        <v>2676.2935270136227</v>
      </c>
      <c r="I191" s="356">
        <v>0</v>
      </c>
      <c r="J191" s="360">
        <f>-SUM(F191:H191)*$J$21</f>
        <v>-3044.6807682042104</v>
      </c>
      <c r="K191" s="356">
        <f t="shared" si="50"/>
        <v>-335.2531823655969</v>
      </c>
      <c r="L191" s="356">
        <f t="shared" si="46"/>
        <v>334917.92918323126</v>
      </c>
      <c r="N191" s="356">
        <f t="shared" si="51"/>
        <v>168</v>
      </c>
      <c r="O191" s="357">
        <f t="shared" si="58"/>
        <v>13</v>
      </c>
      <c r="P191" s="357">
        <f t="shared" si="59"/>
        <v>12</v>
      </c>
      <c r="Q191" s="357">
        <f t="shared" si="60"/>
        <v>13</v>
      </c>
      <c r="R191" s="356">
        <f t="shared" si="52"/>
        <v>2595662.933131602</v>
      </c>
      <c r="S191" s="356">
        <f>IF($G$4="mensual",S190,0)</f>
        <v>10000</v>
      </c>
      <c r="U191" s="356">
        <f t="shared" si="61"/>
        <v>20777.922139180675</v>
      </c>
      <c r="V191" s="359">
        <f t="shared" si="63"/>
        <v>-126.87860125705164</v>
      </c>
      <c r="X191" s="359">
        <f t="shared" si="62"/>
        <v>-2626.4408552707832</v>
      </c>
      <c r="Y191" s="356">
        <f t="shared" si="47"/>
        <v>2623687.535814255</v>
      </c>
      <c r="AA191" s="357">
        <f>+Bono!J191</f>
        <v>200087.16519654897</v>
      </c>
      <c r="AC191" s="378">
        <f t="shared" si="53"/>
        <v>14</v>
      </c>
      <c r="AD191" s="356">
        <f t="shared" si="54"/>
        <v>3158692.6301940354</v>
      </c>
    </row>
    <row r="192" spans="2:30" x14ac:dyDescent="0.25">
      <c r="B192" s="356">
        <f t="shared" si="48"/>
        <v>169</v>
      </c>
      <c r="C192" s="357">
        <f t="shared" si="55"/>
        <v>14</v>
      </c>
      <c r="D192" s="357">
        <f t="shared" si="56"/>
        <v>1</v>
      </c>
      <c r="E192" s="357">
        <f t="shared" si="57"/>
        <v>43</v>
      </c>
      <c r="F192" s="356">
        <f t="shared" si="49"/>
        <v>334917.92918323126</v>
      </c>
      <c r="H192" s="356">
        <f t="shared" si="45"/>
        <v>2670.6825994647324</v>
      </c>
      <c r="I192" s="356">
        <v>0</v>
      </c>
      <c r="J192" s="356">
        <v>0</v>
      </c>
      <c r="K192" s="356">
        <f t="shared" si="50"/>
        <v>-337.588611782696</v>
      </c>
      <c r="L192" s="356">
        <f t="shared" si="46"/>
        <v>337251.0231709133</v>
      </c>
      <c r="N192" s="356">
        <f t="shared" si="51"/>
        <v>169</v>
      </c>
      <c r="O192" s="357">
        <f t="shared" si="58"/>
        <v>14</v>
      </c>
      <c r="P192" s="357">
        <f t="shared" si="59"/>
        <v>1</v>
      </c>
      <c r="Q192" s="357">
        <f t="shared" si="60"/>
        <v>14</v>
      </c>
      <c r="R192" s="356">
        <f t="shared" si="52"/>
        <v>2623687.535814255</v>
      </c>
      <c r="S192" s="356">
        <f>IF($G$17="si",S180*(1+$G$20),S180)</f>
        <v>10000</v>
      </c>
      <c r="U192" s="356">
        <f t="shared" si="61"/>
        <v>21001.394256436382</v>
      </c>
      <c r="V192" s="359">
        <f>(V191*(1+$G$18))</f>
        <v>-131.95374530733372</v>
      </c>
      <c r="X192" s="359">
        <f t="shared" si="62"/>
        <v>-2654.688930070691</v>
      </c>
      <c r="Y192" s="356">
        <f t="shared" si="47"/>
        <v>2651902.2873953134</v>
      </c>
      <c r="AA192" s="357">
        <f>+Bono!J192</f>
        <v>201327.72882944223</v>
      </c>
      <c r="AC192" s="378">
        <f t="shared" si="53"/>
        <v>14.083333333333334</v>
      </c>
      <c r="AD192" s="356">
        <f t="shared" si="54"/>
        <v>3190481.0393956685</v>
      </c>
    </row>
    <row r="193" spans="2:30" x14ac:dyDescent="0.25">
      <c r="B193" s="356">
        <f t="shared" si="48"/>
        <v>170</v>
      </c>
      <c r="C193" s="357">
        <f t="shared" si="55"/>
        <v>14</v>
      </c>
      <c r="D193" s="357">
        <f t="shared" si="56"/>
        <v>2</v>
      </c>
      <c r="E193" s="357">
        <f t="shared" si="57"/>
        <v>43</v>
      </c>
      <c r="F193" s="356">
        <f t="shared" si="49"/>
        <v>337251.0231709133</v>
      </c>
      <c r="H193" s="356">
        <f t="shared" si="45"/>
        <v>2689.2870185563397</v>
      </c>
      <c r="I193" s="356">
        <v>0</v>
      </c>
      <c r="J193" s="356">
        <v>0</v>
      </c>
      <c r="K193" s="356">
        <f t="shared" si="50"/>
        <v>-339.9403101894696</v>
      </c>
      <c r="L193" s="356">
        <f t="shared" si="46"/>
        <v>339600.36987928016</v>
      </c>
      <c r="N193" s="356">
        <f t="shared" si="51"/>
        <v>170</v>
      </c>
      <c r="O193" s="357">
        <f t="shared" si="58"/>
        <v>14</v>
      </c>
      <c r="P193" s="357">
        <f t="shared" si="59"/>
        <v>2</v>
      </c>
      <c r="Q193" s="357">
        <f t="shared" si="60"/>
        <v>14</v>
      </c>
      <c r="R193" s="356">
        <f t="shared" si="52"/>
        <v>2651902.2873953134</v>
      </c>
      <c r="S193" s="356">
        <f>IF($G$4="mensual",S192,0)</f>
        <v>10000</v>
      </c>
      <c r="U193" s="356">
        <f t="shared" si="61"/>
        <v>21226.382647710376</v>
      </c>
      <c r="V193" s="359">
        <f t="shared" si="63"/>
        <v>-131.95374530733372</v>
      </c>
      <c r="X193" s="359">
        <f t="shared" si="62"/>
        <v>-2683.1286700430237</v>
      </c>
      <c r="Y193" s="356">
        <f t="shared" si="47"/>
        <v>2680313.5876276735</v>
      </c>
      <c r="AA193" s="357">
        <f>+Bono!J193</f>
        <v>202575.9841007559</v>
      </c>
      <c r="AC193" s="378">
        <f t="shared" si="53"/>
        <v>14.166666666666666</v>
      </c>
      <c r="AD193" s="356">
        <f t="shared" si="54"/>
        <v>3222489.9416077095</v>
      </c>
    </row>
    <row r="194" spans="2:30" x14ac:dyDescent="0.25">
      <c r="B194" s="356">
        <f t="shared" si="48"/>
        <v>171</v>
      </c>
      <c r="C194" s="357">
        <f t="shared" si="55"/>
        <v>14</v>
      </c>
      <c r="D194" s="357">
        <f t="shared" si="56"/>
        <v>3</v>
      </c>
      <c r="E194" s="357">
        <f t="shared" si="57"/>
        <v>43</v>
      </c>
      <c r="F194" s="356">
        <f t="shared" si="49"/>
        <v>339600.36987928016</v>
      </c>
      <c r="H194" s="356">
        <f t="shared" si="45"/>
        <v>2708.0210391250403</v>
      </c>
      <c r="I194" s="356">
        <v>0</v>
      </c>
      <c r="J194" s="360">
        <f>-SUM(F194:H194)*$J$21</f>
        <v>-3080.7755182656474</v>
      </c>
      <c r="K194" s="356">
        <f t="shared" si="50"/>
        <v>-339.22761540013954</v>
      </c>
      <c r="L194" s="356">
        <f t="shared" si="46"/>
        <v>338888.3877847394</v>
      </c>
      <c r="N194" s="356">
        <f t="shared" si="51"/>
        <v>171</v>
      </c>
      <c r="O194" s="357">
        <f t="shared" si="58"/>
        <v>14</v>
      </c>
      <c r="P194" s="357">
        <f t="shared" si="59"/>
        <v>3</v>
      </c>
      <c r="Q194" s="357">
        <f t="shared" si="60"/>
        <v>14</v>
      </c>
      <c r="R194" s="356">
        <f t="shared" si="52"/>
        <v>2680313.5876276735</v>
      </c>
      <c r="S194" s="356">
        <f>IF($G$4="mensual",S193,0)</f>
        <v>10000</v>
      </c>
      <c r="U194" s="356">
        <f t="shared" si="61"/>
        <v>21452.93834553096</v>
      </c>
      <c r="V194" s="359">
        <f t="shared" si="63"/>
        <v>-131.95374530733372</v>
      </c>
      <c r="X194" s="359">
        <f t="shared" si="62"/>
        <v>-2711.766525973205</v>
      </c>
      <c r="Y194" s="356">
        <f t="shared" si="47"/>
        <v>2708922.805701924</v>
      </c>
      <c r="AA194" s="357">
        <f>+Bono!J194</f>
        <v>201995.65456711204</v>
      </c>
      <c r="AC194" s="378">
        <f t="shared" si="53"/>
        <v>14.25</v>
      </c>
      <c r="AD194" s="356">
        <f t="shared" si="54"/>
        <v>3249806.8480537757</v>
      </c>
    </row>
    <row r="195" spans="2:30" x14ac:dyDescent="0.25">
      <c r="B195" s="356">
        <f t="shared" si="48"/>
        <v>172</v>
      </c>
      <c r="C195" s="357">
        <f t="shared" si="55"/>
        <v>14</v>
      </c>
      <c r="D195" s="357">
        <f t="shared" si="56"/>
        <v>4</v>
      </c>
      <c r="E195" s="357">
        <f t="shared" si="57"/>
        <v>43</v>
      </c>
      <c r="F195" s="356">
        <f t="shared" si="49"/>
        <v>338888.3877847394</v>
      </c>
      <c r="H195" s="356">
        <f t="shared" si="45"/>
        <v>2702.343593920307</v>
      </c>
      <c r="I195" s="356">
        <v>0</v>
      </c>
      <c r="J195" s="356">
        <v>0</v>
      </c>
      <c r="K195" s="356">
        <f t="shared" si="50"/>
        <v>-341.59073137865965</v>
      </c>
      <c r="L195" s="356">
        <f t="shared" si="46"/>
        <v>341249.140647281</v>
      </c>
      <c r="N195" s="356">
        <f t="shared" si="51"/>
        <v>172</v>
      </c>
      <c r="O195" s="357">
        <f t="shared" si="58"/>
        <v>14</v>
      </c>
      <c r="P195" s="357">
        <f t="shared" si="59"/>
        <v>4</v>
      </c>
      <c r="Q195" s="357">
        <f t="shared" si="60"/>
        <v>14</v>
      </c>
      <c r="R195" s="356">
        <f t="shared" si="52"/>
        <v>2708922.805701924</v>
      </c>
      <c r="S195" s="356">
        <f>IF($G$4="mensual",S192,IF($G$4="trimestral",S192,0))</f>
        <v>10000</v>
      </c>
      <c r="U195" s="356">
        <f t="shared" si="61"/>
        <v>21681.072268016167</v>
      </c>
      <c r="V195" s="359">
        <f t="shared" si="63"/>
        <v>-131.95374530733372</v>
      </c>
      <c r="X195" s="359">
        <f t="shared" si="62"/>
        <v>-2740.60387796994</v>
      </c>
      <c r="Y195" s="356">
        <f t="shared" si="47"/>
        <v>2737731.320346663</v>
      </c>
      <c r="AA195" s="357">
        <f>+Bono!J195</f>
        <v>203248.05105547386</v>
      </c>
      <c r="AC195" s="378">
        <f t="shared" si="53"/>
        <v>14.333333333333334</v>
      </c>
      <c r="AD195" s="356">
        <f t="shared" si="54"/>
        <v>3282228.5120494175</v>
      </c>
    </row>
    <row r="196" spans="2:30" x14ac:dyDescent="0.25">
      <c r="B196" s="356">
        <f t="shared" si="48"/>
        <v>173</v>
      </c>
      <c r="C196" s="357">
        <f t="shared" si="55"/>
        <v>14</v>
      </c>
      <c r="D196" s="357">
        <f t="shared" si="56"/>
        <v>5</v>
      </c>
      <c r="E196" s="357">
        <f t="shared" si="57"/>
        <v>43</v>
      </c>
      <c r="F196" s="356">
        <f t="shared" si="49"/>
        <v>341249.140647281</v>
      </c>
      <c r="H196" s="356">
        <f t="shared" si="45"/>
        <v>2721.1685687641507</v>
      </c>
      <c r="I196" s="356">
        <v>0</v>
      </c>
      <c r="J196" s="356">
        <v>0</v>
      </c>
      <c r="K196" s="356">
        <f t="shared" si="50"/>
        <v>-343.9703092160452</v>
      </c>
      <c r="L196" s="356">
        <f t="shared" si="46"/>
        <v>343626.3389068291</v>
      </c>
      <c r="N196" s="356">
        <f t="shared" si="51"/>
        <v>173</v>
      </c>
      <c r="O196" s="357">
        <f t="shared" si="58"/>
        <v>14</v>
      </c>
      <c r="P196" s="357">
        <f t="shared" si="59"/>
        <v>5</v>
      </c>
      <c r="Q196" s="357">
        <f t="shared" si="60"/>
        <v>14</v>
      </c>
      <c r="R196" s="356">
        <f t="shared" si="52"/>
        <v>2737731.320346663</v>
      </c>
      <c r="S196" s="356">
        <f>IF($G$4="mensual",S195,0)</f>
        <v>10000</v>
      </c>
      <c r="U196" s="356">
        <f t="shared" si="61"/>
        <v>21910.795409341445</v>
      </c>
      <c r="V196" s="359">
        <f t="shared" si="63"/>
        <v>-131.95374530733372</v>
      </c>
      <c r="X196" s="359">
        <f t="shared" si="62"/>
        <v>-2769.6421157560044</v>
      </c>
      <c r="Y196" s="356">
        <f t="shared" si="47"/>
        <v>2766740.519894941</v>
      </c>
      <c r="AA196" s="357">
        <f>+Bono!J196</f>
        <v>204508.2125473325</v>
      </c>
      <c r="AC196" s="378">
        <f t="shared" si="53"/>
        <v>14.416666666666666</v>
      </c>
      <c r="AD196" s="356">
        <f t="shared" si="54"/>
        <v>3314875.0713491025</v>
      </c>
    </row>
    <row r="197" spans="2:30" x14ac:dyDescent="0.25">
      <c r="B197" s="356">
        <f t="shared" si="48"/>
        <v>174</v>
      </c>
      <c r="C197" s="357">
        <f t="shared" si="55"/>
        <v>14</v>
      </c>
      <c r="D197" s="357">
        <f t="shared" si="56"/>
        <v>6</v>
      </c>
      <c r="E197" s="357">
        <f t="shared" si="57"/>
        <v>43</v>
      </c>
      <c r="F197" s="356">
        <f t="shared" si="49"/>
        <v>343626.3389068291</v>
      </c>
      <c r="H197" s="356">
        <f t="shared" si="45"/>
        <v>2740.1246815131326</v>
      </c>
      <c r="I197" s="356">
        <v>0</v>
      </c>
      <c r="J197" s="360">
        <f>-SUM(F197:H197)*$J$21</f>
        <v>-3117.2981722950803</v>
      </c>
      <c r="K197" s="356">
        <f t="shared" si="50"/>
        <v>-343.24916541604716</v>
      </c>
      <c r="L197" s="356">
        <f t="shared" si="46"/>
        <v>342905.9162506311</v>
      </c>
      <c r="N197" s="356">
        <f t="shared" si="51"/>
        <v>174</v>
      </c>
      <c r="O197" s="357">
        <f t="shared" si="58"/>
        <v>14</v>
      </c>
      <c r="P197" s="357">
        <f t="shared" si="59"/>
        <v>6</v>
      </c>
      <c r="Q197" s="357">
        <f t="shared" si="60"/>
        <v>14</v>
      </c>
      <c r="R197" s="356">
        <f t="shared" si="52"/>
        <v>2766740.519894941</v>
      </c>
      <c r="S197" s="356">
        <f>IF($G$4="mensual",S196,0)</f>
        <v>10000</v>
      </c>
      <c r="U197" s="356">
        <f t="shared" si="61"/>
        <v>22142.118840269504</v>
      </c>
      <c r="V197" s="359">
        <f t="shared" si="63"/>
        <v>-131.95374530733372</v>
      </c>
      <c r="X197" s="359">
        <f t="shared" si="62"/>
        <v>-2798.88263873521</v>
      </c>
      <c r="Y197" s="356">
        <f t="shared" si="47"/>
        <v>2795951.8023511674</v>
      </c>
      <c r="AA197" s="357">
        <f>+Bono!J197</f>
        <v>203922.34766240668</v>
      </c>
      <c r="AC197" s="378">
        <f t="shared" si="53"/>
        <v>14.5</v>
      </c>
      <c r="AD197" s="356">
        <f t="shared" si="54"/>
        <v>3342780.066264205</v>
      </c>
    </row>
    <row r="198" spans="2:30" x14ac:dyDescent="0.25">
      <c r="B198" s="356">
        <f t="shared" si="48"/>
        <v>175</v>
      </c>
      <c r="C198" s="357">
        <f t="shared" si="55"/>
        <v>14</v>
      </c>
      <c r="D198" s="357">
        <f t="shared" si="56"/>
        <v>7</v>
      </c>
      <c r="E198" s="357">
        <f t="shared" si="57"/>
        <v>43</v>
      </c>
      <c r="F198" s="356">
        <f t="shared" si="49"/>
        <v>342905.9162506311</v>
      </c>
      <c r="H198" s="356">
        <f t="shared" si="45"/>
        <v>2734.3799300844457</v>
      </c>
      <c r="I198" s="356">
        <v>0</v>
      </c>
      <c r="J198" s="356">
        <v>0</v>
      </c>
      <c r="K198" s="356">
        <f t="shared" si="50"/>
        <v>-345.64029618071555</v>
      </c>
      <c r="L198" s="356">
        <f t="shared" si="46"/>
        <v>345294.6558845348</v>
      </c>
      <c r="N198" s="356">
        <f t="shared" si="51"/>
        <v>175</v>
      </c>
      <c r="O198" s="357">
        <f t="shared" si="58"/>
        <v>14</v>
      </c>
      <c r="P198" s="357">
        <f t="shared" si="59"/>
        <v>7</v>
      </c>
      <c r="Q198" s="357">
        <f t="shared" si="60"/>
        <v>14</v>
      </c>
      <c r="R198" s="356">
        <f t="shared" si="52"/>
        <v>2795951.8023511674</v>
      </c>
      <c r="S198" s="356">
        <f>+IF($G$4="mensual",S192,IF($G$4="trimestral",S192,IF($G$4="semestral",S192,0)))</f>
        <v>10000</v>
      </c>
      <c r="U198" s="356">
        <f t="shared" si="61"/>
        <v>22375.05370868383</v>
      </c>
      <c r="V198" s="359">
        <f t="shared" si="63"/>
        <v>-131.95374530733372</v>
      </c>
      <c r="X198" s="359">
        <f t="shared" si="62"/>
        <v>-2828.3268560598513</v>
      </c>
      <c r="Y198" s="356">
        <f t="shared" si="47"/>
        <v>2825366.575458484</v>
      </c>
      <c r="AA198" s="357">
        <f>+Bono!J198</f>
        <v>205186.6898714419</v>
      </c>
      <c r="AC198" s="378">
        <f t="shared" si="53"/>
        <v>14.583333333333334</v>
      </c>
      <c r="AD198" s="356">
        <f t="shared" si="54"/>
        <v>3375847.9212144604</v>
      </c>
    </row>
    <row r="199" spans="2:30" x14ac:dyDescent="0.25">
      <c r="B199" s="356">
        <f t="shared" si="48"/>
        <v>176</v>
      </c>
      <c r="C199" s="357">
        <f t="shared" si="55"/>
        <v>14</v>
      </c>
      <c r="D199" s="357">
        <f t="shared" si="56"/>
        <v>8</v>
      </c>
      <c r="E199" s="357">
        <f t="shared" si="57"/>
        <v>43</v>
      </c>
      <c r="F199" s="356">
        <f t="shared" si="49"/>
        <v>345294.6558845348</v>
      </c>
      <c r="H199" s="356">
        <f t="shared" si="45"/>
        <v>2753.4280753732824</v>
      </c>
      <c r="I199" s="356">
        <v>0</v>
      </c>
      <c r="J199" s="356">
        <v>0</v>
      </c>
      <c r="K199" s="356">
        <f t="shared" si="50"/>
        <v>-348.0480839599081</v>
      </c>
      <c r="L199" s="356">
        <f t="shared" si="46"/>
        <v>347700.0358759482</v>
      </c>
      <c r="N199" s="356">
        <f t="shared" si="51"/>
        <v>176</v>
      </c>
      <c r="O199" s="357">
        <f t="shared" si="58"/>
        <v>14</v>
      </c>
      <c r="P199" s="357">
        <f t="shared" si="59"/>
        <v>8</v>
      </c>
      <c r="Q199" s="357">
        <f t="shared" si="60"/>
        <v>14</v>
      </c>
      <c r="R199" s="356">
        <f t="shared" si="52"/>
        <v>2825366.575458484</v>
      </c>
      <c r="S199" s="356">
        <f>IF($G$4="mensual",S198,0)</f>
        <v>10000</v>
      </c>
      <c r="U199" s="356">
        <f t="shared" si="61"/>
        <v>22609.611240125912</v>
      </c>
      <c r="V199" s="359">
        <f t="shared" si="63"/>
        <v>-131.95374530733372</v>
      </c>
      <c r="X199" s="359">
        <f t="shared" si="62"/>
        <v>-2857.9761866986096</v>
      </c>
      <c r="Y199" s="356">
        <f t="shared" si="47"/>
        <v>2854986.2567666033</v>
      </c>
      <c r="AA199" s="357">
        <f>+Bono!J199</f>
        <v>206458.87114882772</v>
      </c>
      <c r="AC199" s="378">
        <f t="shared" si="53"/>
        <v>14.666666666666666</v>
      </c>
      <c r="AD199" s="356">
        <f t="shared" si="54"/>
        <v>3409145.163791379</v>
      </c>
    </row>
    <row r="200" spans="2:30" x14ac:dyDescent="0.25">
      <c r="B200" s="356">
        <f t="shared" si="48"/>
        <v>177</v>
      </c>
      <c r="C200" s="357">
        <f t="shared" si="55"/>
        <v>14</v>
      </c>
      <c r="D200" s="357">
        <f t="shared" si="56"/>
        <v>9</v>
      </c>
      <c r="E200" s="357">
        <f t="shared" si="57"/>
        <v>43</v>
      </c>
      <c r="F200" s="356">
        <f t="shared" si="49"/>
        <v>347700.0358759482</v>
      </c>
      <c r="H200" s="356">
        <f t="shared" si="45"/>
        <v>2772.6089132096877</v>
      </c>
      <c r="I200" s="356">
        <v>0</v>
      </c>
      <c r="J200" s="360">
        <f>-SUM(F200:H200)*$J$21</f>
        <v>-3154.2538031024214</v>
      </c>
      <c r="K200" s="356">
        <f t="shared" si="50"/>
        <v>-347.3183909860555</v>
      </c>
      <c r="L200" s="356">
        <f t="shared" si="46"/>
        <v>346971.0725950694</v>
      </c>
      <c r="N200" s="356">
        <f t="shared" si="51"/>
        <v>177</v>
      </c>
      <c r="O200" s="357">
        <f t="shared" si="58"/>
        <v>14</v>
      </c>
      <c r="P200" s="357">
        <f t="shared" si="59"/>
        <v>9</v>
      </c>
      <c r="Q200" s="357">
        <f t="shared" si="60"/>
        <v>14</v>
      </c>
      <c r="R200" s="356">
        <f t="shared" si="52"/>
        <v>2854986.2567666033</v>
      </c>
      <c r="S200" s="356">
        <f>IF($G$4="mensual",S199,0)</f>
        <v>10000</v>
      </c>
      <c r="U200" s="356">
        <f t="shared" si="61"/>
        <v>22845.80273833623</v>
      </c>
      <c r="V200" s="359">
        <f t="shared" si="63"/>
        <v>-131.95374530733372</v>
      </c>
      <c r="X200" s="359">
        <f t="shared" si="62"/>
        <v>-2887.83205950494</v>
      </c>
      <c r="Y200" s="356">
        <f t="shared" si="47"/>
        <v>2884812.2737001274</v>
      </c>
      <c r="AA200" s="357">
        <f>+Bono!J200</f>
        <v>205867.4181148351</v>
      </c>
      <c r="AC200" s="378">
        <f t="shared" si="53"/>
        <v>14.75</v>
      </c>
      <c r="AD200" s="356">
        <f t="shared" si="54"/>
        <v>3437650.764410032</v>
      </c>
    </row>
    <row r="201" spans="2:30" x14ac:dyDescent="0.25">
      <c r="B201" s="356">
        <f t="shared" si="48"/>
        <v>178</v>
      </c>
      <c r="C201" s="357">
        <f t="shared" si="55"/>
        <v>14</v>
      </c>
      <c r="D201" s="357">
        <f t="shared" si="56"/>
        <v>10</v>
      </c>
      <c r="E201" s="357">
        <f t="shared" si="57"/>
        <v>43</v>
      </c>
      <c r="F201" s="356">
        <f t="shared" si="49"/>
        <v>346971.0725950694</v>
      </c>
      <c r="H201" s="356">
        <f t="shared" si="45"/>
        <v>2766.796057640446</v>
      </c>
      <c r="I201" s="356">
        <v>0</v>
      </c>
      <c r="J201" s="356">
        <v>0</v>
      </c>
      <c r="K201" s="356">
        <f t="shared" si="50"/>
        <v>-349.7378686527099</v>
      </c>
      <c r="L201" s="356">
        <f t="shared" si="46"/>
        <v>349388.13078405714</v>
      </c>
      <c r="N201" s="356">
        <f t="shared" si="51"/>
        <v>178</v>
      </c>
      <c r="O201" s="357">
        <f t="shared" si="58"/>
        <v>14</v>
      </c>
      <c r="P201" s="357">
        <f t="shared" si="59"/>
        <v>10</v>
      </c>
      <c r="Q201" s="357">
        <f t="shared" si="60"/>
        <v>14</v>
      </c>
      <c r="R201" s="356">
        <f t="shared" si="52"/>
        <v>2884812.2737001274</v>
      </c>
      <c r="S201" s="356">
        <f>IF($G$4="mensual",S192,IF($G$4="trimestral",S192,0))</f>
        <v>10000</v>
      </c>
      <c r="U201" s="356">
        <f t="shared" si="61"/>
        <v>23083.639585799014</v>
      </c>
      <c r="V201" s="359">
        <f t="shared" si="63"/>
        <v>-131.95374530733372</v>
      </c>
      <c r="X201" s="359">
        <f t="shared" si="62"/>
        <v>-2917.8959132859263</v>
      </c>
      <c r="Y201" s="356">
        <f t="shared" si="47"/>
        <v>2914846.063627333</v>
      </c>
      <c r="AA201" s="357">
        <f>+Bono!J201</f>
        <v>207143.81998628957</v>
      </c>
      <c r="AC201" s="378">
        <f t="shared" si="53"/>
        <v>14.833333333333334</v>
      </c>
      <c r="AD201" s="356">
        <f t="shared" si="54"/>
        <v>3471378.0143976794</v>
      </c>
    </row>
    <row r="202" spans="2:30" x14ac:dyDescent="0.25">
      <c r="B202" s="356">
        <f t="shared" si="48"/>
        <v>179</v>
      </c>
      <c r="C202" s="357">
        <f t="shared" si="55"/>
        <v>14</v>
      </c>
      <c r="D202" s="357">
        <f t="shared" si="56"/>
        <v>11</v>
      </c>
      <c r="E202" s="357">
        <f t="shared" si="57"/>
        <v>43</v>
      </c>
      <c r="F202" s="356">
        <f t="shared" si="49"/>
        <v>349388.13078405714</v>
      </c>
      <c r="H202" s="356">
        <f t="shared" si="45"/>
        <v>2786.070019064266</v>
      </c>
      <c r="I202" s="356">
        <v>0</v>
      </c>
      <c r="J202" s="356">
        <v>0</v>
      </c>
      <c r="K202" s="356">
        <f t="shared" si="50"/>
        <v>-352.1742008031214</v>
      </c>
      <c r="L202" s="356">
        <f t="shared" si="46"/>
        <v>351822.0266023183</v>
      </c>
      <c r="N202" s="356">
        <f t="shared" si="51"/>
        <v>179</v>
      </c>
      <c r="O202" s="357">
        <f t="shared" si="58"/>
        <v>14</v>
      </c>
      <c r="P202" s="357">
        <f t="shared" si="59"/>
        <v>11</v>
      </c>
      <c r="Q202" s="357">
        <f t="shared" si="60"/>
        <v>14</v>
      </c>
      <c r="R202" s="356">
        <f t="shared" si="52"/>
        <v>2914846.063627333</v>
      </c>
      <c r="S202" s="356">
        <f>IF($G$17="si",S190*(1+$G$20),S190)</f>
        <v>10000</v>
      </c>
      <c r="U202" s="356">
        <f t="shared" si="61"/>
        <v>23323.133244290748</v>
      </c>
      <c r="V202" s="359">
        <f t="shared" si="63"/>
        <v>-131.95374530733372</v>
      </c>
      <c r="X202" s="359">
        <f t="shared" si="62"/>
        <v>-2948.169196871624</v>
      </c>
      <c r="Y202" s="356">
        <f t="shared" si="47"/>
        <v>2945089.073929445</v>
      </c>
      <c r="AA202" s="357">
        <f>+Bono!J202</f>
        <v>208428.13569740052</v>
      </c>
      <c r="AC202" s="378">
        <f t="shared" si="53"/>
        <v>14.916666666666666</v>
      </c>
      <c r="AD202" s="356">
        <f t="shared" si="54"/>
        <v>3505339.2362291636</v>
      </c>
    </row>
    <row r="203" spans="2:30" x14ac:dyDescent="0.25">
      <c r="B203" s="356">
        <f t="shared" si="48"/>
        <v>180</v>
      </c>
      <c r="C203" s="357">
        <f t="shared" si="55"/>
        <v>14</v>
      </c>
      <c r="D203" s="357">
        <f t="shared" si="56"/>
        <v>12</v>
      </c>
      <c r="E203" s="357">
        <f t="shared" si="57"/>
        <v>43</v>
      </c>
      <c r="F203" s="356">
        <f t="shared" si="49"/>
        <v>351822.0266023183</v>
      </c>
      <c r="H203" s="356">
        <f t="shared" si="45"/>
        <v>2805.478246108402</v>
      </c>
      <c r="I203" s="356">
        <v>0</v>
      </c>
      <c r="J203" s="360">
        <f>-SUM(F203:H203)*$J$21</f>
        <v>-3191.6475436358405</v>
      </c>
      <c r="K203" s="356">
        <f t="shared" si="50"/>
        <v>-351.43585730479083</v>
      </c>
      <c r="L203" s="356">
        <f t="shared" si="46"/>
        <v>351084.42144748603</v>
      </c>
      <c r="N203" s="356">
        <f t="shared" si="51"/>
        <v>180</v>
      </c>
      <c r="O203" s="357">
        <f t="shared" si="58"/>
        <v>14</v>
      </c>
      <c r="P203" s="357">
        <f t="shared" si="59"/>
        <v>12</v>
      </c>
      <c r="Q203" s="357">
        <f t="shared" si="60"/>
        <v>14</v>
      </c>
      <c r="R203" s="356">
        <f t="shared" si="52"/>
        <v>2945089.073929445</v>
      </c>
      <c r="S203" s="356">
        <f>IF($G$4="mensual",S202,0)</f>
        <v>10000</v>
      </c>
      <c r="U203" s="356">
        <f t="shared" si="61"/>
        <v>23564.29525543257</v>
      </c>
      <c r="V203" s="359">
        <f t="shared" si="63"/>
        <v>-131.95374530733372</v>
      </c>
      <c r="X203" s="359">
        <f t="shared" si="62"/>
        <v>-2978.653369184877</v>
      </c>
      <c r="Y203" s="356">
        <f t="shared" si="47"/>
        <v>2975542.762070385</v>
      </c>
      <c r="AA203" s="357">
        <f>+Bono!J203</f>
        <v>207831.0412129558</v>
      </c>
      <c r="AC203" s="378">
        <f t="shared" si="53"/>
        <v>15</v>
      </c>
      <c r="AD203" s="356">
        <f t="shared" si="54"/>
        <v>3534458.224730827</v>
      </c>
    </row>
    <row r="204" spans="2:30" x14ac:dyDescent="0.25">
      <c r="B204" s="356">
        <f t="shared" si="48"/>
        <v>181</v>
      </c>
      <c r="C204" s="357">
        <f t="shared" si="55"/>
        <v>15</v>
      </c>
      <c r="D204" s="357">
        <f t="shared" si="56"/>
        <v>1</v>
      </c>
      <c r="E204" s="357">
        <f t="shared" si="57"/>
        <v>44</v>
      </c>
      <c r="F204" s="356">
        <f t="shared" si="49"/>
        <v>351084.42144748603</v>
      </c>
      <c r="H204" s="356">
        <f t="shared" si="45"/>
        <v>2799.5964790226863</v>
      </c>
      <c r="I204" s="356">
        <v>0</v>
      </c>
      <c r="J204" s="356">
        <v>0</v>
      </c>
      <c r="K204" s="356">
        <f t="shared" si="50"/>
        <v>-353.88401792650876</v>
      </c>
      <c r="L204" s="356">
        <f t="shared" si="46"/>
        <v>353530.1339085822</v>
      </c>
      <c r="N204" s="356">
        <f t="shared" si="51"/>
        <v>181</v>
      </c>
      <c r="O204" s="357">
        <f t="shared" si="58"/>
        <v>15</v>
      </c>
      <c r="P204" s="357">
        <f t="shared" si="59"/>
        <v>1</v>
      </c>
      <c r="Q204" s="357">
        <f t="shared" si="60"/>
        <v>15</v>
      </c>
      <c r="R204" s="356">
        <f t="shared" si="52"/>
        <v>2975542.762070385</v>
      </c>
      <c r="S204" s="356">
        <f>IF($G$17="si",S192*(1+$G$20),S192)</f>
        <v>10000</v>
      </c>
      <c r="U204" s="356">
        <f t="shared" si="61"/>
        <v>23807.137241246466</v>
      </c>
      <c r="V204" s="359">
        <f>(V203*(1+$G$18))</f>
        <v>-137.23189511962707</v>
      </c>
      <c r="X204" s="359">
        <f t="shared" si="62"/>
        <v>-3009.3498993116314</v>
      </c>
      <c r="Y204" s="356">
        <f t="shared" si="47"/>
        <v>3006203.3175172005</v>
      </c>
      <c r="AA204" s="357">
        <f>+Bono!J204</f>
        <v>209119.6177753848</v>
      </c>
      <c r="AC204" s="378">
        <f t="shared" si="53"/>
        <v>15.083333333333334</v>
      </c>
      <c r="AD204" s="356">
        <f t="shared" si="54"/>
        <v>3568853.0692011677</v>
      </c>
    </row>
    <row r="205" spans="2:30" x14ac:dyDescent="0.25">
      <c r="B205" s="356">
        <f t="shared" si="48"/>
        <v>182</v>
      </c>
      <c r="C205" s="357">
        <f t="shared" si="55"/>
        <v>15</v>
      </c>
      <c r="D205" s="357">
        <f t="shared" si="56"/>
        <v>2</v>
      </c>
      <c r="E205" s="357">
        <f t="shared" si="57"/>
        <v>44</v>
      </c>
      <c r="F205" s="356">
        <f t="shared" si="49"/>
        <v>353530.1339085822</v>
      </c>
      <c r="H205" s="356">
        <f t="shared" si="45"/>
        <v>2819.0989336361868</v>
      </c>
      <c r="I205" s="356">
        <v>0</v>
      </c>
      <c r="J205" s="356">
        <v>0</v>
      </c>
      <c r="K205" s="356">
        <f t="shared" si="50"/>
        <v>-356.34923284221844</v>
      </c>
      <c r="L205" s="356">
        <f t="shared" si="46"/>
        <v>355992.8836093762</v>
      </c>
      <c r="N205" s="356">
        <f t="shared" si="51"/>
        <v>182</v>
      </c>
      <c r="O205" s="357">
        <f t="shared" si="58"/>
        <v>15</v>
      </c>
      <c r="P205" s="357">
        <f t="shared" si="59"/>
        <v>2</v>
      </c>
      <c r="Q205" s="357">
        <f t="shared" si="60"/>
        <v>15</v>
      </c>
      <c r="R205" s="356">
        <f t="shared" si="52"/>
        <v>3006203.3175172005</v>
      </c>
      <c r="S205" s="356">
        <f>IF($G$4="mensual",S204,0)</f>
        <v>10000</v>
      </c>
      <c r="U205" s="356">
        <f t="shared" si="61"/>
        <v>24051.628816007567</v>
      </c>
      <c r="V205" s="359">
        <f t="shared" si="63"/>
        <v>-137.23189511962707</v>
      </c>
      <c r="X205" s="359">
        <f t="shared" si="62"/>
        <v>-3040.2549463332084</v>
      </c>
      <c r="Y205" s="356">
        <f t="shared" si="47"/>
        <v>3037077.4594917553</v>
      </c>
      <c r="AA205" s="357">
        <f>+Bono!J205</f>
        <v>210416.1836619665</v>
      </c>
      <c r="AC205" s="378">
        <f t="shared" si="53"/>
        <v>15.166666666666666</v>
      </c>
      <c r="AD205" s="356">
        <f t="shared" si="54"/>
        <v>3603486.5267630983</v>
      </c>
    </row>
    <row r="206" spans="2:30" x14ac:dyDescent="0.25">
      <c r="B206" s="356">
        <f t="shared" si="48"/>
        <v>183</v>
      </c>
      <c r="C206" s="357">
        <f t="shared" si="55"/>
        <v>15</v>
      </c>
      <c r="D206" s="357">
        <f t="shared" si="56"/>
        <v>3</v>
      </c>
      <c r="E206" s="357">
        <f t="shared" si="57"/>
        <v>44</v>
      </c>
      <c r="F206" s="356">
        <f t="shared" si="49"/>
        <v>355992.8836093762</v>
      </c>
      <c r="H206" s="356">
        <f t="shared" si="45"/>
        <v>2838.7372455915593</v>
      </c>
      <c r="I206" s="356">
        <v>0</v>
      </c>
      <c r="J206" s="360">
        <f>-SUM(F206:H206)*$J$21</f>
        <v>-3229.48458769471</v>
      </c>
      <c r="K206" s="356">
        <f t="shared" si="50"/>
        <v>-355.60213626727307</v>
      </c>
      <c r="L206" s="356">
        <f t="shared" si="46"/>
        <v>355246.53413100576</v>
      </c>
      <c r="N206" s="356">
        <f t="shared" si="51"/>
        <v>183</v>
      </c>
      <c r="O206" s="357">
        <f t="shared" si="58"/>
        <v>15</v>
      </c>
      <c r="P206" s="357">
        <f t="shared" si="59"/>
        <v>3</v>
      </c>
      <c r="Q206" s="357">
        <f t="shared" si="60"/>
        <v>15</v>
      </c>
      <c r="R206" s="356">
        <f t="shared" si="52"/>
        <v>3037077.4594917553</v>
      </c>
      <c r="S206" s="356">
        <f>IF($G$4="mensual",S205,0)</f>
        <v>10000</v>
      </c>
      <c r="U206" s="356">
        <f t="shared" si="61"/>
        <v>24297.823559734577</v>
      </c>
      <c r="V206" s="359">
        <f t="shared" si="63"/>
        <v>-137.23189511962707</v>
      </c>
      <c r="X206" s="359">
        <f t="shared" si="62"/>
        <v>-3071.37528305149</v>
      </c>
      <c r="Y206" s="356">
        <f t="shared" si="47"/>
        <v>3068166.675873319</v>
      </c>
      <c r="AA206" s="357">
        <f>+Bono!J206</f>
        <v>209813.39391728025</v>
      </c>
      <c r="AC206" s="378">
        <f t="shared" si="53"/>
        <v>15.25</v>
      </c>
      <c r="AD206" s="356">
        <f t="shared" si="54"/>
        <v>3633226.6039216053</v>
      </c>
    </row>
    <row r="207" spans="2:30" x14ac:dyDescent="0.25">
      <c r="B207" s="356">
        <f t="shared" si="48"/>
        <v>184</v>
      </c>
      <c r="C207" s="357">
        <f t="shared" si="55"/>
        <v>15</v>
      </c>
      <c r="D207" s="357">
        <f t="shared" si="56"/>
        <v>4</v>
      </c>
      <c r="E207" s="357">
        <f t="shared" si="57"/>
        <v>44</v>
      </c>
      <c r="F207" s="356">
        <f t="shared" si="49"/>
        <v>355246.53413100576</v>
      </c>
      <c r="H207" s="356">
        <f t="shared" si="45"/>
        <v>2832.785750041994</v>
      </c>
      <c r="I207" s="356">
        <v>0</v>
      </c>
      <c r="J207" s="356">
        <v>0</v>
      </c>
      <c r="K207" s="356">
        <f t="shared" si="50"/>
        <v>-358.07931988104775</v>
      </c>
      <c r="L207" s="356">
        <f t="shared" si="46"/>
        <v>357721.2405611667</v>
      </c>
      <c r="N207" s="356">
        <f t="shared" si="51"/>
        <v>184</v>
      </c>
      <c r="O207" s="357">
        <f t="shared" si="58"/>
        <v>15</v>
      </c>
      <c r="P207" s="357">
        <f t="shared" si="59"/>
        <v>4</v>
      </c>
      <c r="Q207" s="357">
        <f t="shared" si="60"/>
        <v>15</v>
      </c>
      <c r="R207" s="356">
        <f t="shared" si="52"/>
        <v>3068166.675873319</v>
      </c>
      <c r="S207" s="356">
        <f>IF($G$4="mensual",S204,IF($G$4="trimestral",S204,0))</f>
        <v>10000</v>
      </c>
      <c r="U207" s="356">
        <f t="shared" si="61"/>
        <v>24545.733336985744</v>
      </c>
      <c r="V207" s="359">
        <f t="shared" si="63"/>
        <v>-137.23189511962707</v>
      </c>
      <c r="X207" s="359">
        <f t="shared" si="62"/>
        <v>-3102.712409210305</v>
      </c>
      <c r="Y207" s="356">
        <f t="shared" si="47"/>
        <v>3099472.464905975</v>
      </c>
      <c r="AA207" s="357">
        <f>+Bono!J207</f>
        <v>211114.26129641474</v>
      </c>
      <c r="AC207" s="378">
        <f t="shared" si="53"/>
        <v>15.333333333333334</v>
      </c>
      <c r="AD207" s="356">
        <f t="shared" si="54"/>
        <v>3668307.9667635565</v>
      </c>
    </row>
    <row r="208" spans="2:30" x14ac:dyDescent="0.25">
      <c r="B208" s="356">
        <f t="shared" si="48"/>
        <v>185</v>
      </c>
      <c r="C208" s="357">
        <f t="shared" si="55"/>
        <v>15</v>
      </c>
      <c r="D208" s="357">
        <f t="shared" si="56"/>
        <v>5</v>
      </c>
      <c r="E208" s="357">
        <f t="shared" si="57"/>
        <v>44</v>
      </c>
      <c r="F208" s="356">
        <f t="shared" si="49"/>
        <v>357721.2405611667</v>
      </c>
      <c r="H208" s="356">
        <f t="shared" si="45"/>
        <v>2852.519406636409</v>
      </c>
      <c r="I208" s="356">
        <v>0</v>
      </c>
      <c r="J208" s="356">
        <v>0</v>
      </c>
      <c r="K208" s="356">
        <f t="shared" si="50"/>
        <v>-360.57375996780314</v>
      </c>
      <c r="L208" s="356">
        <f t="shared" si="46"/>
        <v>360213.18620783533</v>
      </c>
      <c r="N208" s="356">
        <f t="shared" si="51"/>
        <v>185</v>
      </c>
      <c r="O208" s="357">
        <f t="shared" si="58"/>
        <v>15</v>
      </c>
      <c r="P208" s="357">
        <f t="shared" si="59"/>
        <v>5</v>
      </c>
      <c r="Q208" s="357">
        <f t="shared" si="60"/>
        <v>15</v>
      </c>
      <c r="R208" s="356">
        <f t="shared" si="52"/>
        <v>3099472.464905975</v>
      </c>
      <c r="S208" s="356">
        <f>IF($G$4="mensual",S207,0)</f>
        <v>10000</v>
      </c>
      <c r="U208" s="356">
        <f t="shared" si="61"/>
        <v>24795.370094969778</v>
      </c>
      <c r="V208" s="359">
        <f t="shared" si="63"/>
        <v>-137.23189511962707</v>
      </c>
      <c r="X208" s="359">
        <f t="shared" si="62"/>
        <v>-3134.267835000945</v>
      </c>
      <c r="Y208" s="356">
        <f t="shared" si="47"/>
        <v>3130996.3352708244</v>
      </c>
      <c r="AA208" s="357">
        <f>+Bono!J208</f>
        <v>212423.19420419115</v>
      </c>
      <c r="AC208" s="378">
        <f t="shared" si="53"/>
        <v>15.416666666666666</v>
      </c>
      <c r="AD208" s="356">
        <f t="shared" si="54"/>
        <v>3703632.715682851</v>
      </c>
    </row>
    <row r="209" spans="2:30" x14ac:dyDescent="0.25">
      <c r="B209" s="356">
        <f t="shared" si="48"/>
        <v>186</v>
      </c>
      <c r="C209" s="357">
        <f t="shared" si="55"/>
        <v>15</v>
      </c>
      <c r="D209" s="357">
        <f t="shared" si="56"/>
        <v>6</v>
      </c>
      <c r="E209" s="357">
        <f t="shared" si="57"/>
        <v>44</v>
      </c>
      <c r="F209" s="356">
        <f t="shared" si="49"/>
        <v>360213.18620783533</v>
      </c>
      <c r="H209" s="356">
        <f t="shared" si="45"/>
        <v>2872.3905311641397</v>
      </c>
      <c r="I209" s="356">
        <v>0</v>
      </c>
      <c r="J209" s="360">
        <f>-SUM(F209:H209)*$J$21</f>
        <v>-3267.7701906509956</v>
      </c>
      <c r="K209" s="356">
        <f t="shared" si="50"/>
        <v>-359.81780654834847</v>
      </c>
      <c r="L209" s="356">
        <f t="shared" si="46"/>
        <v>359457.98874180013</v>
      </c>
      <c r="N209" s="356">
        <f t="shared" si="51"/>
        <v>186</v>
      </c>
      <c r="O209" s="357">
        <f t="shared" si="58"/>
        <v>15</v>
      </c>
      <c r="P209" s="357">
        <f t="shared" si="59"/>
        <v>6</v>
      </c>
      <c r="Q209" s="357">
        <f t="shared" si="60"/>
        <v>15</v>
      </c>
      <c r="R209" s="356">
        <f t="shared" si="52"/>
        <v>3130996.3352708244</v>
      </c>
      <c r="S209" s="356">
        <f>IF($G$4="mensual",S208,0)</f>
        <v>10000</v>
      </c>
      <c r="U209" s="356">
        <f t="shared" si="61"/>
        <v>25046.745864121644</v>
      </c>
      <c r="V209" s="359">
        <f t="shared" si="63"/>
        <v>-137.23189511962707</v>
      </c>
      <c r="X209" s="359">
        <f t="shared" si="62"/>
        <v>-3166.043081134946</v>
      </c>
      <c r="Y209" s="356">
        <f t="shared" si="47"/>
        <v>3162739.8061586916</v>
      </c>
      <c r="AA209" s="357">
        <f>+Bono!J209</f>
        <v>211814.6548762206</v>
      </c>
      <c r="AC209" s="378">
        <f t="shared" si="53"/>
        <v>15.5</v>
      </c>
      <c r="AD209" s="356">
        <f t="shared" si="54"/>
        <v>3734012.4497767123</v>
      </c>
    </row>
    <row r="210" spans="2:30" x14ac:dyDescent="0.25">
      <c r="B210" s="356">
        <f t="shared" si="48"/>
        <v>187</v>
      </c>
      <c r="C210" s="357">
        <f t="shared" si="55"/>
        <v>15</v>
      </c>
      <c r="D210" s="357">
        <f t="shared" si="56"/>
        <v>7</v>
      </c>
      <c r="E210" s="357">
        <f t="shared" si="57"/>
        <v>44</v>
      </c>
      <c r="F210" s="356">
        <f t="shared" si="49"/>
        <v>359457.98874180013</v>
      </c>
      <c r="H210" s="356">
        <f t="shared" si="45"/>
        <v>2866.3684805184225</v>
      </c>
      <c r="I210" s="356">
        <v>0</v>
      </c>
      <c r="J210" s="356">
        <v>0</v>
      </c>
      <c r="K210" s="356">
        <f t="shared" si="50"/>
        <v>-362.32435722231855</v>
      </c>
      <c r="L210" s="356">
        <f t="shared" si="46"/>
        <v>361962.03286509623</v>
      </c>
      <c r="N210" s="356">
        <f t="shared" si="51"/>
        <v>187</v>
      </c>
      <c r="O210" s="357">
        <f t="shared" si="58"/>
        <v>15</v>
      </c>
      <c r="P210" s="357">
        <f t="shared" si="59"/>
        <v>7</v>
      </c>
      <c r="Q210" s="357">
        <f t="shared" si="60"/>
        <v>15</v>
      </c>
      <c r="R210" s="356">
        <f t="shared" si="52"/>
        <v>3162739.8061586916</v>
      </c>
      <c r="S210" s="356">
        <f>+IF($G$4="mensual",S204,IF($G$4="trimestral",S204,IF($G$4="semestral",S204,0)))</f>
        <v>10000</v>
      </c>
      <c r="U210" s="356">
        <f t="shared" si="61"/>
        <v>25299.872758682315</v>
      </c>
      <c r="V210" s="359">
        <f t="shared" si="63"/>
        <v>-137.23189511962707</v>
      </c>
      <c r="X210" s="359">
        <f t="shared" si="62"/>
        <v>-3198.039678917374</v>
      </c>
      <c r="Y210" s="356">
        <f t="shared" si="47"/>
        <v>3194704.4073433373</v>
      </c>
      <c r="AA210" s="357">
        <f>+Bono!J210</f>
        <v>213127.93030543244</v>
      </c>
      <c r="AC210" s="378">
        <f t="shared" si="53"/>
        <v>15.583333333333334</v>
      </c>
      <c r="AD210" s="356">
        <f t="shared" si="54"/>
        <v>3769794.370513866</v>
      </c>
    </row>
    <row r="211" spans="2:30" x14ac:dyDescent="0.25">
      <c r="B211" s="356">
        <f t="shared" si="48"/>
        <v>188</v>
      </c>
      <c r="C211" s="357">
        <f t="shared" si="55"/>
        <v>15</v>
      </c>
      <c r="D211" s="357">
        <f t="shared" si="56"/>
        <v>8</v>
      </c>
      <c r="E211" s="357">
        <f t="shared" si="57"/>
        <v>44</v>
      </c>
      <c r="F211" s="356">
        <f t="shared" si="49"/>
        <v>361962.03286509623</v>
      </c>
      <c r="H211" s="356">
        <f t="shared" si="45"/>
        <v>2886.3360799977568</v>
      </c>
      <c r="I211" s="356">
        <v>0</v>
      </c>
      <c r="J211" s="356">
        <v>0</v>
      </c>
      <c r="K211" s="356">
        <f t="shared" si="50"/>
        <v>-364.848368945094</v>
      </c>
      <c r="L211" s="356">
        <f t="shared" si="46"/>
        <v>364483.52057614893</v>
      </c>
      <c r="N211" s="356">
        <f t="shared" si="51"/>
        <v>188</v>
      </c>
      <c r="O211" s="357">
        <f t="shared" si="58"/>
        <v>15</v>
      </c>
      <c r="P211" s="357">
        <f t="shared" si="59"/>
        <v>8</v>
      </c>
      <c r="Q211" s="357">
        <f t="shared" si="60"/>
        <v>15</v>
      </c>
      <c r="R211" s="356">
        <f t="shared" si="52"/>
        <v>3194704.4073433373</v>
      </c>
      <c r="S211" s="356">
        <f>IF($G$4="mensual",S210,0)</f>
        <v>10000</v>
      </c>
      <c r="U211" s="356">
        <f t="shared" si="61"/>
        <v>25554.762977282582</v>
      </c>
      <c r="V211" s="359">
        <f t="shared" si="63"/>
        <v>-137.23189511962707</v>
      </c>
      <c r="X211" s="359">
        <f t="shared" si="62"/>
        <v>-3230.25917032062</v>
      </c>
      <c r="Y211" s="356">
        <f t="shared" si="47"/>
        <v>3226891.6792551796</v>
      </c>
      <c r="AA211" s="357">
        <f>+Bono!J211</f>
        <v>214449.3481946359</v>
      </c>
      <c r="AC211" s="378">
        <f t="shared" si="53"/>
        <v>15.666666666666666</v>
      </c>
      <c r="AD211" s="356">
        <f t="shared" si="54"/>
        <v>3805824.5480259643</v>
      </c>
    </row>
    <row r="212" spans="2:30" x14ac:dyDescent="0.25">
      <c r="B212" s="356">
        <f t="shared" si="48"/>
        <v>189</v>
      </c>
      <c r="C212" s="357">
        <f t="shared" si="55"/>
        <v>15</v>
      </c>
      <c r="D212" s="357">
        <f t="shared" si="56"/>
        <v>9</v>
      </c>
      <c r="E212" s="357">
        <f t="shared" si="57"/>
        <v>44</v>
      </c>
      <c r="F212" s="356">
        <f t="shared" si="49"/>
        <v>364483.52057614893</v>
      </c>
      <c r="H212" s="356">
        <f t="shared" si="45"/>
        <v>2906.442777095446</v>
      </c>
      <c r="I212" s="356">
        <v>0</v>
      </c>
      <c r="J212" s="360">
        <f>-SUM(F212:H212)*$J$21</f>
        <v>-3306.5096701791995</v>
      </c>
      <c r="K212" s="356">
        <f t="shared" si="50"/>
        <v>-364.08345368306516</v>
      </c>
      <c r="L212" s="356">
        <f t="shared" si="46"/>
        <v>363719.37022938207</v>
      </c>
      <c r="N212" s="356">
        <f t="shared" si="51"/>
        <v>189</v>
      </c>
      <c r="O212" s="357">
        <f t="shared" si="58"/>
        <v>15</v>
      </c>
      <c r="P212" s="357">
        <f t="shared" si="59"/>
        <v>9</v>
      </c>
      <c r="Q212" s="357">
        <f t="shared" si="60"/>
        <v>15</v>
      </c>
      <c r="R212" s="356">
        <f t="shared" si="52"/>
        <v>3226891.6792551796</v>
      </c>
      <c r="S212" s="356">
        <f>IF($G$4="mensual",S211,0)</f>
        <v>10000</v>
      </c>
      <c r="U212" s="356">
        <f t="shared" si="61"/>
        <v>25811.428803530922</v>
      </c>
      <c r="V212" s="359">
        <f t="shared" si="63"/>
        <v>-137.23189511962707</v>
      </c>
      <c r="X212" s="359">
        <f t="shared" si="62"/>
        <v>-3262.7031080587108</v>
      </c>
      <c r="Y212" s="356">
        <f t="shared" si="47"/>
        <v>3259303.1730555324</v>
      </c>
      <c r="AA212" s="357">
        <f>+Bono!J212</f>
        <v>213835.00444218935</v>
      </c>
      <c r="AC212" s="378">
        <f t="shared" si="53"/>
        <v>15.75</v>
      </c>
      <c r="AD212" s="356">
        <f t="shared" si="54"/>
        <v>3836857.547727104</v>
      </c>
    </row>
    <row r="213" spans="2:30" x14ac:dyDescent="0.25">
      <c r="B213" s="356">
        <f t="shared" si="48"/>
        <v>190</v>
      </c>
      <c r="C213" s="357">
        <f t="shared" si="55"/>
        <v>15</v>
      </c>
      <c r="D213" s="357">
        <f t="shared" si="56"/>
        <v>10</v>
      </c>
      <c r="E213" s="357">
        <f t="shared" si="57"/>
        <v>44</v>
      </c>
      <c r="F213" s="356">
        <f t="shared" si="49"/>
        <v>363719.37022938207</v>
      </c>
      <c r="H213" s="356">
        <f t="shared" si="45"/>
        <v>2900.349334921532</v>
      </c>
      <c r="I213" s="356">
        <v>0</v>
      </c>
      <c r="J213" s="356">
        <v>0</v>
      </c>
      <c r="K213" s="356">
        <f t="shared" si="50"/>
        <v>-366.6197195643036</v>
      </c>
      <c r="L213" s="356">
        <f t="shared" si="46"/>
        <v>366253.09984473925</v>
      </c>
      <c r="N213" s="356">
        <f t="shared" si="51"/>
        <v>190</v>
      </c>
      <c r="O213" s="357">
        <f t="shared" si="58"/>
        <v>15</v>
      </c>
      <c r="P213" s="357">
        <f t="shared" si="59"/>
        <v>10</v>
      </c>
      <c r="Q213" s="357">
        <f t="shared" si="60"/>
        <v>15</v>
      </c>
      <c r="R213" s="356">
        <f t="shared" si="52"/>
        <v>3259303.1730555324</v>
      </c>
      <c r="S213" s="356">
        <f>IF($G$4="mensual",S204,IF($G$4="trimestral",S204,0))</f>
        <v>10000</v>
      </c>
      <c r="U213" s="356">
        <f t="shared" si="61"/>
        <v>26069.88260660548</v>
      </c>
      <c r="V213" s="359">
        <f t="shared" si="63"/>
        <v>-137.23189511962707</v>
      </c>
      <c r="X213" s="359">
        <f t="shared" si="62"/>
        <v>-3295.373055662138</v>
      </c>
      <c r="Y213" s="356">
        <f t="shared" si="47"/>
        <v>3291940.4507113565</v>
      </c>
      <c r="AA213" s="357">
        <f>+Bono!J213</f>
        <v>215160.80627305622</v>
      </c>
      <c r="AC213" s="378">
        <f t="shared" si="53"/>
        <v>15.833333333333334</v>
      </c>
      <c r="AD213" s="356">
        <f t="shared" si="54"/>
        <v>3873354.356829152</v>
      </c>
    </row>
    <row r="214" spans="2:30" x14ac:dyDescent="0.25">
      <c r="B214" s="356">
        <f t="shared" si="48"/>
        <v>191</v>
      </c>
      <c r="C214" s="357">
        <f t="shared" si="55"/>
        <v>15</v>
      </c>
      <c r="D214" s="357">
        <f t="shared" si="56"/>
        <v>11</v>
      </c>
      <c r="E214" s="357">
        <f t="shared" si="57"/>
        <v>44</v>
      </c>
      <c r="F214" s="356">
        <f t="shared" si="49"/>
        <v>366253.09984473925</v>
      </c>
      <c r="H214" s="356">
        <f t="shared" si="45"/>
        <v>2920.5536506832623</v>
      </c>
      <c r="I214" s="356">
        <v>0</v>
      </c>
      <c r="J214" s="356">
        <v>0</v>
      </c>
      <c r="K214" s="356">
        <f t="shared" si="50"/>
        <v>-369.1736534954225</v>
      </c>
      <c r="L214" s="356">
        <f t="shared" si="46"/>
        <v>368804.47984192707</v>
      </c>
      <c r="N214" s="356">
        <f t="shared" si="51"/>
        <v>191</v>
      </c>
      <c r="O214" s="357">
        <f t="shared" si="58"/>
        <v>15</v>
      </c>
      <c r="P214" s="357">
        <f t="shared" si="59"/>
        <v>11</v>
      </c>
      <c r="Q214" s="357">
        <f t="shared" si="60"/>
        <v>15</v>
      </c>
      <c r="R214" s="356">
        <f t="shared" si="52"/>
        <v>3291940.4507113565</v>
      </c>
      <c r="S214" s="356">
        <f>IF($G$17="si",S202*(1+$G$20),S202)</f>
        <v>10000</v>
      </c>
      <c r="U214" s="356">
        <f t="shared" si="61"/>
        <v>26330.136841850144</v>
      </c>
      <c r="V214" s="359">
        <f t="shared" si="63"/>
        <v>-137.23189511962707</v>
      </c>
      <c r="X214" s="359">
        <f t="shared" si="62"/>
        <v>-3328.270587553207</v>
      </c>
      <c r="Y214" s="356">
        <f t="shared" si="47"/>
        <v>3324805.085070534</v>
      </c>
      <c r="AA214" s="357">
        <f>+Bono!J214</f>
        <v>216494.82822905798</v>
      </c>
      <c r="AC214" s="378">
        <f t="shared" si="53"/>
        <v>15.916666666666666</v>
      </c>
      <c r="AD214" s="356">
        <f t="shared" si="54"/>
        <v>3910104.3931415193</v>
      </c>
    </row>
    <row r="215" spans="2:30" x14ac:dyDescent="0.25">
      <c r="B215" s="356">
        <f t="shared" si="48"/>
        <v>192</v>
      </c>
      <c r="C215" s="357">
        <f t="shared" si="55"/>
        <v>15</v>
      </c>
      <c r="D215" s="357">
        <f t="shared" si="56"/>
        <v>12</v>
      </c>
      <c r="E215" s="357">
        <f t="shared" si="57"/>
        <v>44</v>
      </c>
      <c r="F215" s="356">
        <f t="shared" si="49"/>
        <v>368804.47984192707</v>
      </c>
      <c r="H215" s="356">
        <f t="shared" si="45"/>
        <v>2940.898713068334</v>
      </c>
      <c r="I215" s="356">
        <v>0</v>
      </c>
      <c r="J215" s="360">
        <f>-SUM(F215:H215)*$J$21</f>
        <v>-3345.708406994959</v>
      </c>
      <c r="K215" s="356">
        <f t="shared" si="50"/>
        <v>-368.3996701480005</v>
      </c>
      <c r="L215" s="356">
        <f t="shared" si="46"/>
        <v>368031.2704778525</v>
      </c>
      <c r="N215" s="356">
        <f t="shared" si="51"/>
        <v>192</v>
      </c>
      <c r="O215" s="357">
        <f t="shared" si="58"/>
        <v>15</v>
      </c>
      <c r="P215" s="357">
        <f t="shared" si="59"/>
        <v>12</v>
      </c>
      <c r="Q215" s="357">
        <f t="shared" si="60"/>
        <v>15</v>
      </c>
      <c r="R215" s="356">
        <f t="shared" si="52"/>
        <v>3324805.085070534</v>
      </c>
      <c r="S215" s="356">
        <f>IF($G$4="mensual",S214,0)</f>
        <v>10000</v>
      </c>
      <c r="U215" s="356">
        <f t="shared" si="61"/>
        <v>26592.204051374803</v>
      </c>
      <c r="V215" s="359">
        <f t="shared" si="63"/>
        <v>-137.23189511962707</v>
      </c>
      <c r="X215" s="359">
        <f t="shared" si="62"/>
        <v>-3361.397289121909</v>
      </c>
      <c r="Y215" s="356">
        <f t="shared" si="47"/>
        <v>3357898.6599376677</v>
      </c>
      <c r="AA215" s="357">
        <f>+Bono!J215</f>
        <v>215874.6246878525</v>
      </c>
      <c r="AC215" s="378">
        <f t="shared" si="53"/>
        <v>16</v>
      </c>
      <c r="AD215" s="356">
        <f t="shared" si="54"/>
        <v>3941804.5551033723</v>
      </c>
    </row>
    <row r="216" spans="2:30" x14ac:dyDescent="0.25">
      <c r="B216" s="356">
        <f t="shared" si="48"/>
        <v>193</v>
      </c>
      <c r="C216" s="357">
        <f t="shared" si="55"/>
        <v>16</v>
      </c>
      <c r="D216" s="357">
        <f t="shared" si="56"/>
        <v>1</v>
      </c>
      <c r="E216" s="357">
        <f t="shared" si="57"/>
        <v>45</v>
      </c>
      <c r="F216" s="356">
        <f t="shared" si="49"/>
        <v>368031.2704778525</v>
      </c>
      <c r="H216" s="356">
        <f t="shared" ref="H216:H279" si="64">SUM(F216:G216)*$G$8</f>
        <v>2934.73303301826</v>
      </c>
      <c r="I216" s="356">
        <v>0</v>
      </c>
      <c r="J216" s="356">
        <v>0</v>
      </c>
      <c r="K216" s="356">
        <f t="shared" si="50"/>
        <v>-370.96600351087073</v>
      </c>
      <c r="L216" s="356">
        <f t="shared" ref="L216:L279" si="65">SUM(F216:K216)</f>
        <v>370595.03750735987</v>
      </c>
      <c r="N216" s="356">
        <f t="shared" si="51"/>
        <v>193</v>
      </c>
      <c r="O216" s="357">
        <f t="shared" si="58"/>
        <v>16</v>
      </c>
      <c r="P216" s="357">
        <f t="shared" si="59"/>
        <v>1</v>
      </c>
      <c r="Q216" s="357">
        <f t="shared" si="60"/>
        <v>16</v>
      </c>
      <c r="R216" s="356">
        <f t="shared" si="52"/>
        <v>3357898.6599376677</v>
      </c>
      <c r="S216" s="356">
        <f>IF($G$17="si",S204*(1+$G$20),S204)</f>
        <v>10000</v>
      </c>
      <c r="U216" s="356">
        <f t="shared" si="61"/>
        <v>26856.096864659765</v>
      </c>
      <c r="V216" s="359">
        <f>(V215*(1+$G$18))</f>
        <v>-142.72117092441215</v>
      </c>
      <c r="X216" s="359">
        <f t="shared" si="62"/>
        <v>-3394.7547568023274</v>
      </c>
      <c r="Y216" s="356">
        <f t="shared" ref="Y216:Y279" si="66">SUM(R216:X216)</f>
        <v>3391217.2808746006</v>
      </c>
      <c r="AA216" s="357">
        <f>+Bono!J216</f>
        <v>217213.0724008238</v>
      </c>
      <c r="AC216" s="378">
        <f t="shared" si="53"/>
        <v>16.083333333333332</v>
      </c>
      <c r="AD216" s="356">
        <f t="shared" si="54"/>
        <v>3979025.390782784</v>
      </c>
    </row>
    <row r="217" spans="2:30" x14ac:dyDescent="0.25">
      <c r="B217" s="356">
        <f t="shared" ref="B217:B280" si="67">+B216+1</f>
        <v>194</v>
      </c>
      <c r="C217" s="357">
        <f t="shared" si="55"/>
        <v>16</v>
      </c>
      <c r="D217" s="357">
        <f t="shared" si="56"/>
        <v>2</v>
      </c>
      <c r="E217" s="357">
        <f t="shared" si="57"/>
        <v>45</v>
      </c>
      <c r="F217" s="356">
        <f t="shared" ref="F217:F280" si="68">L216</f>
        <v>370595.03750735987</v>
      </c>
      <c r="H217" s="356">
        <f t="shared" si="64"/>
        <v>2955.1768713385454</v>
      </c>
      <c r="I217" s="356">
        <v>0</v>
      </c>
      <c r="J217" s="356">
        <v>0</v>
      </c>
      <c r="K217" s="356">
        <f t="shared" ref="K217:K280" si="69">-SUM(F217:J217)*0.1%</f>
        <v>-373.55021437869846</v>
      </c>
      <c r="L217" s="356">
        <f t="shared" si="65"/>
        <v>373176.66416431975</v>
      </c>
      <c r="N217" s="356">
        <f t="shared" ref="N217:N280" si="70">+N216+1</f>
        <v>194</v>
      </c>
      <c r="O217" s="357">
        <f t="shared" si="58"/>
        <v>16</v>
      </c>
      <c r="P217" s="357">
        <f t="shared" si="59"/>
        <v>2</v>
      </c>
      <c r="Q217" s="357">
        <f t="shared" si="60"/>
        <v>16</v>
      </c>
      <c r="R217" s="356">
        <f t="shared" ref="R217:R280" si="71">Y216</f>
        <v>3391217.2808746006</v>
      </c>
      <c r="S217" s="356">
        <f>IF($G$4="mensual",S216,0)</f>
        <v>10000</v>
      </c>
      <c r="U217" s="356">
        <f t="shared" si="61"/>
        <v>27121.784226908283</v>
      </c>
      <c r="V217" s="359">
        <f t="shared" si="63"/>
        <v>-142.72117092441215</v>
      </c>
      <c r="X217" s="359">
        <f t="shared" si="62"/>
        <v>-3428.3390651015093</v>
      </c>
      <c r="Y217" s="356">
        <f t="shared" si="66"/>
        <v>3424768.004865483</v>
      </c>
      <c r="AA217" s="357">
        <f>+Bono!J217</f>
        <v>218559.81864486582</v>
      </c>
      <c r="AC217" s="378">
        <f t="shared" ref="AC217:AC280" si="72">+B217/12</f>
        <v>16.166666666666668</v>
      </c>
      <c r="AD217" s="356">
        <f t="shared" ref="AD217:AD280" si="73">+AA217+Y217+L217</f>
        <v>4016504.4876746684</v>
      </c>
    </row>
    <row r="218" spans="2:30" x14ac:dyDescent="0.25">
      <c r="B218" s="356">
        <f t="shared" si="67"/>
        <v>195</v>
      </c>
      <c r="C218" s="357">
        <f t="shared" si="55"/>
        <v>16</v>
      </c>
      <c r="D218" s="357">
        <f t="shared" si="56"/>
        <v>3</v>
      </c>
      <c r="E218" s="357">
        <f t="shared" si="57"/>
        <v>45</v>
      </c>
      <c r="F218" s="356">
        <f t="shared" si="68"/>
        <v>373176.66416431975</v>
      </c>
      <c r="H218" s="356">
        <f t="shared" si="64"/>
        <v>2975.763124836145</v>
      </c>
      <c r="I218" s="356">
        <v>0</v>
      </c>
      <c r="J218" s="360">
        <f>-SUM(F218:H218)*$J$21</f>
        <v>-3385.3718456024035</v>
      </c>
      <c r="K218" s="356">
        <f t="shared" si="69"/>
        <v>-372.7670554435535</v>
      </c>
      <c r="L218" s="356">
        <f t="shared" si="65"/>
        <v>372394.28838810994</v>
      </c>
      <c r="N218" s="356">
        <f t="shared" si="70"/>
        <v>195</v>
      </c>
      <c r="O218" s="357">
        <f t="shared" si="58"/>
        <v>16</v>
      </c>
      <c r="P218" s="357">
        <f t="shared" si="59"/>
        <v>3</v>
      </c>
      <c r="Q218" s="357">
        <f t="shared" si="60"/>
        <v>16</v>
      </c>
      <c r="R218" s="356">
        <f t="shared" si="71"/>
        <v>3424768.004865483</v>
      </c>
      <c r="S218" s="356">
        <f>IF($G$4="mensual",S217,0)</f>
        <v>10000</v>
      </c>
      <c r="U218" s="356">
        <f t="shared" si="61"/>
        <v>27389.32241150297</v>
      </c>
      <c r="V218" s="359">
        <f t="shared" si="63"/>
        <v>-142.72117092441215</v>
      </c>
      <c r="X218" s="359">
        <f t="shared" si="62"/>
        <v>-3462.157327276986</v>
      </c>
      <c r="Y218" s="356">
        <f t="shared" si="66"/>
        <v>3458552.4487787844</v>
      </c>
      <c r="AA218" s="357">
        <f>+Bono!J218</f>
        <v>217933.69942253802</v>
      </c>
      <c r="AC218" s="378">
        <f t="shared" si="72"/>
        <v>16.25</v>
      </c>
      <c r="AD218" s="356">
        <f t="shared" si="73"/>
        <v>4048880.436589432</v>
      </c>
    </row>
    <row r="219" spans="2:30" x14ac:dyDescent="0.25">
      <c r="B219" s="356">
        <f t="shared" si="67"/>
        <v>196</v>
      </c>
      <c r="C219" s="357">
        <f t="shared" si="55"/>
        <v>16</v>
      </c>
      <c r="D219" s="357">
        <f t="shared" si="56"/>
        <v>4</v>
      </c>
      <c r="E219" s="357">
        <f t="shared" si="57"/>
        <v>45</v>
      </c>
      <c r="F219" s="356">
        <f t="shared" si="68"/>
        <v>372394.28838810994</v>
      </c>
      <c r="H219" s="356">
        <f t="shared" si="64"/>
        <v>2969.524350528475</v>
      </c>
      <c r="I219" s="356">
        <v>0</v>
      </c>
      <c r="J219" s="356">
        <v>0</v>
      </c>
      <c r="K219" s="356">
        <f t="shared" si="69"/>
        <v>-375.36381273863844</v>
      </c>
      <c r="L219" s="356">
        <f t="shared" si="65"/>
        <v>374988.4489258998</v>
      </c>
      <c r="N219" s="356">
        <f t="shared" si="70"/>
        <v>196</v>
      </c>
      <c r="O219" s="357">
        <f t="shared" si="58"/>
        <v>16</v>
      </c>
      <c r="P219" s="357">
        <f t="shared" si="59"/>
        <v>4</v>
      </c>
      <c r="Q219" s="357">
        <f t="shared" si="60"/>
        <v>16</v>
      </c>
      <c r="R219" s="356">
        <f t="shared" si="71"/>
        <v>3458552.4487787844</v>
      </c>
      <c r="S219" s="356">
        <f>IF($G$4="mensual",S216,IF($G$4="trimestral",S216,0))</f>
        <v>10000</v>
      </c>
      <c r="U219" s="356">
        <f t="shared" si="61"/>
        <v>27658.72431158006</v>
      </c>
      <c r="V219" s="359">
        <f t="shared" si="63"/>
        <v>-142.72117092441215</v>
      </c>
      <c r="X219" s="359">
        <f t="shared" si="62"/>
        <v>-3496.2111730903644</v>
      </c>
      <c r="Y219" s="356">
        <f t="shared" si="66"/>
        <v>3492572.2407463496</v>
      </c>
      <c r="AA219" s="357">
        <f>+Bono!J219</f>
        <v>219284.91363770224</v>
      </c>
      <c r="AC219" s="378">
        <f t="shared" si="72"/>
        <v>16.333333333333332</v>
      </c>
      <c r="AD219" s="356">
        <f t="shared" si="73"/>
        <v>4086845.6033099517</v>
      </c>
    </row>
    <row r="220" spans="2:30" x14ac:dyDescent="0.25">
      <c r="B220" s="356">
        <f t="shared" si="67"/>
        <v>197</v>
      </c>
      <c r="C220" s="357">
        <f t="shared" si="55"/>
        <v>16</v>
      </c>
      <c r="D220" s="357">
        <f t="shared" si="56"/>
        <v>5</v>
      </c>
      <c r="E220" s="357">
        <f t="shared" si="57"/>
        <v>45</v>
      </c>
      <c r="F220" s="356">
        <f t="shared" si="68"/>
        <v>374988.4489258998</v>
      </c>
      <c r="H220" s="356">
        <f t="shared" si="64"/>
        <v>2990.210550951932</v>
      </c>
      <c r="I220" s="356">
        <v>0</v>
      </c>
      <c r="J220" s="356">
        <v>0</v>
      </c>
      <c r="K220" s="356">
        <f t="shared" si="69"/>
        <v>-377.97865947685176</v>
      </c>
      <c r="L220" s="356">
        <f t="shared" si="65"/>
        <v>377600.6808173749</v>
      </c>
      <c r="N220" s="356">
        <f t="shared" si="70"/>
        <v>197</v>
      </c>
      <c r="O220" s="357">
        <f t="shared" si="58"/>
        <v>16</v>
      </c>
      <c r="P220" s="357">
        <f t="shared" si="59"/>
        <v>5</v>
      </c>
      <c r="Q220" s="357">
        <f t="shared" si="60"/>
        <v>16</v>
      </c>
      <c r="R220" s="356">
        <f t="shared" si="71"/>
        <v>3492572.2407463496</v>
      </c>
      <c r="S220" s="356">
        <f>IF($G$4="mensual",S219,0)</f>
        <v>10000</v>
      </c>
      <c r="U220" s="356">
        <f t="shared" si="61"/>
        <v>27930.002910091516</v>
      </c>
      <c r="V220" s="359">
        <f t="shared" si="63"/>
        <v>-142.72117092441215</v>
      </c>
      <c r="X220" s="359">
        <f t="shared" si="62"/>
        <v>-3530.5022436564414</v>
      </c>
      <c r="Y220" s="356">
        <f t="shared" si="66"/>
        <v>3526829.02024186</v>
      </c>
      <c r="AA220" s="357">
        <f>+Bono!J220</f>
        <v>220644.50553773163</v>
      </c>
      <c r="AC220" s="378">
        <f t="shared" si="72"/>
        <v>16.416666666666668</v>
      </c>
      <c r="AD220" s="356">
        <f t="shared" si="73"/>
        <v>4125074.2065969664</v>
      </c>
    </row>
    <row r="221" spans="2:30" x14ac:dyDescent="0.25">
      <c r="B221" s="356">
        <f t="shared" si="67"/>
        <v>198</v>
      </c>
      <c r="C221" s="357">
        <f t="shared" si="55"/>
        <v>16</v>
      </c>
      <c r="D221" s="357">
        <f t="shared" si="56"/>
        <v>6</v>
      </c>
      <c r="E221" s="357">
        <f t="shared" si="57"/>
        <v>45</v>
      </c>
      <c r="F221" s="356">
        <f t="shared" si="68"/>
        <v>377600.6808173749</v>
      </c>
      <c r="H221" s="356">
        <f t="shared" si="64"/>
        <v>3011.040854887415</v>
      </c>
      <c r="I221" s="356">
        <v>0</v>
      </c>
      <c r="J221" s="360">
        <f>-SUM(F221:H221)*$J$21</f>
        <v>-3425.505495050361</v>
      </c>
      <c r="K221" s="356">
        <f t="shared" si="69"/>
        <v>-377.186216177212</v>
      </c>
      <c r="L221" s="356">
        <f t="shared" si="65"/>
        <v>376809.0299610348</v>
      </c>
      <c r="N221" s="356">
        <f t="shared" si="70"/>
        <v>198</v>
      </c>
      <c r="O221" s="357">
        <f t="shared" si="58"/>
        <v>16</v>
      </c>
      <c r="P221" s="357">
        <f t="shared" si="59"/>
        <v>6</v>
      </c>
      <c r="Q221" s="357">
        <f t="shared" si="60"/>
        <v>16</v>
      </c>
      <c r="R221" s="356">
        <f t="shared" si="71"/>
        <v>3526829.02024186</v>
      </c>
      <c r="S221" s="356">
        <f>IF($G$4="mensual",S220,0)</f>
        <v>10000</v>
      </c>
      <c r="U221" s="356">
        <f t="shared" si="61"/>
        <v>28203.171280430706</v>
      </c>
      <c r="V221" s="359">
        <f t="shared" si="63"/>
        <v>-142.72117092441215</v>
      </c>
      <c r="X221" s="359">
        <f t="shared" si="62"/>
        <v>-3565.0321915222908</v>
      </c>
      <c r="Y221" s="356">
        <f t="shared" si="66"/>
        <v>3561324.4381598434</v>
      </c>
      <c r="AA221" s="357">
        <f>+Bono!J221</f>
        <v>220012.41420880044</v>
      </c>
      <c r="AC221" s="378">
        <f t="shared" si="72"/>
        <v>16.5</v>
      </c>
      <c r="AD221" s="356">
        <f t="shared" si="73"/>
        <v>4158145.8823296786</v>
      </c>
    </row>
    <row r="222" spans="2:30" x14ac:dyDescent="0.25">
      <c r="B222" s="356">
        <f t="shared" si="67"/>
        <v>199</v>
      </c>
      <c r="C222" s="357">
        <f t="shared" si="55"/>
        <v>16</v>
      </c>
      <c r="D222" s="357">
        <f t="shared" si="56"/>
        <v>7</v>
      </c>
      <c r="E222" s="357">
        <f t="shared" si="57"/>
        <v>45</v>
      </c>
      <c r="F222" s="356">
        <f t="shared" si="68"/>
        <v>376809.0299610348</v>
      </c>
      <c r="H222" s="356">
        <f t="shared" si="64"/>
        <v>3004.728119788297</v>
      </c>
      <c r="I222" s="356">
        <v>0</v>
      </c>
      <c r="J222" s="356">
        <v>0</v>
      </c>
      <c r="K222" s="356">
        <f t="shared" si="69"/>
        <v>-379.81375808082305</v>
      </c>
      <c r="L222" s="356">
        <f t="shared" si="65"/>
        <v>379433.94432274223</v>
      </c>
      <c r="N222" s="356">
        <f t="shared" si="70"/>
        <v>199</v>
      </c>
      <c r="O222" s="357">
        <f t="shared" si="58"/>
        <v>16</v>
      </c>
      <c r="P222" s="357">
        <f t="shared" si="59"/>
        <v>7</v>
      </c>
      <c r="Q222" s="357">
        <f t="shared" si="60"/>
        <v>16</v>
      </c>
      <c r="R222" s="356">
        <f t="shared" si="71"/>
        <v>3561324.4381598434</v>
      </c>
      <c r="S222" s="356">
        <f>+IF($G$4="mensual",S216,IF($G$4="trimestral",S216,IF($G$4="semestral",S216,0)))</f>
        <v>10000</v>
      </c>
      <c r="U222" s="356">
        <f t="shared" si="61"/>
        <v>28478.24258706243</v>
      </c>
      <c r="V222" s="359">
        <f t="shared" si="63"/>
        <v>-142.72117092441215</v>
      </c>
      <c r="X222" s="359">
        <f t="shared" si="62"/>
        <v>-3599.802680746906</v>
      </c>
      <c r="Y222" s="356">
        <f t="shared" si="66"/>
        <v>3596060.1568952342</v>
      </c>
      <c r="AA222" s="357">
        <f>+Bono!J222</f>
        <v>221376.5166967555</v>
      </c>
      <c r="AC222" s="378">
        <f t="shared" si="72"/>
        <v>16.583333333333332</v>
      </c>
      <c r="AD222" s="356">
        <f t="shared" si="73"/>
        <v>4196870.617914732</v>
      </c>
    </row>
    <row r="223" spans="2:30" x14ac:dyDescent="0.25">
      <c r="B223" s="356">
        <f t="shared" si="67"/>
        <v>200</v>
      </c>
      <c r="C223" s="357">
        <f t="shared" si="55"/>
        <v>16</v>
      </c>
      <c r="D223" s="357">
        <f t="shared" si="56"/>
        <v>8</v>
      </c>
      <c r="E223" s="357">
        <f t="shared" si="57"/>
        <v>45</v>
      </c>
      <c r="F223" s="356">
        <f t="shared" si="68"/>
        <v>379433.94432274223</v>
      </c>
      <c r="H223" s="356">
        <f t="shared" si="64"/>
        <v>3025.659555522399</v>
      </c>
      <c r="I223" s="356">
        <v>0</v>
      </c>
      <c r="J223" s="356">
        <v>0</v>
      </c>
      <c r="K223" s="356">
        <f t="shared" si="69"/>
        <v>-382.4596038782646</v>
      </c>
      <c r="L223" s="356">
        <f t="shared" si="65"/>
        <v>382077.14427438634</v>
      </c>
      <c r="N223" s="356">
        <f t="shared" si="70"/>
        <v>200</v>
      </c>
      <c r="O223" s="357">
        <f t="shared" si="58"/>
        <v>16</v>
      </c>
      <c r="P223" s="357">
        <f t="shared" si="59"/>
        <v>8</v>
      </c>
      <c r="Q223" s="357">
        <f t="shared" si="60"/>
        <v>16</v>
      </c>
      <c r="R223" s="356">
        <f t="shared" si="71"/>
        <v>3596060.1568952342</v>
      </c>
      <c r="S223" s="356">
        <f>IF($G$4="mensual",S222,0)</f>
        <v>10000</v>
      </c>
      <c r="U223" s="356">
        <f t="shared" si="61"/>
        <v>28755.23008615734</v>
      </c>
      <c r="V223" s="359">
        <f t="shared" si="63"/>
        <v>-142.72117092441215</v>
      </c>
      <c r="X223" s="359">
        <f t="shared" si="62"/>
        <v>-3634.815386981392</v>
      </c>
      <c r="Y223" s="356">
        <f t="shared" si="66"/>
        <v>3631037.850423486</v>
      </c>
      <c r="AA223" s="357">
        <f>+Bono!J223</f>
        <v>222749.07677836198</v>
      </c>
      <c r="AC223" s="378">
        <f t="shared" si="72"/>
        <v>16.666666666666668</v>
      </c>
      <c r="AD223" s="356">
        <f t="shared" si="73"/>
        <v>4235864.071476234</v>
      </c>
    </row>
    <row r="224" spans="2:30" x14ac:dyDescent="0.25">
      <c r="B224" s="356">
        <f t="shared" si="67"/>
        <v>201</v>
      </c>
      <c r="C224" s="357">
        <f t="shared" si="55"/>
        <v>16</v>
      </c>
      <c r="D224" s="357">
        <f t="shared" si="56"/>
        <v>9</v>
      </c>
      <c r="E224" s="357">
        <f t="shared" si="57"/>
        <v>45</v>
      </c>
      <c r="F224" s="356">
        <f t="shared" si="68"/>
        <v>382077.14427438634</v>
      </c>
      <c r="H224" s="356">
        <f t="shared" si="64"/>
        <v>3046.7368031184806</v>
      </c>
      <c r="I224" s="356">
        <v>0</v>
      </c>
      <c r="J224" s="360">
        <f>-SUM(F224:H224)*$J$21</f>
        <v>-3466.114929697544</v>
      </c>
      <c r="K224" s="356">
        <f t="shared" si="69"/>
        <v>-381.6577661478073</v>
      </c>
      <c r="L224" s="356">
        <f t="shared" si="65"/>
        <v>381276.1083816595</v>
      </c>
      <c r="N224" s="356">
        <f t="shared" si="70"/>
        <v>201</v>
      </c>
      <c r="O224" s="357">
        <f t="shared" si="58"/>
        <v>16</v>
      </c>
      <c r="P224" s="357">
        <f t="shared" si="59"/>
        <v>9</v>
      </c>
      <c r="Q224" s="357">
        <f t="shared" si="60"/>
        <v>16</v>
      </c>
      <c r="R224" s="356">
        <f t="shared" si="71"/>
        <v>3631037.850423486</v>
      </c>
      <c r="S224" s="356">
        <f>IF($G$4="mensual",S223,0)</f>
        <v>10000</v>
      </c>
      <c r="U224" s="356">
        <f t="shared" si="61"/>
        <v>29034.147126230775</v>
      </c>
      <c r="V224" s="359">
        <f t="shared" si="63"/>
        <v>-142.72117092441215</v>
      </c>
      <c r="X224" s="359">
        <f t="shared" si="62"/>
        <v>-3670.071997549717</v>
      </c>
      <c r="Y224" s="356">
        <f t="shared" si="66"/>
        <v>3666259.2043812424</v>
      </c>
      <c r="AA224" s="357">
        <f>+Bono!J224</f>
        <v>222110.95637914387</v>
      </c>
      <c r="AC224" s="378">
        <f t="shared" si="72"/>
        <v>16.75</v>
      </c>
      <c r="AD224" s="356">
        <f t="shared" si="73"/>
        <v>4269646.269142046</v>
      </c>
    </row>
    <row r="225" spans="2:30" x14ac:dyDescent="0.25">
      <c r="B225" s="356">
        <f t="shared" si="67"/>
        <v>202</v>
      </c>
      <c r="C225" s="357">
        <f t="shared" si="55"/>
        <v>16</v>
      </c>
      <c r="D225" s="357">
        <f t="shared" si="56"/>
        <v>10</v>
      </c>
      <c r="E225" s="357">
        <f t="shared" si="57"/>
        <v>45</v>
      </c>
      <c r="F225" s="356">
        <f t="shared" si="68"/>
        <v>381276.1083816595</v>
      </c>
      <c r="H225" s="356">
        <f t="shared" si="64"/>
        <v>3040.349230421284</v>
      </c>
      <c r="I225" s="356">
        <v>0</v>
      </c>
      <c r="J225" s="356">
        <v>0</v>
      </c>
      <c r="K225" s="356">
        <f t="shared" si="69"/>
        <v>-384.3164576120808</v>
      </c>
      <c r="L225" s="356">
        <f t="shared" si="65"/>
        <v>383932.1411544687</v>
      </c>
      <c r="N225" s="356">
        <f t="shared" si="70"/>
        <v>202</v>
      </c>
      <c r="O225" s="357">
        <f t="shared" si="58"/>
        <v>16</v>
      </c>
      <c r="P225" s="357">
        <f t="shared" si="59"/>
        <v>10</v>
      </c>
      <c r="Q225" s="357">
        <f t="shared" si="60"/>
        <v>16</v>
      </c>
      <c r="R225" s="356">
        <f t="shared" si="71"/>
        <v>3666259.2043812424</v>
      </c>
      <c r="S225" s="356">
        <f>IF($G$4="mensual",S216,IF($G$4="trimestral",S216,0))</f>
        <v>10000</v>
      </c>
      <c r="U225" s="356">
        <f t="shared" si="61"/>
        <v>29315.00714878605</v>
      </c>
      <c r="V225" s="359">
        <f t="shared" si="63"/>
        <v>-142.72117092441215</v>
      </c>
      <c r="X225" s="359">
        <f t="shared" si="62"/>
        <v>-3705.5742115300286</v>
      </c>
      <c r="Y225" s="356">
        <f t="shared" si="66"/>
        <v>3701725.916147574</v>
      </c>
      <c r="AA225" s="357">
        <f>+Bono!J225</f>
        <v>223488.07007197087</v>
      </c>
      <c r="AC225" s="378">
        <f t="shared" si="72"/>
        <v>16.833333333333332</v>
      </c>
      <c r="AD225" s="356">
        <f t="shared" si="73"/>
        <v>4309146.127374014</v>
      </c>
    </row>
    <row r="226" spans="2:30" x14ac:dyDescent="0.25">
      <c r="B226" s="356">
        <f t="shared" si="67"/>
        <v>203</v>
      </c>
      <c r="C226" s="357">
        <f t="shared" si="55"/>
        <v>16</v>
      </c>
      <c r="D226" s="357">
        <f t="shared" si="56"/>
        <v>11</v>
      </c>
      <c r="E226" s="357">
        <f t="shared" si="57"/>
        <v>45</v>
      </c>
      <c r="F226" s="356">
        <f t="shared" si="68"/>
        <v>383932.1411544687</v>
      </c>
      <c r="H226" s="356">
        <f t="shared" si="64"/>
        <v>3061.5288087354356</v>
      </c>
      <c r="I226" s="356">
        <v>0</v>
      </c>
      <c r="J226" s="356">
        <v>0</v>
      </c>
      <c r="K226" s="356">
        <f t="shared" si="69"/>
        <v>-386.9936699632041</v>
      </c>
      <c r="L226" s="356">
        <f t="shared" si="65"/>
        <v>386606.6762932409</v>
      </c>
      <c r="N226" s="356">
        <f t="shared" si="70"/>
        <v>203</v>
      </c>
      <c r="O226" s="357">
        <f t="shared" si="58"/>
        <v>16</v>
      </c>
      <c r="P226" s="357">
        <f t="shared" si="59"/>
        <v>11</v>
      </c>
      <c r="Q226" s="357">
        <f t="shared" si="60"/>
        <v>16</v>
      </c>
      <c r="R226" s="356">
        <f t="shared" si="71"/>
        <v>3701725.916147574</v>
      </c>
      <c r="S226" s="356">
        <f>IF($G$17="si",S214*(1+$G$20),S214)</f>
        <v>10000</v>
      </c>
      <c r="U226" s="356">
        <f t="shared" si="61"/>
        <v>29597.82368896223</v>
      </c>
      <c r="V226" s="359">
        <f t="shared" si="63"/>
        <v>-142.72117092441215</v>
      </c>
      <c r="X226" s="359">
        <f t="shared" si="62"/>
        <v>-3741.323739836536</v>
      </c>
      <c r="Y226" s="356">
        <f t="shared" si="66"/>
        <v>3737439.694925775</v>
      </c>
      <c r="AA226" s="357">
        <f>+Bono!J226</f>
        <v>224873.7220294287</v>
      </c>
      <c r="AC226" s="378">
        <f t="shared" si="72"/>
        <v>16.916666666666668</v>
      </c>
      <c r="AD226" s="356">
        <f t="shared" si="73"/>
        <v>4348920.093248445</v>
      </c>
    </row>
    <row r="227" spans="2:30" x14ac:dyDescent="0.25">
      <c r="B227" s="356">
        <f t="shared" si="67"/>
        <v>204</v>
      </c>
      <c r="C227" s="357">
        <f t="shared" si="55"/>
        <v>16</v>
      </c>
      <c r="D227" s="357">
        <f t="shared" si="56"/>
        <v>12</v>
      </c>
      <c r="E227" s="357">
        <f t="shared" si="57"/>
        <v>45</v>
      </c>
      <c r="F227" s="356">
        <f t="shared" si="68"/>
        <v>386606.6762932409</v>
      </c>
      <c r="H227" s="356">
        <f t="shared" si="64"/>
        <v>3082.855927514043</v>
      </c>
      <c r="I227" s="356">
        <v>0</v>
      </c>
      <c r="J227" s="360">
        <f>-SUM(F227:H227)*$J$21</f>
        <v>-3507.205789986795</v>
      </c>
      <c r="K227" s="356">
        <f t="shared" si="69"/>
        <v>-386.1823264307681</v>
      </c>
      <c r="L227" s="356">
        <f t="shared" si="65"/>
        <v>385796.1441043374</v>
      </c>
      <c r="N227" s="356">
        <f t="shared" si="70"/>
        <v>204</v>
      </c>
      <c r="O227" s="357">
        <f t="shared" si="58"/>
        <v>16</v>
      </c>
      <c r="P227" s="357">
        <f t="shared" si="59"/>
        <v>12</v>
      </c>
      <c r="Q227" s="357">
        <f t="shared" si="60"/>
        <v>16</v>
      </c>
      <c r="R227" s="356">
        <f t="shared" si="71"/>
        <v>3737439.694925775</v>
      </c>
      <c r="S227" s="356">
        <f>IF($G$4="mensual",S226,0)</f>
        <v>10000</v>
      </c>
      <c r="U227" s="356">
        <f t="shared" si="61"/>
        <v>29882.61037618641</v>
      </c>
      <c r="V227" s="359">
        <f t="shared" si="63"/>
        <v>-142.72117092441215</v>
      </c>
      <c r="X227" s="359">
        <f t="shared" si="62"/>
        <v>-3777.322305301961</v>
      </c>
      <c r="Y227" s="356">
        <f t="shared" si="66"/>
        <v>3773402.2618257343</v>
      </c>
      <c r="AA227" s="357">
        <f>+Bono!J227</f>
        <v>224229.51505290385</v>
      </c>
      <c r="AC227" s="378">
        <f t="shared" si="72"/>
        <v>17</v>
      </c>
      <c r="AD227" s="356">
        <f t="shared" si="73"/>
        <v>4383427.9209829755</v>
      </c>
    </row>
    <row r="228" spans="2:30" x14ac:dyDescent="0.25">
      <c r="B228" s="356">
        <f t="shared" si="67"/>
        <v>205</v>
      </c>
      <c r="C228" s="357">
        <f t="shared" ref="C228:C291" si="74">C216+1</f>
        <v>17</v>
      </c>
      <c r="D228" s="357">
        <f t="shared" ref="D228:D291" si="75">D216</f>
        <v>1</v>
      </c>
      <c r="E228" s="357">
        <f t="shared" ref="E228:E291" si="76">E216+1</f>
        <v>46</v>
      </c>
      <c r="F228" s="356">
        <f t="shared" si="68"/>
        <v>385796.1441043374</v>
      </c>
      <c r="H228" s="356">
        <f t="shared" si="64"/>
        <v>3076.3926300175794</v>
      </c>
      <c r="I228" s="356">
        <v>0</v>
      </c>
      <c r="J228" s="356">
        <v>0</v>
      </c>
      <c r="K228" s="356">
        <f t="shared" si="69"/>
        <v>-388.872536734355</v>
      </c>
      <c r="L228" s="356">
        <f t="shared" si="65"/>
        <v>388483.66419762064</v>
      </c>
      <c r="N228" s="356">
        <f t="shared" si="70"/>
        <v>205</v>
      </c>
      <c r="O228" s="357">
        <f t="shared" ref="O228:O291" si="77">O216+1</f>
        <v>17</v>
      </c>
      <c r="P228" s="357">
        <f t="shared" ref="P228:P291" si="78">P216</f>
        <v>1</v>
      </c>
      <c r="Q228" s="357">
        <f t="shared" ref="Q228:Q291" si="79">Q216+1</f>
        <v>17</v>
      </c>
      <c r="R228" s="356">
        <f t="shared" si="71"/>
        <v>3773402.2618257343</v>
      </c>
      <c r="S228" s="356">
        <f>IF($G$17="si",S216*(1+$G$20),S216)</f>
        <v>10000</v>
      </c>
      <c r="U228" s="356">
        <f t="shared" ref="U228:U291" si="80">SUM(R228:T228)*$G$8</f>
        <v>30169.380934830533</v>
      </c>
      <c r="V228" s="359">
        <f>(V227*(1+$G$18))</f>
        <v>-148.43001776138863</v>
      </c>
      <c r="X228" s="359">
        <f t="shared" si="62"/>
        <v>-3813.5716427605653</v>
      </c>
      <c r="Y228" s="356">
        <f t="shared" si="66"/>
        <v>3809609.641100043</v>
      </c>
      <c r="AA228" s="357">
        <f>+Bono!J228</f>
        <v>225619.76405524576</v>
      </c>
      <c r="AC228" s="378">
        <f t="shared" si="72"/>
        <v>17.083333333333332</v>
      </c>
      <c r="AD228" s="356">
        <f t="shared" si="73"/>
        <v>4423713.069352909</v>
      </c>
    </row>
    <row r="229" spans="2:30" x14ac:dyDescent="0.25">
      <c r="B229" s="356">
        <f t="shared" si="67"/>
        <v>206</v>
      </c>
      <c r="C229" s="357">
        <f t="shared" si="74"/>
        <v>17</v>
      </c>
      <c r="D229" s="357">
        <f t="shared" si="75"/>
        <v>2</v>
      </c>
      <c r="E229" s="357">
        <f t="shared" si="76"/>
        <v>46</v>
      </c>
      <c r="F229" s="356">
        <f t="shared" si="68"/>
        <v>388483.66419762064</v>
      </c>
      <c r="H229" s="356">
        <f t="shared" si="64"/>
        <v>3097.8232926469204</v>
      </c>
      <c r="I229" s="356">
        <v>0</v>
      </c>
      <c r="J229" s="356">
        <v>0</v>
      </c>
      <c r="K229" s="356">
        <f t="shared" si="69"/>
        <v>-391.58148749026753</v>
      </c>
      <c r="L229" s="356">
        <f t="shared" si="65"/>
        <v>391189.9060027773</v>
      </c>
      <c r="N229" s="356">
        <f t="shared" si="70"/>
        <v>206</v>
      </c>
      <c r="O229" s="357">
        <f t="shared" si="77"/>
        <v>17</v>
      </c>
      <c r="P229" s="357">
        <f t="shared" si="78"/>
        <v>2</v>
      </c>
      <c r="Q229" s="357">
        <f t="shared" si="79"/>
        <v>17</v>
      </c>
      <c r="R229" s="356">
        <f t="shared" si="71"/>
        <v>3809609.641100043</v>
      </c>
      <c r="S229" s="356">
        <f>IF($G$4="mensual",S228,0)</f>
        <v>10000</v>
      </c>
      <c r="U229" s="356">
        <f t="shared" si="80"/>
        <v>30458.10366172645</v>
      </c>
      <c r="V229" s="359">
        <f t="shared" si="63"/>
        <v>-148.43001776138863</v>
      </c>
      <c r="X229" s="359">
        <f t="shared" si="62"/>
        <v>-3850.067744761769</v>
      </c>
      <c r="Y229" s="356">
        <f t="shared" si="66"/>
        <v>3846069.246999246</v>
      </c>
      <c r="AA229" s="357">
        <f>+Bono!J229</f>
        <v>227018.63276266112</v>
      </c>
      <c r="AC229" s="378">
        <f t="shared" si="72"/>
        <v>17.166666666666668</v>
      </c>
      <c r="AD229" s="356">
        <f t="shared" si="73"/>
        <v>4464277.785764685</v>
      </c>
    </row>
    <row r="230" spans="2:30" x14ac:dyDescent="0.25">
      <c r="B230" s="356">
        <f t="shared" si="67"/>
        <v>207</v>
      </c>
      <c r="C230" s="357">
        <f t="shared" si="74"/>
        <v>17</v>
      </c>
      <c r="D230" s="357">
        <f t="shared" si="75"/>
        <v>3</v>
      </c>
      <c r="E230" s="357">
        <f t="shared" si="76"/>
        <v>46</v>
      </c>
      <c r="F230" s="356">
        <f t="shared" si="68"/>
        <v>391189.9060027773</v>
      </c>
      <c r="H230" s="356">
        <f t="shared" si="64"/>
        <v>3119.40324483581</v>
      </c>
      <c r="I230" s="356">
        <v>0</v>
      </c>
      <c r="J230" s="360">
        <f>-SUM(F230:H230)*$J$21</f>
        <v>-3548.783783228518</v>
      </c>
      <c r="K230" s="356">
        <f t="shared" si="69"/>
        <v>-390.76052546438456</v>
      </c>
      <c r="L230" s="356">
        <f t="shared" si="65"/>
        <v>390369.76493892015</v>
      </c>
      <c r="N230" s="356">
        <f t="shared" si="70"/>
        <v>207</v>
      </c>
      <c r="O230" s="357">
        <f t="shared" si="77"/>
        <v>17</v>
      </c>
      <c r="P230" s="357">
        <f t="shared" si="78"/>
        <v>3</v>
      </c>
      <c r="Q230" s="357">
        <f t="shared" si="79"/>
        <v>17</v>
      </c>
      <c r="R230" s="356">
        <f t="shared" si="71"/>
        <v>3846069.246999246</v>
      </c>
      <c r="S230" s="356">
        <f>IF($G$4="mensual",S229,0)</f>
        <v>10000</v>
      </c>
      <c r="U230" s="356">
        <f t="shared" si="80"/>
        <v>30748.837679149183</v>
      </c>
      <c r="V230" s="359">
        <f t="shared" si="63"/>
        <v>-148.43001776138863</v>
      </c>
      <c r="X230" s="359">
        <f t="shared" si="62"/>
        <v>-3886.8180846783953</v>
      </c>
      <c r="Y230" s="356">
        <f t="shared" si="66"/>
        <v>3882782.836575955</v>
      </c>
      <c r="AA230" s="357">
        <f>+Bono!J230</f>
        <v>226368.28115329123</v>
      </c>
      <c r="AC230" s="378">
        <f t="shared" si="72"/>
        <v>17.25</v>
      </c>
      <c r="AD230" s="356">
        <f t="shared" si="73"/>
        <v>4499520.882668166</v>
      </c>
    </row>
    <row r="231" spans="2:30" x14ac:dyDescent="0.25">
      <c r="B231" s="356">
        <f t="shared" si="67"/>
        <v>208</v>
      </c>
      <c r="C231" s="357">
        <f t="shared" si="74"/>
        <v>17</v>
      </c>
      <c r="D231" s="357">
        <f t="shared" si="75"/>
        <v>4</v>
      </c>
      <c r="E231" s="357">
        <f t="shared" si="76"/>
        <v>46</v>
      </c>
      <c r="F231" s="356">
        <f t="shared" si="68"/>
        <v>390369.76493892015</v>
      </c>
      <c r="H231" s="356">
        <f t="shared" si="64"/>
        <v>3112.863324821102</v>
      </c>
      <c r="I231" s="356">
        <v>0</v>
      </c>
      <c r="J231" s="356">
        <v>0</v>
      </c>
      <c r="K231" s="356">
        <f t="shared" si="69"/>
        <v>-393.4826282637413</v>
      </c>
      <c r="L231" s="356">
        <f t="shared" si="65"/>
        <v>393089.1456354775</v>
      </c>
      <c r="N231" s="356">
        <f t="shared" si="70"/>
        <v>208</v>
      </c>
      <c r="O231" s="357">
        <f t="shared" si="77"/>
        <v>17</v>
      </c>
      <c r="P231" s="357">
        <f t="shared" si="78"/>
        <v>4</v>
      </c>
      <c r="Q231" s="357">
        <f t="shared" si="79"/>
        <v>17</v>
      </c>
      <c r="R231" s="356">
        <f t="shared" si="71"/>
        <v>3882782.836575955</v>
      </c>
      <c r="S231" s="356">
        <f>IF($G$4="mensual",S228,IF($G$4="trimestral",S228,0))</f>
        <v>10000</v>
      </c>
      <c r="U231" s="356">
        <f t="shared" si="80"/>
        <v>31041.596998082998</v>
      </c>
      <c r="V231" s="359">
        <f t="shared" si="63"/>
        <v>-148.43001776138863</v>
      </c>
      <c r="X231" s="359">
        <f t="shared" si="62"/>
        <v>-3923.8244335740383</v>
      </c>
      <c r="Y231" s="356">
        <f t="shared" si="66"/>
        <v>3919752.1791227027</v>
      </c>
      <c r="AA231" s="357">
        <f>+Bono!J231</f>
        <v>227771.79075353706</v>
      </c>
      <c r="AC231" s="378">
        <f t="shared" si="72"/>
        <v>17.333333333333332</v>
      </c>
      <c r="AD231" s="356">
        <f t="shared" si="73"/>
        <v>4540613.115511717</v>
      </c>
    </row>
    <row r="232" spans="2:30" x14ac:dyDescent="0.25">
      <c r="B232" s="356">
        <f t="shared" si="67"/>
        <v>209</v>
      </c>
      <c r="C232" s="357">
        <f t="shared" si="74"/>
        <v>17</v>
      </c>
      <c r="D232" s="357">
        <f t="shared" si="75"/>
        <v>5</v>
      </c>
      <c r="E232" s="357">
        <f t="shared" si="76"/>
        <v>46</v>
      </c>
      <c r="F232" s="356">
        <f t="shared" si="68"/>
        <v>393089.1456354775</v>
      </c>
      <c r="H232" s="356">
        <f t="shared" si="64"/>
        <v>3134.5480483751007</v>
      </c>
      <c r="I232" s="356">
        <v>0</v>
      </c>
      <c r="J232" s="356">
        <v>0</v>
      </c>
      <c r="K232" s="356">
        <f t="shared" si="69"/>
        <v>-396.2236936838526</v>
      </c>
      <c r="L232" s="356">
        <f t="shared" si="65"/>
        <v>395827.46999016876</v>
      </c>
      <c r="N232" s="356">
        <f t="shared" si="70"/>
        <v>209</v>
      </c>
      <c r="O232" s="357">
        <f t="shared" si="77"/>
        <v>17</v>
      </c>
      <c r="P232" s="357">
        <f t="shared" si="78"/>
        <v>5</v>
      </c>
      <c r="Q232" s="357">
        <f t="shared" si="79"/>
        <v>17</v>
      </c>
      <c r="R232" s="356">
        <f t="shared" si="71"/>
        <v>3919752.1791227027</v>
      </c>
      <c r="S232" s="356">
        <f>IF($G$4="mensual",S231,0)</f>
        <v>10000</v>
      </c>
      <c r="U232" s="356">
        <f t="shared" si="80"/>
        <v>31336.39572711501</v>
      </c>
      <c r="V232" s="359">
        <f t="shared" si="63"/>
        <v>-148.43001776138863</v>
      </c>
      <c r="X232" s="359">
        <f t="shared" si="62"/>
        <v>-3961.088574849818</v>
      </c>
      <c r="Y232" s="356">
        <f t="shared" si="66"/>
        <v>3956979.0562572065</v>
      </c>
      <c r="AA232" s="357">
        <f>+Bono!J232</f>
        <v>229184.00227610147</v>
      </c>
      <c r="AC232" s="378">
        <f t="shared" si="72"/>
        <v>17.416666666666668</v>
      </c>
      <c r="AD232" s="356">
        <f t="shared" si="73"/>
        <v>4581990.528523477</v>
      </c>
    </row>
    <row r="233" spans="2:30" x14ac:dyDescent="0.25">
      <c r="B233" s="356">
        <f t="shared" si="67"/>
        <v>210</v>
      </c>
      <c r="C233" s="357">
        <f t="shared" si="74"/>
        <v>17</v>
      </c>
      <c r="D233" s="357">
        <f t="shared" si="75"/>
        <v>6</v>
      </c>
      <c r="E233" s="357">
        <f t="shared" si="76"/>
        <v>46</v>
      </c>
      <c r="F233" s="356">
        <f t="shared" si="68"/>
        <v>395827.46999016876</v>
      </c>
      <c r="H233" s="356">
        <f t="shared" si="64"/>
        <v>3156.383831319296</v>
      </c>
      <c r="I233" s="356">
        <v>0</v>
      </c>
      <c r="J233" s="360">
        <f>-SUM(F233:H233)*$J$21</f>
        <v>-3590.8546843933927</v>
      </c>
      <c r="K233" s="356">
        <f t="shared" si="69"/>
        <v>-395.39299913709465</v>
      </c>
      <c r="L233" s="356">
        <f t="shared" si="65"/>
        <v>394997.60613795754</v>
      </c>
      <c r="N233" s="356">
        <f t="shared" si="70"/>
        <v>210</v>
      </c>
      <c r="O233" s="357">
        <f t="shared" si="77"/>
        <v>17</v>
      </c>
      <c r="P233" s="357">
        <f t="shared" si="78"/>
        <v>6</v>
      </c>
      <c r="Q233" s="357">
        <f t="shared" si="79"/>
        <v>17</v>
      </c>
      <c r="R233" s="356">
        <f t="shared" si="71"/>
        <v>3956979.0562572065</v>
      </c>
      <c r="S233" s="356">
        <f>IF($G$4="mensual",S232,0)</f>
        <v>10000</v>
      </c>
      <c r="U233" s="356">
        <f t="shared" si="80"/>
        <v>31633.24807311509</v>
      </c>
      <c r="V233" s="359">
        <f t="shared" si="63"/>
        <v>-148.43001776138863</v>
      </c>
      <c r="X233" s="359">
        <f t="shared" si="62"/>
        <v>-3998.6123043303214</v>
      </c>
      <c r="Y233" s="356">
        <f t="shared" si="66"/>
        <v>3994465.2620082297</v>
      </c>
      <c r="AA233" s="357">
        <f>+Bono!J233</f>
        <v>228527.44742459763</v>
      </c>
      <c r="AC233" s="378">
        <f t="shared" si="72"/>
        <v>17.5</v>
      </c>
      <c r="AD233" s="356">
        <f t="shared" si="73"/>
        <v>4617990.315570785</v>
      </c>
    </row>
    <row r="234" spans="2:30" x14ac:dyDescent="0.25">
      <c r="B234" s="356">
        <f t="shared" si="67"/>
        <v>211</v>
      </c>
      <c r="C234" s="357">
        <f t="shared" si="74"/>
        <v>17</v>
      </c>
      <c r="D234" s="357">
        <f t="shared" si="75"/>
        <v>7</v>
      </c>
      <c r="E234" s="357">
        <f t="shared" si="76"/>
        <v>46</v>
      </c>
      <c r="F234" s="356">
        <f t="shared" si="68"/>
        <v>394997.60613795754</v>
      </c>
      <c r="H234" s="356">
        <f t="shared" si="64"/>
        <v>3149.7663804248928</v>
      </c>
      <c r="I234" s="356">
        <v>0</v>
      </c>
      <c r="J234" s="356">
        <v>0</v>
      </c>
      <c r="K234" s="356">
        <f t="shared" si="69"/>
        <v>-398.14737251838244</v>
      </c>
      <c r="L234" s="356">
        <f t="shared" si="65"/>
        <v>397749.22514586407</v>
      </c>
      <c r="N234" s="356">
        <f t="shared" si="70"/>
        <v>211</v>
      </c>
      <c r="O234" s="357">
        <f t="shared" si="77"/>
        <v>17</v>
      </c>
      <c r="P234" s="357">
        <f t="shared" si="78"/>
        <v>7</v>
      </c>
      <c r="Q234" s="357">
        <f t="shared" si="79"/>
        <v>17</v>
      </c>
      <c r="R234" s="356">
        <f t="shared" si="71"/>
        <v>3994465.2620082297</v>
      </c>
      <c r="S234" s="356">
        <f>+IF($G$4="mensual",S228,IF($G$4="trimestral",S228,IF($G$4="semestral",S228,0)))</f>
        <v>10000</v>
      </c>
      <c r="U234" s="356">
        <f t="shared" si="80"/>
        <v>31932.16834192053</v>
      </c>
      <c r="V234" s="359">
        <f t="shared" si="63"/>
        <v>-148.43001776138863</v>
      </c>
      <c r="X234" s="359">
        <f t="shared" si="62"/>
        <v>-4036.3974303501504</v>
      </c>
      <c r="Y234" s="356">
        <f t="shared" si="66"/>
        <v>4032212.602902039</v>
      </c>
      <c r="AA234" s="357">
        <f>+Bono!J234</f>
        <v>229944.34410617335</v>
      </c>
      <c r="AC234" s="378">
        <f t="shared" si="72"/>
        <v>17.583333333333332</v>
      </c>
      <c r="AD234" s="356">
        <f t="shared" si="73"/>
        <v>4659906.172154076</v>
      </c>
    </row>
    <row r="235" spans="2:30" x14ac:dyDescent="0.25">
      <c r="B235" s="356">
        <f t="shared" si="67"/>
        <v>212</v>
      </c>
      <c r="C235" s="357">
        <f t="shared" si="74"/>
        <v>17</v>
      </c>
      <c r="D235" s="357">
        <f t="shared" si="75"/>
        <v>8</v>
      </c>
      <c r="E235" s="357">
        <f t="shared" si="76"/>
        <v>46</v>
      </c>
      <c r="F235" s="356">
        <f t="shared" si="68"/>
        <v>397749.22514586407</v>
      </c>
      <c r="H235" s="356">
        <f t="shared" si="64"/>
        <v>3171.7081768007806</v>
      </c>
      <c r="I235" s="356">
        <v>0</v>
      </c>
      <c r="J235" s="356">
        <v>0</v>
      </c>
      <c r="K235" s="356">
        <f t="shared" si="69"/>
        <v>-400.9209333226649</v>
      </c>
      <c r="L235" s="356">
        <f t="shared" si="65"/>
        <v>400520.0123893422</v>
      </c>
      <c r="N235" s="356">
        <f t="shared" si="70"/>
        <v>212</v>
      </c>
      <c r="O235" s="357">
        <f t="shared" si="77"/>
        <v>17</v>
      </c>
      <c r="P235" s="357">
        <f t="shared" si="78"/>
        <v>8</v>
      </c>
      <c r="Q235" s="357">
        <f t="shared" si="79"/>
        <v>17</v>
      </c>
      <c r="R235" s="356">
        <f t="shared" si="71"/>
        <v>4032212.602902039</v>
      </c>
      <c r="S235" s="356">
        <f>IF($G$4="mensual",S234,0)</f>
        <v>10000</v>
      </c>
      <c r="U235" s="356">
        <f t="shared" si="80"/>
        <v>32233.170939025465</v>
      </c>
      <c r="V235" s="359">
        <f t="shared" si="63"/>
        <v>-148.43001776138863</v>
      </c>
      <c r="X235" s="359">
        <f t="shared" ref="X235:X298" si="81">-SUM(R235:U235)*0.1%</f>
        <v>-4074.4457738410647</v>
      </c>
      <c r="Y235" s="356">
        <f t="shared" si="66"/>
        <v>4070222.898049462</v>
      </c>
      <c r="AA235" s="357">
        <f>+Bono!J235</f>
        <v>231370.02571152468</v>
      </c>
      <c r="AC235" s="378">
        <f t="shared" si="72"/>
        <v>17.666666666666668</v>
      </c>
      <c r="AD235" s="356">
        <f t="shared" si="73"/>
        <v>4702112.936150329</v>
      </c>
    </row>
    <row r="236" spans="2:30" x14ac:dyDescent="0.25">
      <c r="B236" s="356">
        <f t="shared" si="67"/>
        <v>213</v>
      </c>
      <c r="C236" s="357">
        <f t="shared" si="74"/>
        <v>17</v>
      </c>
      <c r="D236" s="357">
        <f t="shared" si="75"/>
        <v>9</v>
      </c>
      <c r="E236" s="357">
        <f t="shared" si="76"/>
        <v>46</v>
      </c>
      <c r="F236" s="356">
        <f t="shared" si="68"/>
        <v>400520.0123893422</v>
      </c>
      <c r="H236" s="356">
        <f t="shared" si="64"/>
        <v>3193.80282337889</v>
      </c>
      <c r="I236" s="356">
        <v>0</v>
      </c>
      <c r="J236" s="360">
        <f>-SUM(F236:H236)*$J$21</f>
        <v>-3633.42433691449</v>
      </c>
      <c r="K236" s="356">
        <f t="shared" si="69"/>
        <v>-400.0803908758066</v>
      </c>
      <c r="L236" s="356">
        <f t="shared" si="65"/>
        <v>399680.31048493076</v>
      </c>
      <c r="N236" s="356">
        <f t="shared" si="70"/>
        <v>213</v>
      </c>
      <c r="O236" s="357">
        <f t="shared" si="77"/>
        <v>17</v>
      </c>
      <c r="P236" s="357">
        <f t="shared" si="78"/>
        <v>9</v>
      </c>
      <c r="Q236" s="357">
        <f t="shared" si="79"/>
        <v>17</v>
      </c>
      <c r="R236" s="356">
        <f t="shared" si="71"/>
        <v>4070222.898049462</v>
      </c>
      <c r="S236" s="356">
        <f>IF($G$4="mensual",S235,0)</f>
        <v>10000</v>
      </c>
      <c r="U236" s="356">
        <f t="shared" si="80"/>
        <v>32536.2703702751</v>
      </c>
      <c r="V236" s="359">
        <f t="shared" si="63"/>
        <v>-148.43001776138863</v>
      </c>
      <c r="X236" s="359">
        <f t="shared" si="81"/>
        <v>-4112.759168419738</v>
      </c>
      <c r="Y236" s="356">
        <f t="shared" si="66"/>
        <v>4108497.9792335564</v>
      </c>
      <c r="AA236" s="357">
        <f>+Bono!J236</f>
        <v>230707.2084495656</v>
      </c>
      <c r="AC236" s="378">
        <f t="shared" si="72"/>
        <v>17.75</v>
      </c>
      <c r="AD236" s="356">
        <f t="shared" si="73"/>
        <v>4738885.498168053</v>
      </c>
    </row>
    <row r="237" spans="2:30" x14ac:dyDescent="0.25">
      <c r="B237" s="356">
        <f t="shared" si="67"/>
        <v>214</v>
      </c>
      <c r="C237" s="357">
        <f t="shared" si="74"/>
        <v>17</v>
      </c>
      <c r="D237" s="357">
        <f t="shared" si="75"/>
        <v>10</v>
      </c>
      <c r="E237" s="357">
        <f t="shared" si="76"/>
        <v>46</v>
      </c>
      <c r="F237" s="356">
        <f t="shared" si="68"/>
        <v>399680.31048493076</v>
      </c>
      <c r="H237" s="356">
        <f t="shared" si="64"/>
        <v>3187.1069224746952</v>
      </c>
      <c r="I237" s="356">
        <v>0</v>
      </c>
      <c r="J237" s="356">
        <v>0</v>
      </c>
      <c r="K237" s="356">
        <f t="shared" si="69"/>
        <v>-402.86741740740547</v>
      </c>
      <c r="L237" s="356">
        <f t="shared" si="65"/>
        <v>402464.54998999805</v>
      </c>
      <c r="N237" s="356">
        <f t="shared" si="70"/>
        <v>214</v>
      </c>
      <c r="O237" s="357">
        <f t="shared" si="77"/>
        <v>17</v>
      </c>
      <c r="P237" s="357">
        <f t="shared" si="78"/>
        <v>10</v>
      </c>
      <c r="Q237" s="357">
        <f t="shared" si="79"/>
        <v>17</v>
      </c>
      <c r="R237" s="356">
        <f t="shared" si="71"/>
        <v>4108497.9792335564</v>
      </c>
      <c r="S237" s="356">
        <f>IF($G$4="mensual",S228,IF($G$4="trimestral",S228,0))</f>
        <v>10000</v>
      </c>
      <c r="U237" s="356">
        <f t="shared" si="80"/>
        <v>32841.48124256476</v>
      </c>
      <c r="V237" s="359">
        <f t="shared" si="63"/>
        <v>-148.43001776138863</v>
      </c>
      <c r="X237" s="359">
        <f t="shared" si="81"/>
        <v>-4151.3394604761215</v>
      </c>
      <c r="Y237" s="356">
        <f t="shared" si="66"/>
        <v>4147039.6909978837</v>
      </c>
      <c r="AA237" s="357">
        <f>+Bono!J237</f>
        <v>232137.61990233272</v>
      </c>
      <c r="AC237" s="378">
        <f t="shared" si="72"/>
        <v>17.833333333333332</v>
      </c>
      <c r="AD237" s="356">
        <f t="shared" si="73"/>
        <v>4781641.860890214</v>
      </c>
    </row>
    <row r="238" spans="2:30" x14ac:dyDescent="0.25">
      <c r="B238" s="356">
        <f t="shared" si="67"/>
        <v>215</v>
      </c>
      <c r="C238" s="357">
        <f t="shared" si="74"/>
        <v>17</v>
      </c>
      <c r="D238" s="357">
        <f t="shared" si="75"/>
        <v>11</v>
      </c>
      <c r="E238" s="357">
        <f t="shared" si="76"/>
        <v>46</v>
      </c>
      <c r="F238" s="356">
        <f t="shared" si="68"/>
        <v>402464.54998999805</v>
      </c>
      <c r="H238" s="356">
        <f t="shared" si="64"/>
        <v>3209.3088392758036</v>
      </c>
      <c r="I238" s="356">
        <v>0</v>
      </c>
      <c r="J238" s="356">
        <v>0</v>
      </c>
      <c r="K238" s="356">
        <f t="shared" si="69"/>
        <v>-405.67385882927385</v>
      </c>
      <c r="L238" s="356">
        <f t="shared" si="65"/>
        <v>405268.1849704446</v>
      </c>
      <c r="N238" s="356">
        <f t="shared" si="70"/>
        <v>215</v>
      </c>
      <c r="O238" s="357">
        <f t="shared" si="77"/>
        <v>17</v>
      </c>
      <c r="P238" s="357">
        <f t="shared" si="78"/>
        <v>11</v>
      </c>
      <c r="Q238" s="357">
        <f t="shared" si="79"/>
        <v>17</v>
      </c>
      <c r="R238" s="356">
        <f t="shared" si="71"/>
        <v>4147039.6909978837</v>
      </c>
      <c r="S238" s="356">
        <f>IF($G$17="si",S226*(1+$G$20),S226)</f>
        <v>10000</v>
      </c>
      <c r="U238" s="356">
        <f t="shared" si="80"/>
        <v>33148.818264543836</v>
      </c>
      <c r="V238" s="359">
        <f t="shared" si="63"/>
        <v>-148.43001776138863</v>
      </c>
      <c r="X238" s="359">
        <f t="shared" si="81"/>
        <v>-4190.188509262428</v>
      </c>
      <c r="Y238" s="356">
        <f t="shared" si="66"/>
        <v>4185849.8907354036</v>
      </c>
      <c r="AA238" s="357">
        <f>+Bono!J238</f>
        <v>233576.9000720245</v>
      </c>
      <c r="AC238" s="378">
        <f t="shared" si="72"/>
        <v>17.916666666666668</v>
      </c>
      <c r="AD238" s="356">
        <f t="shared" si="73"/>
        <v>4824694.975777873</v>
      </c>
    </row>
    <row r="239" spans="2:30" x14ac:dyDescent="0.25">
      <c r="B239" s="356">
        <f t="shared" si="67"/>
        <v>216</v>
      </c>
      <c r="C239" s="357">
        <f t="shared" si="74"/>
        <v>17</v>
      </c>
      <c r="D239" s="357">
        <f t="shared" si="75"/>
        <v>12</v>
      </c>
      <c r="E239" s="357">
        <f t="shared" si="76"/>
        <v>46</v>
      </c>
      <c r="F239" s="356">
        <f t="shared" si="68"/>
        <v>405268.1849704446</v>
      </c>
      <c r="H239" s="356">
        <f t="shared" si="64"/>
        <v>3231.6654183212713</v>
      </c>
      <c r="I239" s="356">
        <v>0</v>
      </c>
      <c r="J239" s="360">
        <f>-SUM(F239:H239)*$J$21</f>
        <v>-3676.498653498893</v>
      </c>
      <c r="K239" s="356">
        <f t="shared" si="69"/>
        <v>-404.82335173526695</v>
      </c>
      <c r="L239" s="356">
        <f t="shared" si="65"/>
        <v>404418.5283835317</v>
      </c>
      <c r="N239" s="356">
        <f t="shared" si="70"/>
        <v>216</v>
      </c>
      <c r="O239" s="357">
        <f t="shared" si="77"/>
        <v>17</v>
      </c>
      <c r="P239" s="357">
        <f t="shared" si="78"/>
        <v>12</v>
      </c>
      <c r="Q239" s="357">
        <f t="shared" si="79"/>
        <v>17</v>
      </c>
      <c r="R239" s="356">
        <f t="shared" si="71"/>
        <v>4185849.8907354036</v>
      </c>
      <c r="S239" s="356">
        <f>IF($G$4="mensual",S238,0)</f>
        <v>10000</v>
      </c>
      <c r="U239" s="356">
        <f t="shared" si="80"/>
        <v>33458.29624732462</v>
      </c>
      <c r="V239" s="359">
        <f t="shared" si="63"/>
        <v>-148.43001776138863</v>
      </c>
      <c r="X239" s="359">
        <f t="shared" si="81"/>
        <v>-4229.308186982728</v>
      </c>
      <c r="Y239" s="356">
        <f t="shared" si="66"/>
        <v>4224930.448777985</v>
      </c>
      <c r="AA239" s="357">
        <f>+Bono!J239</f>
        <v>232907.7606669243</v>
      </c>
      <c r="AC239" s="378">
        <f t="shared" si="72"/>
        <v>18</v>
      </c>
      <c r="AD239" s="356">
        <f t="shared" si="73"/>
        <v>4862256.737828441</v>
      </c>
    </row>
    <row r="240" spans="2:30" x14ac:dyDescent="0.25">
      <c r="B240" s="356">
        <f t="shared" si="67"/>
        <v>217</v>
      </c>
      <c r="C240" s="357">
        <f t="shared" si="74"/>
        <v>18</v>
      </c>
      <c r="D240" s="357">
        <f t="shared" si="75"/>
        <v>1</v>
      </c>
      <c r="E240" s="357">
        <f t="shared" si="76"/>
        <v>47</v>
      </c>
      <c r="F240" s="356">
        <f t="shared" si="68"/>
        <v>404418.5283835317</v>
      </c>
      <c r="H240" s="356">
        <f t="shared" si="64"/>
        <v>3224.890137380885</v>
      </c>
      <c r="I240" s="356">
        <v>0</v>
      </c>
      <c r="J240" s="356">
        <v>0</v>
      </c>
      <c r="K240" s="356">
        <f t="shared" si="69"/>
        <v>-407.6434185209126</v>
      </c>
      <c r="L240" s="356">
        <f t="shared" si="65"/>
        <v>407235.77510239166</v>
      </c>
      <c r="N240" s="356">
        <f t="shared" si="70"/>
        <v>217</v>
      </c>
      <c r="O240" s="357">
        <f t="shared" si="77"/>
        <v>18</v>
      </c>
      <c r="P240" s="357">
        <f t="shared" si="78"/>
        <v>1</v>
      </c>
      <c r="Q240" s="357">
        <f t="shared" si="79"/>
        <v>18</v>
      </c>
      <c r="R240" s="356">
        <f t="shared" si="71"/>
        <v>4224930.448777985</v>
      </c>
      <c r="S240" s="356">
        <f>IF($G$17="si",S228*(1+$G$20),S228)</f>
        <v>10000</v>
      </c>
      <c r="U240" s="356">
        <f t="shared" si="80"/>
        <v>33769.930105196094</v>
      </c>
      <c r="V240" s="359">
        <f>(V239*(1+$G$18))</f>
        <v>-154.36721847184418</v>
      </c>
      <c r="X240" s="359">
        <f t="shared" si="81"/>
        <v>-4268.700378883182</v>
      </c>
      <c r="Y240" s="356">
        <f t="shared" si="66"/>
        <v>4264277.311285825</v>
      </c>
      <c r="AA240" s="357">
        <f>+Bono!J240</f>
        <v>234351.8157986873</v>
      </c>
      <c r="AC240" s="378">
        <f t="shared" si="72"/>
        <v>18.083333333333332</v>
      </c>
      <c r="AD240" s="356">
        <f t="shared" si="73"/>
        <v>4905864.902186905</v>
      </c>
    </row>
    <row r="241" spans="2:30" x14ac:dyDescent="0.25">
      <c r="B241" s="356">
        <f t="shared" si="67"/>
        <v>218</v>
      </c>
      <c r="C241" s="357">
        <f t="shared" si="74"/>
        <v>18</v>
      </c>
      <c r="D241" s="357">
        <f t="shared" si="75"/>
        <v>2</v>
      </c>
      <c r="E241" s="357">
        <f t="shared" si="76"/>
        <v>47</v>
      </c>
      <c r="F241" s="356">
        <f t="shared" si="68"/>
        <v>407235.77510239166</v>
      </c>
      <c r="H241" s="356">
        <f t="shared" si="64"/>
        <v>3247.3552583399423</v>
      </c>
      <c r="I241" s="356">
        <v>0</v>
      </c>
      <c r="J241" s="356">
        <v>0</v>
      </c>
      <c r="K241" s="356">
        <f t="shared" si="69"/>
        <v>-410.48313036073165</v>
      </c>
      <c r="L241" s="356">
        <f t="shared" si="65"/>
        <v>410072.6472303709</v>
      </c>
      <c r="N241" s="356">
        <f t="shared" si="70"/>
        <v>218</v>
      </c>
      <c r="O241" s="357">
        <f t="shared" si="77"/>
        <v>18</v>
      </c>
      <c r="P241" s="357">
        <f t="shared" si="78"/>
        <v>2</v>
      </c>
      <c r="Q241" s="357">
        <f t="shared" si="79"/>
        <v>18</v>
      </c>
      <c r="R241" s="356">
        <f t="shared" si="71"/>
        <v>4264277.311285825</v>
      </c>
      <c r="S241" s="356">
        <f>IF($G$4="mensual",S240,0)</f>
        <v>10000</v>
      </c>
      <c r="U241" s="356">
        <f t="shared" si="80"/>
        <v>34083.68751227038</v>
      </c>
      <c r="V241" s="359">
        <f t="shared" ref="V241:V304" si="82">V240</f>
        <v>-154.36721847184418</v>
      </c>
      <c r="X241" s="359">
        <f t="shared" si="81"/>
        <v>-4308.360998798095</v>
      </c>
      <c r="Y241" s="356">
        <f t="shared" si="66"/>
        <v>4303898.270580825</v>
      </c>
      <c r="AA241" s="357">
        <f>+Bono!J241</f>
        <v>235804.8242397673</v>
      </c>
      <c r="AC241" s="378">
        <f t="shared" si="72"/>
        <v>18.166666666666668</v>
      </c>
      <c r="AD241" s="356">
        <f t="shared" si="73"/>
        <v>4949775.742050963</v>
      </c>
    </row>
    <row r="242" spans="2:30" x14ac:dyDescent="0.25">
      <c r="B242" s="356">
        <f t="shared" si="67"/>
        <v>219</v>
      </c>
      <c r="C242" s="357">
        <f t="shared" si="74"/>
        <v>18</v>
      </c>
      <c r="D242" s="357">
        <f t="shared" si="75"/>
        <v>3</v>
      </c>
      <c r="E242" s="357">
        <f t="shared" si="76"/>
        <v>47</v>
      </c>
      <c r="F242" s="356">
        <f t="shared" si="68"/>
        <v>410072.6472303709</v>
      </c>
      <c r="H242" s="356">
        <f t="shared" si="64"/>
        <v>3269.976875067292</v>
      </c>
      <c r="I242" s="356">
        <v>0</v>
      </c>
      <c r="J242" s="360">
        <f>-SUM(F242:H242)*$J$21</f>
        <v>-3720.083616948944</v>
      </c>
      <c r="K242" s="356">
        <f t="shared" si="69"/>
        <v>-409.6225404884893</v>
      </c>
      <c r="L242" s="356">
        <f t="shared" si="65"/>
        <v>409212.9179480008</v>
      </c>
      <c r="N242" s="356">
        <f t="shared" si="70"/>
        <v>219</v>
      </c>
      <c r="O242" s="357">
        <f t="shared" si="77"/>
        <v>18</v>
      </c>
      <c r="P242" s="357">
        <f t="shared" si="78"/>
        <v>3</v>
      </c>
      <c r="Q242" s="357">
        <f t="shared" si="79"/>
        <v>18</v>
      </c>
      <c r="R242" s="356">
        <f t="shared" si="71"/>
        <v>4303898.270580825</v>
      </c>
      <c r="S242" s="356">
        <f>IF($G$4="mensual",S241,0)</f>
        <v>10000</v>
      </c>
      <c r="U242" s="356">
        <f t="shared" si="80"/>
        <v>34399.63060561659</v>
      </c>
      <c r="V242" s="359">
        <f t="shared" si="82"/>
        <v>-154.36721847184418</v>
      </c>
      <c r="X242" s="359">
        <f t="shared" si="81"/>
        <v>-4348.297901186442</v>
      </c>
      <c r="Y242" s="356">
        <f t="shared" si="66"/>
        <v>4343795.236066784</v>
      </c>
      <c r="AA242" s="357">
        <f>+Bono!J242</f>
        <v>235129.30238909242</v>
      </c>
      <c r="AC242" s="378">
        <f t="shared" si="72"/>
        <v>18.25</v>
      </c>
      <c r="AD242" s="356">
        <f t="shared" si="73"/>
        <v>4988137.456403878</v>
      </c>
    </row>
    <row r="243" spans="2:30" x14ac:dyDescent="0.25">
      <c r="B243" s="356">
        <f t="shared" si="67"/>
        <v>220</v>
      </c>
      <c r="C243" s="357">
        <f t="shared" si="74"/>
        <v>18</v>
      </c>
      <c r="D243" s="357">
        <f t="shared" si="75"/>
        <v>4</v>
      </c>
      <c r="E243" s="357">
        <f t="shared" si="76"/>
        <v>47</v>
      </c>
      <c r="F243" s="356">
        <f t="shared" si="68"/>
        <v>409212.9179480008</v>
      </c>
      <c r="H243" s="356">
        <f t="shared" si="64"/>
        <v>3263.121273038832</v>
      </c>
      <c r="I243" s="356">
        <v>0</v>
      </c>
      <c r="J243" s="356">
        <v>0</v>
      </c>
      <c r="K243" s="356">
        <f t="shared" si="69"/>
        <v>-412.4760392210396</v>
      </c>
      <c r="L243" s="356">
        <f t="shared" si="65"/>
        <v>412063.5631818186</v>
      </c>
      <c r="N243" s="356">
        <f t="shared" si="70"/>
        <v>220</v>
      </c>
      <c r="O243" s="357">
        <f t="shared" si="77"/>
        <v>18</v>
      </c>
      <c r="P243" s="357">
        <f t="shared" si="78"/>
        <v>4</v>
      </c>
      <c r="Q243" s="357">
        <f t="shared" si="79"/>
        <v>18</v>
      </c>
      <c r="R243" s="356">
        <f t="shared" si="71"/>
        <v>4343795.236066784</v>
      </c>
      <c r="S243" s="356">
        <f>IF($G$4="mensual",S240,IF($G$4="trimestral",S240,0))</f>
        <v>10000</v>
      </c>
      <c r="U243" s="356">
        <f t="shared" si="80"/>
        <v>34717.774611088746</v>
      </c>
      <c r="V243" s="359">
        <f t="shared" si="82"/>
        <v>-154.36721847184418</v>
      </c>
      <c r="X243" s="359">
        <f t="shared" si="81"/>
        <v>-4388.513010677872</v>
      </c>
      <c r="Y243" s="356">
        <f t="shared" si="66"/>
        <v>4383970.130448722</v>
      </c>
      <c r="AA243" s="357">
        <f>+Bono!J243</f>
        <v>236587.13133721577</v>
      </c>
      <c r="AC243" s="378">
        <f t="shared" si="72"/>
        <v>18.333333333333332</v>
      </c>
      <c r="AD243" s="356">
        <f t="shared" si="73"/>
        <v>5032620.824967757</v>
      </c>
    </row>
    <row r="244" spans="2:30" x14ac:dyDescent="0.25">
      <c r="B244" s="356">
        <f t="shared" si="67"/>
        <v>221</v>
      </c>
      <c r="C244" s="357">
        <f t="shared" si="74"/>
        <v>18</v>
      </c>
      <c r="D244" s="357">
        <f t="shared" si="75"/>
        <v>5</v>
      </c>
      <c r="E244" s="357">
        <f t="shared" si="76"/>
        <v>47</v>
      </c>
      <c r="F244" s="356">
        <f t="shared" si="68"/>
        <v>412063.5631818186</v>
      </c>
      <c r="H244" s="356">
        <f t="shared" si="64"/>
        <v>3285.85271844628</v>
      </c>
      <c r="I244" s="356">
        <v>0</v>
      </c>
      <c r="J244" s="356">
        <v>0</v>
      </c>
      <c r="K244" s="356">
        <f t="shared" si="69"/>
        <v>-415.3494159002649</v>
      </c>
      <c r="L244" s="356">
        <f t="shared" si="65"/>
        <v>414934.0664843646</v>
      </c>
      <c r="N244" s="356">
        <f t="shared" si="70"/>
        <v>221</v>
      </c>
      <c r="O244" s="357">
        <f t="shared" si="77"/>
        <v>18</v>
      </c>
      <c r="P244" s="357">
        <f t="shared" si="78"/>
        <v>5</v>
      </c>
      <c r="Q244" s="357">
        <f t="shared" si="79"/>
        <v>18</v>
      </c>
      <c r="R244" s="356">
        <f t="shared" si="71"/>
        <v>4383970.130448722</v>
      </c>
      <c r="S244" s="356">
        <f>IF($G$4="mensual",S243,0)</f>
        <v>10000</v>
      </c>
      <c r="U244" s="356">
        <f t="shared" si="80"/>
        <v>35038.134860606704</v>
      </c>
      <c r="V244" s="359">
        <f t="shared" si="82"/>
        <v>-154.36721847184418</v>
      </c>
      <c r="X244" s="359">
        <f t="shared" si="81"/>
        <v>-4429.0082653093295</v>
      </c>
      <c r="Y244" s="356">
        <f t="shared" si="66"/>
        <v>4424424.889825548</v>
      </c>
      <c r="AA244" s="357">
        <f>+Bono!J244</f>
        <v>238053.9989939152</v>
      </c>
      <c r="AC244" s="378">
        <f t="shared" si="72"/>
        <v>18.416666666666668</v>
      </c>
      <c r="AD244" s="356">
        <f t="shared" si="73"/>
        <v>5077412.955303828</v>
      </c>
    </row>
    <row r="245" spans="2:30" x14ac:dyDescent="0.25">
      <c r="B245" s="356">
        <f t="shared" si="67"/>
        <v>222</v>
      </c>
      <c r="C245" s="357">
        <f t="shared" si="74"/>
        <v>18</v>
      </c>
      <c r="D245" s="357">
        <f t="shared" si="75"/>
        <v>6</v>
      </c>
      <c r="E245" s="357">
        <f t="shared" si="76"/>
        <v>47</v>
      </c>
      <c r="F245" s="356">
        <f t="shared" si="68"/>
        <v>414934.0664843646</v>
      </c>
      <c r="H245" s="356">
        <f t="shared" si="64"/>
        <v>3308.7425148824145</v>
      </c>
      <c r="I245" s="356">
        <v>0</v>
      </c>
      <c r="J245" s="360">
        <f>-SUM(F245:H245)*$J$21</f>
        <v>-3764.185280993224</v>
      </c>
      <c r="K245" s="356">
        <f t="shared" si="69"/>
        <v>-414.4786237182538</v>
      </c>
      <c r="L245" s="356">
        <f t="shared" si="65"/>
        <v>414064.14509453555</v>
      </c>
      <c r="N245" s="356">
        <f t="shared" si="70"/>
        <v>222</v>
      </c>
      <c r="O245" s="357">
        <f t="shared" si="77"/>
        <v>18</v>
      </c>
      <c r="P245" s="357">
        <f t="shared" si="78"/>
        <v>6</v>
      </c>
      <c r="Q245" s="357">
        <f t="shared" si="79"/>
        <v>18</v>
      </c>
      <c r="R245" s="356">
        <f t="shared" si="71"/>
        <v>4424424.889825548</v>
      </c>
      <c r="S245" s="356">
        <f>IF($G$4="mensual",S244,0)</f>
        <v>10000</v>
      </c>
      <c r="U245" s="356">
        <f t="shared" si="80"/>
        <v>35360.726792895024</v>
      </c>
      <c r="V245" s="359">
        <f t="shared" si="82"/>
        <v>-154.36721847184418</v>
      </c>
      <c r="X245" s="359">
        <f t="shared" si="81"/>
        <v>-4469.785616618444</v>
      </c>
      <c r="Y245" s="356">
        <f t="shared" si="66"/>
        <v>4465161.463783353</v>
      </c>
      <c r="AA245" s="357">
        <f>+Bono!J245</f>
        <v>237372.03382005</v>
      </c>
      <c r="AC245" s="378">
        <f t="shared" si="72"/>
        <v>18.5</v>
      </c>
      <c r="AD245" s="356">
        <f t="shared" si="73"/>
        <v>5116597.642697938</v>
      </c>
    </row>
    <row r="246" spans="2:30" x14ac:dyDescent="0.25">
      <c r="B246" s="356">
        <f t="shared" si="67"/>
        <v>223</v>
      </c>
      <c r="C246" s="357">
        <f t="shared" si="74"/>
        <v>18</v>
      </c>
      <c r="D246" s="357">
        <f t="shared" si="75"/>
        <v>7</v>
      </c>
      <c r="E246" s="357">
        <f t="shared" si="76"/>
        <v>47</v>
      </c>
      <c r="F246" s="356">
        <f t="shared" si="68"/>
        <v>414064.14509453555</v>
      </c>
      <c r="H246" s="356">
        <f t="shared" si="64"/>
        <v>3301.80563955781</v>
      </c>
      <c r="I246" s="356">
        <v>0</v>
      </c>
      <c r="J246" s="356">
        <v>0</v>
      </c>
      <c r="K246" s="356">
        <f t="shared" si="69"/>
        <v>-417.36595073409336</v>
      </c>
      <c r="L246" s="356">
        <f t="shared" si="65"/>
        <v>416948.58478335926</v>
      </c>
      <c r="N246" s="356">
        <f t="shared" si="70"/>
        <v>223</v>
      </c>
      <c r="O246" s="357">
        <f t="shared" si="77"/>
        <v>18</v>
      </c>
      <c r="P246" s="357">
        <f t="shared" si="78"/>
        <v>7</v>
      </c>
      <c r="Q246" s="357">
        <f t="shared" si="79"/>
        <v>18</v>
      </c>
      <c r="R246" s="356">
        <f t="shared" si="71"/>
        <v>4465161.463783353</v>
      </c>
      <c r="S246" s="356">
        <f>+IF($G$4="mensual",S240,IF($G$4="trimestral",S240,IF($G$4="semestral",S240,0)))</f>
        <v>10000</v>
      </c>
      <c r="U246" s="356">
        <f t="shared" si="80"/>
        <v>35685.56595422698</v>
      </c>
      <c r="V246" s="359">
        <f t="shared" si="82"/>
        <v>-154.36721847184418</v>
      </c>
      <c r="X246" s="359">
        <f t="shared" si="81"/>
        <v>-4510.84702973758</v>
      </c>
      <c r="Y246" s="356">
        <f t="shared" si="66"/>
        <v>4506181.81548937</v>
      </c>
      <c r="AA246" s="357">
        <f>+Bono!J246</f>
        <v>238843.76796318605</v>
      </c>
      <c r="AC246" s="378">
        <f t="shared" si="72"/>
        <v>18.583333333333332</v>
      </c>
      <c r="AD246" s="356">
        <f t="shared" si="73"/>
        <v>5161974.168235916</v>
      </c>
    </row>
    <row r="247" spans="2:30" x14ac:dyDescent="0.25">
      <c r="B247" s="356">
        <f t="shared" si="67"/>
        <v>224</v>
      </c>
      <c r="C247" s="357">
        <f t="shared" si="74"/>
        <v>18</v>
      </c>
      <c r="D247" s="357">
        <f t="shared" si="75"/>
        <v>8</v>
      </c>
      <c r="E247" s="357">
        <f t="shared" si="76"/>
        <v>47</v>
      </c>
      <c r="F247" s="356">
        <f t="shared" si="68"/>
        <v>416948.58478335926</v>
      </c>
      <c r="H247" s="356">
        <f t="shared" si="64"/>
        <v>3324.806566695194</v>
      </c>
      <c r="I247" s="356">
        <v>0</v>
      </c>
      <c r="J247" s="356">
        <v>0</v>
      </c>
      <c r="K247" s="356">
        <f t="shared" si="69"/>
        <v>-420.2733913500545</v>
      </c>
      <c r="L247" s="356">
        <f t="shared" si="65"/>
        <v>419853.1179587044</v>
      </c>
      <c r="N247" s="356">
        <f t="shared" si="70"/>
        <v>224</v>
      </c>
      <c r="O247" s="357">
        <f t="shared" si="77"/>
        <v>18</v>
      </c>
      <c r="P247" s="357">
        <f t="shared" si="78"/>
        <v>8</v>
      </c>
      <c r="Q247" s="357">
        <f t="shared" si="79"/>
        <v>18</v>
      </c>
      <c r="R247" s="356">
        <f t="shared" si="71"/>
        <v>4506181.81548937</v>
      </c>
      <c r="S247" s="356">
        <f>IF($G$4="mensual",S246,0)</f>
        <v>10000</v>
      </c>
      <c r="U247" s="356">
        <f t="shared" si="80"/>
        <v>36012.66799917379</v>
      </c>
      <c r="V247" s="359">
        <f t="shared" si="82"/>
        <v>-154.36721847184418</v>
      </c>
      <c r="X247" s="359">
        <f t="shared" si="81"/>
        <v>-4552.194483488544</v>
      </c>
      <c r="Y247" s="356">
        <f t="shared" si="66"/>
        <v>4547487.921786583</v>
      </c>
      <c r="AA247" s="357">
        <f>+Bono!J247</f>
        <v>240324.62702872013</v>
      </c>
      <c r="AC247" s="378">
        <f t="shared" si="72"/>
        <v>18.666666666666668</v>
      </c>
      <c r="AD247" s="356">
        <f t="shared" si="73"/>
        <v>5207665.6667740075</v>
      </c>
    </row>
    <row r="248" spans="2:30" x14ac:dyDescent="0.25">
      <c r="B248" s="356">
        <f t="shared" si="67"/>
        <v>225</v>
      </c>
      <c r="C248" s="357">
        <f t="shared" si="74"/>
        <v>18</v>
      </c>
      <c r="D248" s="357">
        <f t="shared" si="75"/>
        <v>9</v>
      </c>
      <c r="E248" s="357">
        <f t="shared" si="76"/>
        <v>47</v>
      </c>
      <c r="F248" s="356">
        <f t="shared" si="68"/>
        <v>419853.1179587044</v>
      </c>
      <c r="H248" s="356">
        <f t="shared" si="64"/>
        <v>3347.967722115806</v>
      </c>
      <c r="I248" s="356">
        <v>0</v>
      </c>
      <c r="J248" s="360">
        <f>-SUM(F248:H248)*$J$21</f>
        <v>-3808.8097711273826</v>
      </c>
      <c r="K248" s="356">
        <f t="shared" si="69"/>
        <v>-419.3922759096929</v>
      </c>
      <c r="L248" s="356">
        <f t="shared" si="65"/>
        <v>418972.88363378315</v>
      </c>
      <c r="N248" s="356">
        <f t="shared" si="70"/>
        <v>225</v>
      </c>
      <c r="O248" s="357">
        <f t="shared" si="77"/>
        <v>18</v>
      </c>
      <c r="P248" s="357">
        <f t="shared" si="78"/>
        <v>9</v>
      </c>
      <c r="Q248" s="357">
        <f t="shared" si="79"/>
        <v>18</v>
      </c>
      <c r="R248" s="356">
        <f t="shared" si="71"/>
        <v>4547487.921786583</v>
      </c>
      <c r="S248" s="356">
        <f>IF($G$4="mensual",S247,0)</f>
        <v>10000</v>
      </c>
      <c r="U248" s="356">
        <f t="shared" si="80"/>
        <v>36342.04869135899</v>
      </c>
      <c r="V248" s="359">
        <f t="shared" si="82"/>
        <v>-154.36721847184418</v>
      </c>
      <c r="X248" s="359">
        <f t="shared" si="81"/>
        <v>-4593.829970477943</v>
      </c>
      <c r="Y248" s="356">
        <f t="shared" si="66"/>
        <v>4589081.773288992</v>
      </c>
      <c r="AA248" s="357">
        <f>+Bono!J248</f>
        <v>239636.1570733806</v>
      </c>
      <c r="AC248" s="378">
        <f t="shared" si="72"/>
        <v>18.75</v>
      </c>
      <c r="AD248" s="356">
        <f t="shared" si="73"/>
        <v>5247690.813996156</v>
      </c>
    </row>
    <row r="249" spans="2:30" x14ac:dyDescent="0.25">
      <c r="B249" s="356">
        <f t="shared" si="67"/>
        <v>226</v>
      </c>
      <c r="C249" s="357">
        <f t="shared" si="74"/>
        <v>18</v>
      </c>
      <c r="D249" s="357">
        <f t="shared" si="75"/>
        <v>10</v>
      </c>
      <c r="E249" s="357">
        <f t="shared" si="76"/>
        <v>47</v>
      </c>
      <c r="F249" s="356">
        <f t="shared" si="68"/>
        <v>418972.88363378315</v>
      </c>
      <c r="H249" s="356">
        <f t="shared" si="64"/>
        <v>3340.9486099985425</v>
      </c>
      <c r="I249" s="356">
        <v>0</v>
      </c>
      <c r="J249" s="356">
        <v>0</v>
      </c>
      <c r="K249" s="356">
        <f t="shared" si="69"/>
        <v>-422.31383224378175</v>
      </c>
      <c r="L249" s="356">
        <f t="shared" si="65"/>
        <v>421891.5184115379</v>
      </c>
      <c r="N249" s="356">
        <f t="shared" si="70"/>
        <v>226</v>
      </c>
      <c r="O249" s="357">
        <f t="shared" si="77"/>
        <v>18</v>
      </c>
      <c r="P249" s="357">
        <f t="shared" si="78"/>
        <v>10</v>
      </c>
      <c r="Q249" s="357">
        <f t="shared" si="79"/>
        <v>18</v>
      </c>
      <c r="R249" s="356">
        <f t="shared" si="71"/>
        <v>4589081.773288992</v>
      </c>
      <c r="S249" s="356">
        <f>IF($G$4="mensual",S240,IF($G$4="trimestral",S240,0))</f>
        <v>10000</v>
      </c>
      <c r="U249" s="356">
        <f t="shared" si="80"/>
        <v>36673.72390421817</v>
      </c>
      <c r="V249" s="359">
        <f t="shared" si="82"/>
        <v>-154.36721847184418</v>
      </c>
      <c r="X249" s="359">
        <f t="shared" si="81"/>
        <v>-4635.75549719321</v>
      </c>
      <c r="Y249" s="356">
        <f t="shared" si="66"/>
        <v>4630965.374477546</v>
      </c>
      <c r="AA249" s="357">
        <f>+Bono!J249</f>
        <v>241121.92904330933</v>
      </c>
      <c r="AC249" s="378">
        <f t="shared" si="72"/>
        <v>18.833333333333332</v>
      </c>
      <c r="AD249" s="356">
        <f t="shared" si="73"/>
        <v>5293978.821932393</v>
      </c>
    </row>
    <row r="250" spans="2:30" x14ac:dyDescent="0.25">
      <c r="B250" s="356">
        <f t="shared" si="67"/>
        <v>227</v>
      </c>
      <c r="C250" s="357">
        <f t="shared" si="74"/>
        <v>18</v>
      </c>
      <c r="D250" s="357">
        <f t="shared" si="75"/>
        <v>11</v>
      </c>
      <c r="E250" s="357">
        <f t="shared" si="76"/>
        <v>47</v>
      </c>
      <c r="F250" s="356">
        <f t="shared" si="68"/>
        <v>421891.5184115379</v>
      </c>
      <c r="H250" s="356">
        <f t="shared" si="64"/>
        <v>3364.222213577041</v>
      </c>
      <c r="I250" s="356">
        <v>0</v>
      </c>
      <c r="J250" s="356">
        <v>0</v>
      </c>
      <c r="K250" s="356">
        <f t="shared" si="69"/>
        <v>-425.2557406251149</v>
      </c>
      <c r="L250" s="356">
        <f t="shared" si="65"/>
        <v>424830.4848844898</v>
      </c>
      <c r="N250" s="356">
        <f t="shared" si="70"/>
        <v>227</v>
      </c>
      <c r="O250" s="357">
        <f t="shared" si="77"/>
        <v>18</v>
      </c>
      <c r="P250" s="357">
        <f t="shared" si="78"/>
        <v>11</v>
      </c>
      <c r="Q250" s="357">
        <f t="shared" si="79"/>
        <v>18</v>
      </c>
      <c r="R250" s="356">
        <f t="shared" si="71"/>
        <v>4630965.374477546</v>
      </c>
      <c r="S250" s="356">
        <f>IF($G$17="si",S238*(1+$G$20),S238)</f>
        <v>10000</v>
      </c>
      <c r="U250" s="356">
        <f t="shared" si="80"/>
        <v>37007.7096217639</v>
      </c>
      <c r="V250" s="359">
        <f t="shared" si="82"/>
        <v>-154.36721847184418</v>
      </c>
      <c r="X250" s="359">
        <f t="shared" si="81"/>
        <v>-4677.97308409931</v>
      </c>
      <c r="Y250" s="356">
        <f t="shared" si="66"/>
        <v>4673140.743796738</v>
      </c>
      <c r="AA250" s="357">
        <f>+Bono!J250</f>
        <v>242616.9129717905</v>
      </c>
      <c r="AC250" s="378">
        <f t="shared" si="72"/>
        <v>18.916666666666668</v>
      </c>
      <c r="AD250" s="356">
        <f t="shared" si="73"/>
        <v>5340588.141653018</v>
      </c>
    </row>
    <row r="251" spans="2:30" x14ac:dyDescent="0.25">
      <c r="B251" s="356">
        <f t="shared" si="67"/>
        <v>228</v>
      </c>
      <c r="C251" s="357">
        <f t="shared" si="74"/>
        <v>18</v>
      </c>
      <c r="D251" s="357">
        <f t="shared" si="75"/>
        <v>12</v>
      </c>
      <c r="E251" s="357">
        <f t="shared" si="76"/>
        <v>47</v>
      </c>
      <c r="F251" s="356">
        <f t="shared" si="68"/>
        <v>424830.4848844898</v>
      </c>
      <c r="H251" s="356">
        <f t="shared" si="64"/>
        <v>3387.6579449481997</v>
      </c>
      <c r="I251" s="356">
        <v>0</v>
      </c>
      <c r="J251" s="360">
        <f>-SUM(F251:H251)*$J$21</f>
        <v>-3853.963285464942</v>
      </c>
      <c r="K251" s="356">
        <f t="shared" si="69"/>
        <v>-424.364179543973</v>
      </c>
      <c r="L251" s="356">
        <f t="shared" si="65"/>
        <v>423939.815364429</v>
      </c>
      <c r="N251" s="356">
        <f t="shared" si="70"/>
        <v>228</v>
      </c>
      <c r="O251" s="357">
        <f t="shared" si="77"/>
        <v>18</v>
      </c>
      <c r="P251" s="357">
        <f t="shared" si="78"/>
        <v>12</v>
      </c>
      <c r="Q251" s="357">
        <f t="shared" si="79"/>
        <v>18</v>
      </c>
      <c r="R251" s="356">
        <f t="shared" si="71"/>
        <v>4673140.743796738</v>
      </c>
      <c r="S251" s="356">
        <f>IF($G$4="mensual",S250,0)</f>
        <v>10000</v>
      </c>
      <c r="U251" s="356">
        <f t="shared" si="80"/>
        <v>37344.02193935601</v>
      </c>
      <c r="V251" s="359">
        <f t="shared" si="82"/>
        <v>-154.36721847184418</v>
      </c>
      <c r="X251" s="359">
        <f t="shared" si="81"/>
        <v>-4720.484765736094</v>
      </c>
      <c r="Y251" s="356">
        <f t="shared" si="66"/>
        <v>4715609.913751885</v>
      </c>
      <c r="AA251" s="357">
        <f>+Bono!J251</f>
        <v>241921.87619048578</v>
      </c>
      <c r="AC251" s="378">
        <f t="shared" si="72"/>
        <v>19</v>
      </c>
      <c r="AD251" s="356">
        <f t="shared" si="73"/>
        <v>5381471.6053067995</v>
      </c>
    </row>
    <row r="252" spans="2:30" x14ac:dyDescent="0.25">
      <c r="B252" s="356">
        <f t="shared" si="67"/>
        <v>229</v>
      </c>
      <c r="C252" s="357">
        <f t="shared" si="74"/>
        <v>19</v>
      </c>
      <c r="D252" s="357">
        <f t="shared" si="75"/>
        <v>1</v>
      </c>
      <c r="E252" s="357">
        <f t="shared" si="76"/>
        <v>48</v>
      </c>
      <c r="F252" s="356">
        <f t="shared" si="68"/>
        <v>423939.815364429</v>
      </c>
      <c r="H252" s="356">
        <f t="shared" si="64"/>
        <v>3380.5556211194908</v>
      </c>
      <c r="I252" s="356">
        <v>0</v>
      </c>
      <c r="J252" s="356">
        <v>0</v>
      </c>
      <c r="K252" s="356">
        <f t="shared" si="69"/>
        <v>-427.32037098554855</v>
      </c>
      <c r="L252" s="356">
        <f t="shared" si="65"/>
        <v>426893.050614563</v>
      </c>
      <c r="N252" s="356">
        <f t="shared" si="70"/>
        <v>229</v>
      </c>
      <c r="O252" s="357">
        <f t="shared" si="77"/>
        <v>19</v>
      </c>
      <c r="P252" s="357">
        <f t="shared" si="78"/>
        <v>1</v>
      </c>
      <c r="Q252" s="357">
        <f t="shared" si="79"/>
        <v>19</v>
      </c>
      <c r="R252" s="356">
        <f t="shared" si="71"/>
        <v>4715609.913751885</v>
      </c>
      <c r="S252" s="356">
        <f>IF($G$17="si",S240*(1+$G$20),S240)</f>
        <v>10000</v>
      </c>
      <c r="U252" s="356">
        <f t="shared" si="80"/>
        <v>37682.67706447734</v>
      </c>
      <c r="V252" s="359">
        <f>(V251*(1+$G$18))</f>
        <v>-160.54190721071797</v>
      </c>
      <c r="X252" s="359">
        <f t="shared" si="81"/>
        <v>-4763.2925908163625</v>
      </c>
      <c r="Y252" s="356">
        <f t="shared" si="66"/>
        <v>4758368.756318335</v>
      </c>
      <c r="AA252" s="357">
        <f>+Bono!J252</f>
        <v>243421.81988406755</v>
      </c>
      <c r="AC252" s="378">
        <f t="shared" si="72"/>
        <v>19.083333333333332</v>
      </c>
      <c r="AD252" s="356">
        <f t="shared" si="73"/>
        <v>5428683.626816966</v>
      </c>
    </row>
    <row r="253" spans="2:30" x14ac:dyDescent="0.25">
      <c r="B253" s="356">
        <f t="shared" si="67"/>
        <v>230</v>
      </c>
      <c r="C253" s="357">
        <f t="shared" si="74"/>
        <v>19</v>
      </c>
      <c r="D253" s="357">
        <f t="shared" si="75"/>
        <v>2</v>
      </c>
      <c r="E253" s="357">
        <f t="shared" si="76"/>
        <v>48</v>
      </c>
      <c r="F253" s="356">
        <f t="shared" si="68"/>
        <v>426893.050614563</v>
      </c>
      <c r="H253" s="356">
        <f t="shared" si="64"/>
        <v>3404.1051337236477</v>
      </c>
      <c r="I253" s="356">
        <v>0</v>
      </c>
      <c r="J253" s="356">
        <v>0</v>
      </c>
      <c r="K253" s="356">
        <f t="shared" si="69"/>
        <v>-430.2971557482866</v>
      </c>
      <c r="L253" s="356">
        <f t="shared" si="65"/>
        <v>429866.85859253834</v>
      </c>
      <c r="N253" s="356">
        <f t="shared" si="70"/>
        <v>230</v>
      </c>
      <c r="O253" s="357">
        <f t="shared" si="77"/>
        <v>19</v>
      </c>
      <c r="P253" s="357">
        <f t="shared" si="78"/>
        <v>2</v>
      </c>
      <c r="Q253" s="357">
        <f t="shared" si="79"/>
        <v>19</v>
      </c>
      <c r="R253" s="356">
        <f t="shared" si="71"/>
        <v>4758368.756318335</v>
      </c>
      <c r="S253" s="356">
        <f>IF($G$4="mensual",S252,0)</f>
        <v>10000</v>
      </c>
      <c r="U253" s="356">
        <f t="shared" si="80"/>
        <v>38023.6420796796</v>
      </c>
      <c r="V253" s="359">
        <f t="shared" si="82"/>
        <v>-160.54190721071797</v>
      </c>
      <c r="X253" s="359">
        <f t="shared" si="81"/>
        <v>-4806.392398398015</v>
      </c>
      <c r="Y253" s="356">
        <f t="shared" si="66"/>
        <v>4801425.4640924055</v>
      </c>
      <c r="AA253" s="357">
        <f>+Bono!J253</f>
        <v>244931.06340253225</v>
      </c>
      <c r="AC253" s="378">
        <f t="shared" si="72"/>
        <v>19.166666666666668</v>
      </c>
      <c r="AD253" s="356">
        <f t="shared" si="73"/>
        <v>5476223.386087476</v>
      </c>
    </row>
    <row r="254" spans="2:30" x14ac:dyDescent="0.25">
      <c r="B254" s="356">
        <f t="shared" si="67"/>
        <v>231</v>
      </c>
      <c r="C254" s="357">
        <f t="shared" si="74"/>
        <v>19</v>
      </c>
      <c r="D254" s="357">
        <f t="shared" si="75"/>
        <v>3</v>
      </c>
      <c r="E254" s="357">
        <f t="shared" si="76"/>
        <v>48</v>
      </c>
      <c r="F254" s="356">
        <f t="shared" si="68"/>
        <v>429866.85859253834</v>
      </c>
      <c r="H254" s="356">
        <f t="shared" si="64"/>
        <v>3427.8186961486176</v>
      </c>
      <c r="I254" s="356">
        <v>0</v>
      </c>
      <c r="J254" s="360">
        <f>-SUM(F254:H254)*$J$21</f>
        <v>-3899.652095598183</v>
      </c>
      <c r="K254" s="356">
        <f t="shared" si="69"/>
        <v>-429.3950251930888</v>
      </c>
      <c r="L254" s="356">
        <f t="shared" si="65"/>
        <v>428965.6301678957</v>
      </c>
      <c r="N254" s="356">
        <f t="shared" si="70"/>
        <v>231</v>
      </c>
      <c r="O254" s="357">
        <f t="shared" si="77"/>
        <v>19</v>
      </c>
      <c r="P254" s="357">
        <f t="shared" si="78"/>
        <v>3</v>
      </c>
      <c r="Q254" s="357">
        <f t="shared" si="79"/>
        <v>19</v>
      </c>
      <c r="R254" s="356">
        <f t="shared" si="71"/>
        <v>4801425.4640924055</v>
      </c>
      <c r="S254" s="356">
        <f>IF($G$4="mensual",S253,0)</f>
        <v>10000</v>
      </c>
      <c r="U254" s="356">
        <f t="shared" si="80"/>
        <v>38366.98231387631</v>
      </c>
      <c r="V254" s="359">
        <f t="shared" si="82"/>
        <v>-160.54190721071797</v>
      </c>
      <c r="X254" s="359">
        <f t="shared" si="81"/>
        <v>-4849.792446406282</v>
      </c>
      <c r="Y254" s="356">
        <f t="shared" si="66"/>
        <v>4844782.112052664</v>
      </c>
      <c r="AA254" s="357">
        <f>+Bono!J254</f>
        <v>244229.3971589731</v>
      </c>
      <c r="AC254" s="378">
        <f t="shared" si="72"/>
        <v>19.25</v>
      </c>
      <c r="AD254" s="356">
        <f t="shared" si="73"/>
        <v>5517977.139379533</v>
      </c>
    </row>
    <row r="255" spans="2:30" x14ac:dyDescent="0.25">
      <c r="B255" s="356">
        <f t="shared" si="67"/>
        <v>232</v>
      </c>
      <c r="C255" s="357">
        <f t="shared" si="74"/>
        <v>19</v>
      </c>
      <c r="D255" s="357">
        <f t="shared" si="75"/>
        <v>4</v>
      </c>
      <c r="E255" s="357">
        <f t="shared" si="76"/>
        <v>48</v>
      </c>
      <c r="F255" s="356">
        <f t="shared" si="68"/>
        <v>428965.6301678957</v>
      </c>
      <c r="H255" s="356">
        <f t="shared" si="64"/>
        <v>3420.632174131997</v>
      </c>
      <c r="I255" s="356">
        <v>0</v>
      </c>
      <c r="J255" s="356">
        <v>0</v>
      </c>
      <c r="K255" s="356">
        <f t="shared" si="69"/>
        <v>-432.3862623420277</v>
      </c>
      <c r="L255" s="356">
        <f t="shared" si="65"/>
        <v>431953.87607968564</v>
      </c>
      <c r="N255" s="356">
        <f t="shared" si="70"/>
        <v>232</v>
      </c>
      <c r="O255" s="357">
        <f t="shared" si="77"/>
        <v>19</v>
      </c>
      <c r="P255" s="357">
        <f t="shared" si="78"/>
        <v>4</v>
      </c>
      <c r="Q255" s="357">
        <f t="shared" si="79"/>
        <v>19</v>
      </c>
      <c r="R255" s="356">
        <f t="shared" si="71"/>
        <v>4844782.112052664</v>
      </c>
      <c r="S255" s="356">
        <f>IF($G$4="mensual",S252,IF($G$4="trimestral",S252,0))</f>
        <v>10000</v>
      </c>
      <c r="U255" s="356">
        <f t="shared" si="80"/>
        <v>38712.71431323796</v>
      </c>
      <c r="V255" s="359">
        <f t="shared" si="82"/>
        <v>-160.54190721071797</v>
      </c>
      <c r="X255" s="359">
        <f t="shared" si="81"/>
        <v>-4893.494826365903</v>
      </c>
      <c r="Y255" s="356">
        <f t="shared" si="66"/>
        <v>4888440.789632325</v>
      </c>
      <c r="AA255" s="357">
        <f>+Bono!J255</f>
        <v>245743.64775021537</v>
      </c>
      <c r="AC255" s="378">
        <f t="shared" si="72"/>
        <v>19.333333333333332</v>
      </c>
      <c r="AD255" s="356">
        <f t="shared" si="73"/>
        <v>5566138.313462227</v>
      </c>
    </row>
    <row r="256" spans="2:30" x14ac:dyDescent="0.25">
      <c r="B256" s="356">
        <f t="shared" si="67"/>
        <v>233</v>
      </c>
      <c r="C256" s="357">
        <f t="shared" si="74"/>
        <v>19</v>
      </c>
      <c r="D256" s="357">
        <f t="shared" si="75"/>
        <v>5</v>
      </c>
      <c r="E256" s="357">
        <f t="shared" si="76"/>
        <v>48</v>
      </c>
      <c r="F256" s="356">
        <f t="shared" si="68"/>
        <v>431953.87607968564</v>
      </c>
      <c r="H256" s="356">
        <f t="shared" si="64"/>
        <v>3444.4608666687077</v>
      </c>
      <c r="I256" s="356">
        <v>0</v>
      </c>
      <c r="J256" s="356">
        <v>0</v>
      </c>
      <c r="K256" s="356">
        <f t="shared" si="69"/>
        <v>-435.3983369463544</v>
      </c>
      <c r="L256" s="356">
        <f t="shared" si="65"/>
        <v>434962.938609408</v>
      </c>
      <c r="N256" s="356">
        <f t="shared" si="70"/>
        <v>233</v>
      </c>
      <c r="O256" s="357">
        <f t="shared" si="77"/>
        <v>19</v>
      </c>
      <c r="P256" s="357">
        <f t="shared" si="78"/>
        <v>5</v>
      </c>
      <c r="Q256" s="357">
        <f t="shared" si="79"/>
        <v>19</v>
      </c>
      <c r="R256" s="356">
        <f t="shared" si="71"/>
        <v>4888440.789632325</v>
      </c>
      <c r="S256" s="356">
        <f>IF($G$4="mensual",S255,0)</f>
        <v>10000</v>
      </c>
      <c r="U256" s="356">
        <f t="shared" si="80"/>
        <v>39060.8547391984</v>
      </c>
      <c r="V256" s="359">
        <f t="shared" si="82"/>
        <v>-160.54190721071797</v>
      </c>
      <c r="X256" s="359">
        <f t="shared" si="81"/>
        <v>-4937.501644371524</v>
      </c>
      <c r="Y256" s="356">
        <f t="shared" si="66"/>
        <v>4932403.600819942</v>
      </c>
      <c r="AA256" s="357">
        <f>+Bono!J256</f>
        <v>247267.28687076556</v>
      </c>
      <c r="AC256" s="378">
        <f t="shared" si="72"/>
        <v>19.416666666666668</v>
      </c>
      <c r="AD256" s="356">
        <f t="shared" si="73"/>
        <v>5614633.826300115</v>
      </c>
    </row>
    <row r="257" spans="2:30" x14ac:dyDescent="0.25">
      <c r="B257" s="356">
        <f t="shared" si="67"/>
        <v>234</v>
      </c>
      <c r="C257" s="357">
        <f t="shared" si="74"/>
        <v>19</v>
      </c>
      <c r="D257" s="357">
        <f t="shared" si="75"/>
        <v>6</v>
      </c>
      <c r="E257" s="357">
        <f t="shared" si="76"/>
        <v>48</v>
      </c>
      <c r="F257" s="356">
        <f t="shared" si="68"/>
        <v>434962.938609408</v>
      </c>
      <c r="H257" s="356">
        <f t="shared" si="64"/>
        <v>3468.4555538400664</v>
      </c>
      <c r="I257" s="356">
        <v>0</v>
      </c>
      <c r="J257" s="360">
        <f>-SUM(F257:H257)*$J$21</f>
        <v>-3945.882547469233</v>
      </c>
      <c r="K257" s="356">
        <f t="shared" si="69"/>
        <v>-434.4855116157789</v>
      </c>
      <c r="L257" s="356">
        <f t="shared" si="65"/>
        <v>434051.0261041631</v>
      </c>
      <c r="N257" s="356">
        <f t="shared" si="70"/>
        <v>234</v>
      </c>
      <c r="O257" s="357">
        <f t="shared" si="77"/>
        <v>19</v>
      </c>
      <c r="P257" s="357">
        <f t="shared" si="78"/>
        <v>6</v>
      </c>
      <c r="Q257" s="357">
        <f t="shared" si="79"/>
        <v>19</v>
      </c>
      <c r="R257" s="356">
        <f t="shared" si="71"/>
        <v>4932403.600819942</v>
      </c>
      <c r="S257" s="356">
        <f>IF($G$4="mensual",S256,0)</f>
        <v>10000</v>
      </c>
      <c r="U257" s="356">
        <f t="shared" si="80"/>
        <v>39411.42036925784</v>
      </c>
      <c r="V257" s="359">
        <f t="shared" si="82"/>
        <v>-160.54190721071797</v>
      </c>
      <c r="X257" s="359">
        <f t="shared" si="81"/>
        <v>-4981.8150211892</v>
      </c>
      <c r="Y257" s="356">
        <f t="shared" si="66"/>
        <v>4976672.6642608</v>
      </c>
      <c r="AA257" s="357">
        <f>+Bono!J257</f>
        <v>246558.9279312196</v>
      </c>
      <c r="AC257" s="378">
        <f t="shared" si="72"/>
        <v>19.5</v>
      </c>
      <c r="AD257" s="356">
        <f t="shared" si="73"/>
        <v>5657282.618296183</v>
      </c>
    </row>
    <row r="258" spans="2:30" x14ac:dyDescent="0.25">
      <c r="B258" s="356">
        <f t="shared" si="67"/>
        <v>235</v>
      </c>
      <c r="C258" s="357">
        <f t="shared" si="74"/>
        <v>19</v>
      </c>
      <c r="D258" s="357">
        <f t="shared" si="75"/>
        <v>7</v>
      </c>
      <c r="E258" s="357">
        <f t="shared" si="76"/>
        <v>48</v>
      </c>
      <c r="F258" s="356">
        <f t="shared" si="68"/>
        <v>434051.0261041631</v>
      </c>
      <c r="H258" s="356">
        <f t="shared" si="64"/>
        <v>3461.18383546437</v>
      </c>
      <c r="I258" s="356">
        <v>0</v>
      </c>
      <c r="J258" s="356">
        <v>0</v>
      </c>
      <c r="K258" s="356">
        <f t="shared" si="69"/>
        <v>-437.51220993962744</v>
      </c>
      <c r="L258" s="356">
        <f t="shared" si="65"/>
        <v>437074.6977296878</v>
      </c>
      <c r="N258" s="356">
        <f t="shared" si="70"/>
        <v>235</v>
      </c>
      <c r="O258" s="357">
        <f t="shared" si="77"/>
        <v>19</v>
      </c>
      <c r="P258" s="357">
        <f t="shared" si="78"/>
        <v>7</v>
      </c>
      <c r="Q258" s="357">
        <f t="shared" si="79"/>
        <v>19</v>
      </c>
      <c r="R258" s="356">
        <f t="shared" si="71"/>
        <v>4976672.6642608</v>
      </c>
      <c r="S258" s="356">
        <f>+IF($G$4="mensual",S252,IF($G$4="trimestral",S252,IF($G$4="semestral",S252,0)))</f>
        <v>10000</v>
      </c>
      <c r="U258" s="356">
        <f t="shared" si="80"/>
        <v>39764.42809779129</v>
      </c>
      <c r="V258" s="359">
        <f t="shared" si="82"/>
        <v>-160.54190721071797</v>
      </c>
      <c r="X258" s="359">
        <f t="shared" si="81"/>
        <v>-5026.437092358591</v>
      </c>
      <c r="Y258" s="356">
        <f t="shared" si="66"/>
        <v>5021250.113359022</v>
      </c>
      <c r="AA258" s="357">
        <f>+Bono!J258</f>
        <v>248087.62188345863</v>
      </c>
      <c r="AC258" s="378">
        <f t="shared" si="72"/>
        <v>19.583333333333332</v>
      </c>
      <c r="AD258" s="356">
        <f t="shared" si="73"/>
        <v>5706412.432972169</v>
      </c>
    </row>
    <row r="259" spans="2:30" x14ac:dyDescent="0.25">
      <c r="B259" s="356">
        <f t="shared" si="67"/>
        <v>236</v>
      </c>
      <c r="C259" s="357">
        <f t="shared" si="74"/>
        <v>19</v>
      </c>
      <c r="D259" s="357">
        <f t="shared" si="75"/>
        <v>8</v>
      </c>
      <c r="E259" s="357">
        <f t="shared" si="76"/>
        <v>48</v>
      </c>
      <c r="F259" s="356">
        <f t="shared" si="68"/>
        <v>437074.6977296878</v>
      </c>
      <c r="H259" s="356">
        <f t="shared" si="64"/>
        <v>3485.2950176171958</v>
      </c>
      <c r="I259" s="356">
        <v>0</v>
      </c>
      <c r="J259" s="356">
        <v>0</v>
      </c>
      <c r="K259" s="356">
        <f t="shared" si="69"/>
        <v>-440.559992747305</v>
      </c>
      <c r="L259" s="356">
        <f t="shared" si="65"/>
        <v>440119.43275455764</v>
      </c>
      <c r="N259" s="356">
        <f t="shared" si="70"/>
        <v>236</v>
      </c>
      <c r="O259" s="357">
        <f t="shared" si="77"/>
        <v>19</v>
      </c>
      <c r="P259" s="357">
        <f t="shared" si="78"/>
        <v>8</v>
      </c>
      <c r="Q259" s="357">
        <f t="shared" si="79"/>
        <v>19</v>
      </c>
      <c r="R259" s="356">
        <f t="shared" si="71"/>
        <v>5021250.113359022</v>
      </c>
      <c r="S259" s="356">
        <f>IF($G$4="mensual",S258,0)</f>
        <v>10000</v>
      </c>
      <c r="U259" s="356">
        <f t="shared" si="80"/>
        <v>40119.894936862824</v>
      </c>
      <c r="V259" s="359">
        <f t="shared" si="82"/>
        <v>-160.54190721071797</v>
      </c>
      <c r="X259" s="359">
        <f t="shared" si="81"/>
        <v>-5071.370008295885</v>
      </c>
      <c r="Y259" s="356">
        <f t="shared" si="66"/>
        <v>5066138.096380377</v>
      </c>
      <c r="AA259" s="357">
        <f>+Bono!J259</f>
        <v>249625.79391551908</v>
      </c>
      <c r="AC259" s="378">
        <f t="shared" si="72"/>
        <v>19.666666666666668</v>
      </c>
      <c r="AD259" s="356">
        <f t="shared" si="73"/>
        <v>5755883.323050454</v>
      </c>
    </row>
    <row r="260" spans="2:30" x14ac:dyDescent="0.25">
      <c r="B260" s="356">
        <f t="shared" si="67"/>
        <v>237</v>
      </c>
      <c r="C260" s="357">
        <f t="shared" si="74"/>
        <v>19</v>
      </c>
      <c r="D260" s="357">
        <f t="shared" si="75"/>
        <v>9</v>
      </c>
      <c r="E260" s="357">
        <f t="shared" si="76"/>
        <v>48</v>
      </c>
      <c r="F260" s="356">
        <f t="shared" si="68"/>
        <v>440119.43275455764</v>
      </c>
      <c r="H260" s="356">
        <f t="shared" si="64"/>
        <v>3509.57416227431</v>
      </c>
      <c r="I260" s="356">
        <v>0</v>
      </c>
      <c r="J260" s="360">
        <f>-SUM(F260:H260)*$J$21</f>
        <v>-3992.661062251488</v>
      </c>
      <c r="K260" s="356">
        <f t="shared" si="69"/>
        <v>-439.6363458545805</v>
      </c>
      <c r="L260" s="356">
        <f t="shared" si="65"/>
        <v>439196.7095087259</v>
      </c>
      <c r="N260" s="356">
        <f t="shared" si="70"/>
        <v>237</v>
      </c>
      <c r="O260" s="357">
        <f t="shared" si="77"/>
        <v>19</v>
      </c>
      <c r="P260" s="357">
        <f t="shared" si="78"/>
        <v>9</v>
      </c>
      <c r="Q260" s="357">
        <f t="shared" si="79"/>
        <v>19</v>
      </c>
      <c r="R260" s="356">
        <f t="shared" si="71"/>
        <v>5066138.096380377</v>
      </c>
      <c r="S260" s="356">
        <f>IF($G$4="mensual",S259,0)</f>
        <v>10000</v>
      </c>
      <c r="U260" s="356">
        <f t="shared" si="80"/>
        <v>40477.83801704536</v>
      </c>
      <c r="V260" s="359">
        <f t="shared" si="82"/>
        <v>-160.54190721071797</v>
      </c>
      <c r="X260" s="359">
        <f t="shared" si="81"/>
        <v>-5116.615934397423</v>
      </c>
      <c r="Y260" s="356">
        <f t="shared" si="66"/>
        <v>5111338.776555815</v>
      </c>
      <c r="AA260" s="357">
        <f>+Bono!J260</f>
        <v>248910.6784431124</v>
      </c>
      <c r="AC260" s="378">
        <f t="shared" si="72"/>
        <v>19.75</v>
      </c>
      <c r="AD260" s="356">
        <f t="shared" si="73"/>
        <v>5799446.164507654</v>
      </c>
    </row>
    <row r="261" spans="2:30" x14ac:dyDescent="0.25">
      <c r="B261" s="356">
        <f t="shared" si="67"/>
        <v>238</v>
      </c>
      <c r="C261" s="357">
        <f t="shared" si="74"/>
        <v>19</v>
      </c>
      <c r="D261" s="357">
        <f t="shared" si="75"/>
        <v>10</v>
      </c>
      <c r="E261" s="357">
        <f t="shared" si="76"/>
        <v>48</v>
      </c>
      <c r="F261" s="356">
        <f t="shared" si="68"/>
        <v>439196.7095087259</v>
      </c>
      <c r="H261" s="356">
        <f t="shared" si="64"/>
        <v>3502.2162375350335</v>
      </c>
      <c r="I261" s="356">
        <v>0</v>
      </c>
      <c r="J261" s="356">
        <v>0</v>
      </c>
      <c r="K261" s="356">
        <f t="shared" si="69"/>
        <v>-442.69892574626095</v>
      </c>
      <c r="L261" s="356">
        <f t="shared" si="65"/>
        <v>442256.2268205147</v>
      </c>
      <c r="N261" s="356">
        <f t="shared" si="70"/>
        <v>238</v>
      </c>
      <c r="O261" s="357">
        <f t="shared" si="77"/>
        <v>19</v>
      </c>
      <c r="P261" s="357">
        <f t="shared" si="78"/>
        <v>10</v>
      </c>
      <c r="Q261" s="357">
        <f t="shared" si="79"/>
        <v>19</v>
      </c>
      <c r="R261" s="356">
        <f t="shared" si="71"/>
        <v>5111338.776555815</v>
      </c>
      <c r="S261" s="356">
        <f>IF($G$4="mensual",S252,IF($G$4="trimestral",S252,0))</f>
        <v>10000</v>
      </c>
      <c r="U261" s="356">
        <f t="shared" si="80"/>
        <v>40838.27458824626</v>
      </c>
      <c r="V261" s="359">
        <f t="shared" si="82"/>
        <v>-160.54190721071797</v>
      </c>
      <c r="X261" s="359">
        <f t="shared" si="81"/>
        <v>-5162.177051144061</v>
      </c>
      <c r="Y261" s="356">
        <f t="shared" si="66"/>
        <v>5156854.332185706</v>
      </c>
      <c r="AA261" s="357">
        <f>+Bono!J261</f>
        <v>250453.95352131137</v>
      </c>
      <c r="AC261" s="378">
        <f t="shared" si="72"/>
        <v>19.833333333333332</v>
      </c>
      <c r="AD261" s="356">
        <f t="shared" si="73"/>
        <v>5849564.512527532</v>
      </c>
    </row>
    <row r="262" spans="2:30" x14ac:dyDescent="0.25">
      <c r="B262" s="356">
        <f t="shared" si="67"/>
        <v>239</v>
      </c>
      <c r="C262" s="357">
        <f t="shared" si="74"/>
        <v>19</v>
      </c>
      <c r="D262" s="357">
        <f t="shared" si="75"/>
        <v>11</v>
      </c>
      <c r="E262" s="357">
        <f t="shared" si="76"/>
        <v>48</v>
      </c>
      <c r="F262" s="356">
        <f t="shared" si="68"/>
        <v>442256.2268205147</v>
      </c>
      <c r="H262" s="356">
        <f t="shared" si="64"/>
        <v>3526.6132582238997</v>
      </c>
      <c r="I262" s="356">
        <v>0</v>
      </c>
      <c r="J262" s="356">
        <v>0</v>
      </c>
      <c r="K262" s="356">
        <f t="shared" si="69"/>
        <v>-445.7828400787386</v>
      </c>
      <c r="L262" s="356">
        <f t="shared" si="65"/>
        <v>445337.0572386599</v>
      </c>
      <c r="N262" s="356">
        <f t="shared" si="70"/>
        <v>239</v>
      </c>
      <c r="O262" s="357">
        <f t="shared" si="77"/>
        <v>19</v>
      </c>
      <c r="P262" s="357">
        <f t="shared" si="78"/>
        <v>11</v>
      </c>
      <c r="Q262" s="357">
        <f t="shared" si="79"/>
        <v>19</v>
      </c>
      <c r="R262" s="356">
        <f t="shared" si="71"/>
        <v>5156854.332185706</v>
      </c>
      <c r="S262" s="356">
        <f>IF($G$17="si",S250*(1+$G$20),S250)</f>
        <v>10000</v>
      </c>
      <c r="U262" s="356">
        <f t="shared" si="80"/>
        <v>41201.2220205386</v>
      </c>
      <c r="V262" s="359">
        <f t="shared" si="82"/>
        <v>-160.54190721071797</v>
      </c>
      <c r="X262" s="359">
        <f t="shared" si="81"/>
        <v>-5208.055554206245</v>
      </c>
      <c r="Y262" s="356">
        <f t="shared" si="66"/>
        <v>5202686.956744827</v>
      </c>
      <c r="AA262" s="357">
        <f>+Bono!J262</f>
        <v>252006.797084004</v>
      </c>
      <c r="AC262" s="378">
        <f t="shared" si="72"/>
        <v>19.916666666666668</v>
      </c>
      <c r="AD262" s="356">
        <f t="shared" si="73"/>
        <v>5900030.811067491</v>
      </c>
    </row>
    <row r="263" spans="2:30" x14ac:dyDescent="0.25">
      <c r="B263" s="356">
        <f t="shared" si="67"/>
        <v>240</v>
      </c>
      <c r="C263" s="357">
        <f t="shared" si="74"/>
        <v>19</v>
      </c>
      <c r="D263" s="357">
        <f t="shared" si="75"/>
        <v>12</v>
      </c>
      <c r="E263" s="357">
        <f t="shared" si="76"/>
        <v>48</v>
      </c>
      <c r="F263" s="356">
        <f t="shared" si="68"/>
        <v>445337.0572386599</v>
      </c>
      <c r="H263" s="356">
        <f t="shared" si="64"/>
        <v>3551.1802326158277</v>
      </c>
      <c r="I263" s="356">
        <v>0</v>
      </c>
      <c r="J263" s="360">
        <f>-SUM(F263:H263)*$J$21</f>
        <v>-4039.994137241482</v>
      </c>
      <c r="K263" s="356">
        <f t="shared" si="69"/>
        <v>-444.84824333403424</v>
      </c>
      <c r="L263" s="356">
        <f t="shared" si="65"/>
        <v>444403.3950907002</v>
      </c>
      <c r="N263" s="356">
        <f t="shared" si="70"/>
        <v>240</v>
      </c>
      <c r="O263" s="357">
        <f t="shared" si="77"/>
        <v>19</v>
      </c>
      <c r="P263" s="357">
        <f t="shared" si="78"/>
        <v>12</v>
      </c>
      <c r="Q263" s="357">
        <f t="shared" si="79"/>
        <v>19</v>
      </c>
      <c r="R263" s="356">
        <f t="shared" si="71"/>
        <v>5202686.956744827</v>
      </c>
      <c r="S263" s="356">
        <f>IF($G$4="mensual",S262,0)</f>
        <v>10000</v>
      </c>
      <c r="U263" s="356">
        <f t="shared" si="80"/>
        <v>41566.69780499826</v>
      </c>
      <c r="V263" s="359">
        <f t="shared" si="82"/>
        <v>-160.54190721071797</v>
      </c>
      <c r="X263" s="359">
        <f t="shared" si="81"/>
        <v>-5254.253654549826</v>
      </c>
      <c r="Y263" s="356">
        <f t="shared" si="66"/>
        <v>5248838.858988065</v>
      </c>
      <c r="AA263" s="357">
        <f>+Bono!J263</f>
        <v>251284.86063296793</v>
      </c>
      <c r="AC263" s="378">
        <f t="shared" si="72"/>
        <v>20</v>
      </c>
      <c r="AD263" s="356">
        <f t="shared" si="73"/>
        <v>5944527.114711734</v>
      </c>
    </row>
    <row r="264" spans="2:30" x14ac:dyDescent="0.25">
      <c r="B264" s="356">
        <f t="shared" si="67"/>
        <v>241</v>
      </c>
      <c r="C264" s="357">
        <f t="shared" si="74"/>
        <v>20</v>
      </c>
      <c r="D264" s="357">
        <f t="shared" si="75"/>
        <v>1</v>
      </c>
      <c r="E264" s="357">
        <f t="shared" si="76"/>
        <v>49</v>
      </c>
      <c r="F264" s="356">
        <f t="shared" si="68"/>
        <v>444403.3950907002</v>
      </c>
      <c r="H264" s="356">
        <f t="shared" si="64"/>
        <v>3543.7350795348448</v>
      </c>
      <c r="I264" s="356">
        <v>0</v>
      </c>
      <c r="J264" s="356">
        <v>0</v>
      </c>
      <c r="K264" s="356">
        <f t="shared" si="69"/>
        <v>-447.947130170235</v>
      </c>
      <c r="L264" s="356">
        <f t="shared" si="65"/>
        <v>447499.18304006476</v>
      </c>
      <c r="N264" s="356">
        <f t="shared" si="70"/>
        <v>241</v>
      </c>
      <c r="O264" s="357">
        <f t="shared" si="77"/>
        <v>20</v>
      </c>
      <c r="P264" s="357">
        <f t="shared" si="78"/>
        <v>1</v>
      </c>
      <c r="Q264" s="357">
        <f t="shared" si="79"/>
        <v>20</v>
      </c>
      <c r="R264" s="356">
        <f t="shared" si="71"/>
        <v>5248838.858988065</v>
      </c>
      <c r="S264" s="356">
        <f>IF($G$17="si",S252*(1+$G$20),S252)</f>
        <v>10000</v>
      </c>
      <c r="U264" s="356">
        <f t="shared" si="80"/>
        <v>41934.71955454687</v>
      </c>
      <c r="V264" s="359">
        <f>(V263*(1+$G$18))</f>
        <v>-166.9635834991467</v>
      </c>
      <c r="X264" s="359">
        <f t="shared" si="81"/>
        <v>-5300.773578542613</v>
      </c>
      <c r="Y264" s="356">
        <f t="shared" si="66"/>
        <v>5295305.841380571</v>
      </c>
      <c r="AA264" s="357">
        <f>+Bono!J264</f>
        <v>252842.8559161321</v>
      </c>
      <c r="AC264" s="378">
        <f t="shared" si="72"/>
        <v>20.083333333333332</v>
      </c>
      <c r="AD264" s="356">
        <f t="shared" si="73"/>
        <v>5995647.880336768</v>
      </c>
    </row>
    <row r="265" spans="2:30" x14ac:dyDescent="0.25">
      <c r="B265" s="356">
        <f t="shared" si="67"/>
        <v>242</v>
      </c>
      <c r="C265" s="357">
        <f t="shared" si="74"/>
        <v>20</v>
      </c>
      <c r="D265" s="357">
        <f t="shared" si="75"/>
        <v>2</v>
      </c>
      <c r="E265" s="357">
        <f t="shared" si="76"/>
        <v>49</v>
      </c>
      <c r="F265" s="356">
        <f t="shared" si="68"/>
        <v>447499.18304006476</v>
      </c>
      <c r="H265" s="356">
        <f t="shared" si="64"/>
        <v>3568.421327381186</v>
      </c>
      <c r="I265" s="356">
        <v>0</v>
      </c>
      <c r="J265" s="356">
        <v>0</v>
      </c>
      <c r="K265" s="356">
        <f t="shared" si="69"/>
        <v>-451.06760436744594</v>
      </c>
      <c r="L265" s="356">
        <f t="shared" si="65"/>
        <v>450616.5367630785</v>
      </c>
      <c r="N265" s="356">
        <f t="shared" si="70"/>
        <v>242</v>
      </c>
      <c r="O265" s="357">
        <f t="shared" si="77"/>
        <v>20</v>
      </c>
      <c r="P265" s="357">
        <f t="shared" si="78"/>
        <v>2</v>
      </c>
      <c r="Q265" s="357">
        <f t="shared" si="79"/>
        <v>20</v>
      </c>
      <c r="R265" s="356">
        <f t="shared" si="71"/>
        <v>5295305.841380571</v>
      </c>
      <c r="S265" s="356">
        <f>IF($G$4="mensual",S264,0)</f>
        <v>10000</v>
      </c>
      <c r="U265" s="356">
        <f t="shared" si="80"/>
        <v>42305.25379745211</v>
      </c>
      <c r="V265" s="359">
        <f t="shared" si="82"/>
        <v>-166.9635834991467</v>
      </c>
      <c r="X265" s="359">
        <f t="shared" si="81"/>
        <v>-5347.611095178023</v>
      </c>
      <c r="Y265" s="356">
        <f t="shared" si="66"/>
        <v>5342096.520499346</v>
      </c>
      <c r="AA265" s="357">
        <f>+Bono!J265</f>
        <v>254410.51095076813</v>
      </c>
      <c r="AC265" s="378">
        <f t="shared" si="72"/>
        <v>20.166666666666668</v>
      </c>
      <c r="AD265" s="356">
        <f t="shared" si="73"/>
        <v>6047123.568213193</v>
      </c>
    </row>
    <row r="266" spans="2:30" x14ac:dyDescent="0.25">
      <c r="B266" s="356">
        <f t="shared" si="67"/>
        <v>243</v>
      </c>
      <c r="C266" s="357">
        <f t="shared" si="74"/>
        <v>20</v>
      </c>
      <c r="D266" s="357">
        <f t="shared" si="75"/>
        <v>3</v>
      </c>
      <c r="E266" s="357">
        <f t="shared" si="76"/>
        <v>49</v>
      </c>
      <c r="F266" s="356">
        <f t="shared" si="68"/>
        <v>450616.5367630785</v>
      </c>
      <c r="H266" s="356">
        <f t="shared" si="64"/>
        <v>3593.2795437350633</v>
      </c>
      <c r="I266" s="356">
        <v>0</v>
      </c>
      <c r="J266" s="360">
        <f>-SUM(F266:H266)*$J$21</f>
        <v>-4087.8883467613227</v>
      </c>
      <c r="K266" s="356">
        <f t="shared" si="69"/>
        <v>-450.12192796005223</v>
      </c>
      <c r="L266" s="356">
        <f t="shared" si="65"/>
        <v>449671.80603209214</v>
      </c>
      <c r="N266" s="356">
        <f t="shared" si="70"/>
        <v>243</v>
      </c>
      <c r="O266" s="357">
        <f t="shared" si="77"/>
        <v>20</v>
      </c>
      <c r="P266" s="357">
        <f t="shared" si="78"/>
        <v>3</v>
      </c>
      <c r="Q266" s="357">
        <f t="shared" si="79"/>
        <v>20</v>
      </c>
      <c r="R266" s="356">
        <f t="shared" si="71"/>
        <v>5342096.520499346</v>
      </c>
      <c r="S266" s="356">
        <f>IF($G$4="mensual",S265,0)</f>
        <v>10000</v>
      </c>
      <c r="U266" s="356">
        <f t="shared" si="80"/>
        <v>42678.369243509</v>
      </c>
      <c r="V266" s="359">
        <f t="shared" si="82"/>
        <v>-166.9635834991467</v>
      </c>
      <c r="X266" s="359">
        <f t="shared" si="81"/>
        <v>-5394.7748897428555</v>
      </c>
      <c r="Y266" s="356">
        <f t="shared" si="66"/>
        <v>5389213.151269613</v>
      </c>
      <c r="AA266" s="357">
        <f>+Bono!J266</f>
        <v>253681.6884606317</v>
      </c>
      <c r="AC266" s="378">
        <f t="shared" si="72"/>
        <v>20.25</v>
      </c>
      <c r="AD266" s="356">
        <f t="shared" si="73"/>
        <v>6092566.645762336</v>
      </c>
    </row>
    <row r="267" spans="2:30" x14ac:dyDescent="0.25">
      <c r="B267" s="356">
        <f t="shared" si="67"/>
        <v>244</v>
      </c>
      <c r="C267" s="357">
        <f t="shared" si="74"/>
        <v>20</v>
      </c>
      <c r="D267" s="357">
        <f t="shared" si="75"/>
        <v>4</v>
      </c>
      <c r="E267" s="357">
        <f t="shared" si="76"/>
        <v>49</v>
      </c>
      <c r="F267" s="356">
        <f t="shared" si="68"/>
        <v>449671.80603209214</v>
      </c>
      <c r="H267" s="356">
        <f t="shared" si="64"/>
        <v>3585.7461282186773</v>
      </c>
      <c r="I267" s="356">
        <v>0</v>
      </c>
      <c r="J267" s="356">
        <v>0</v>
      </c>
      <c r="K267" s="356">
        <f t="shared" si="69"/>
        <v>-453.2575521603108</v>
      </c>
      <c r="L267" s="356">
        <f t="shared" si="65"/>
        <v>452804.2946081505</v>
      </c>
      <c r="N267" s="356">
        <f t="shared" si="70"/>
        <v>244</v>
      </c>
      <c r="O267" s="357">
        <f t="shared" si="77"/>
        <v>20</v>
      </c>
      <c r="P267" s="357">
        <f t="shared" si="78"/>
        <v>4</v>
      </c>
      <c r="Q267" s="357">
        <f t="shared" si="79"/>
        <v>20</v>
      </c>
      <c r="R267" s="356">
        <f t="shared" si="71"/>
        <v>5389213.151269613</v>
      </c>
      <c r="S267" s="356">
        <f>IF($G$4="mensual",S264,IF($G$4="trimestral",S264,0))</f>
        <v>10000</v>
      </c>
      <c r="U267" s="356">
        <f t="shared" si="80"/>
        <v>43054.08387380792</v>
      </c>
      <c r="V267" s="359">
        <f t="shared" si="82"/>
        <v>-166.9635834991467</v>
      </c>
      <c r="X267" s="359">
        <f t="shared" si="81"/>
        <v>-5442.267235143421</v>
      </c>
      <c r="Y267" s="356">
        <f t="shared" si="66"/>
        <v>5436658.004324779</v>
      </c>
      <c r="AA267" s="357">
        <f>+Bono!J267</f>
        <v>255254.5443543422</v>
      </c>
      <c r="AC267" s="378">
        <f t="shared" si="72"/>
        <v>20.333333333333332</v>
      </c>
      <c r="AD267" s="356">
        <f t="shared" si="73"/>
        <v>6144716.843287271</v>
      </c>
    </row>
    <row r="268" spans="2:30" x14ac:dyDescent="0.25">
      <c r="B268" s="356">
        <f t="shared" si="67"/>
        <v>245</v>
      </c>
      <c r="C268" s="357">
        <f t="shared" si="74"/>
        <v>20</v>
      </c>
      <c r="D268" s="357">
        <f t="shared" si="75"/>
        <v>5</v>
      </c>
      <c r="E268" s="357">
        <f t="shared" si="76"/>
        <v>49</v>
      </c>
      <c r="F268" s="356">
        <f t="shared" si="68"/>
        <v>452804.2946081505</v>
      </c>
      <c r="H268" s="356">
        <f t="shared" si="64"/>
        <v>3610.725032016104</v>
      </c>
      <c r="I268" s="356">
        <v>0</v>
      </c>
      <c r="J268" s="356">
        <v>0</v>
      </c>
      <c r="K268" s="356">
        <f t="shared" si="69"/>
        <v>-456.41501964016663</v>
      </c>
      <c r="L268" s="356">
        <f t="shared" si="65"/>
        <v>455958.6046205264</v>
      </c>
      <c r="N268" s="356">
        <f t="shared" si="70"/>
        <v>245</v>
      </c>
      <c r="O268" s="357">
        <f t="shared" si="77"/>
        <v>20</v>
      </c>
      <c r="P268" s="357">
        <f t="shared" si="78"/>
        <v>5</v>
      </c>
      <c r="Q268" s="357">
        <f t="shared" si="79"/>
        <v>20</v>
      </c>
      <c r="R268" s="356">
        <f t="shared" si="71"/>
        <v>5436658.004324779</v>
      </c>
      <c r="S268" s="356">
        <f>IF($G$4="mensual",S267,0)</f>
        <v>10000</v>
      </c>
      <c r="U268" s="356">
        <f t="shared" si="80"/>
        <v>43432.415794698514</v>
      </c>
      <c r="V268" s="359">
        <f t="shared" si="82"/>
        <v>-166.9635834991467</v>
      </c>
      <c r="X268" s="359">
        <f t="shared" si="81"/>
        <v>-5490.090420119477</v>
      </c>
      <c r="Y268" s="356">
        <f t="shared" si="66"/>
        <v>5484433.366115859</v>
      </c>
      <c r="AA268" s="357">
        <f>+Bono!J268</f>
        <v>256837.15213703367</v>
      </c>
      <c r="AC268" s="378">
        <f t="shared" si="72"/>
        <v>20.416666666666668</v>
      </c>
      <c r="AD268" s="356">
        <f t="shared" si="73"/>
        <v>6197229.122873419</v>
      </c>
    </row>
    <row r="269" spans="2:30" x14ac:dyDescent="0.25">
      <c r="B269" s="356">
        <f t="shared" si="67"/>
        <v>246</v>
      </c>
      <c r="C269" s="357">
        <f t="shared" si="74"/>
        <v>20</v>
      </c>
      <c r="D269" s="357">
        <f t="shared" si="75"/>
        <v>6</v>
      </c>
      <c r="E269" s="357">
        <f t="shared" si="76"/>
        <v>49</v>
      </c>
      <c r="F269" s="356">
        <f t="shared" si="68"/>
        <v>455958.6046205264</v>
      </c>
      <c r="H269" s="356">
        <f t="shared" si="64"/>
        <v>3635.8779430110867</v>
      </c>
      <c r="I269" s="356">
        <v>0</v>
      </c>
      <c r="J269" s="360">
        <f>-SUM(F269:H269)*$J$21</f>
        <v>-4136.350343071838</v>
      </c>
      <c r="K269" s="356">
        <f t="shared" si="69"/>
        <v>-455.45813222046564</v>
      </c>
      <c r="L269" s="356">
        <f t="shared" si="65"/>
        <v>455002.67408824514</v>
      </c>
      <c r="N269" s="356">
        <f t="shared" si="70"/>
        <v>246</v>
      </c>
      <c r="O269" s="357">
        <f t="shared" si="77"/>
        <v>20</v>
      </c>
      <c r="P269" s="357">
        <f t="shared" si="78"/>
        <v>6</v>
      </c>
      <c r="Q269" s="357">
        <f t="shared" si="79"/>
        <v>20</v>
      </c>
      <c r="R269" s="356">
        <f t="shared" si="71"/>
        <v>5484433.366115859</v>
      </c>
      <c r="S269" s="356">
        <f>IF($G$4="mensual",S268,0)</f>
        <v>10000</v>
      </c>
      <c r="U269" s="356">
        <f t="shared" si="80"/>
        <v>43813.38323866227</v>
      </c>
      <c r="V269" s="359">
        <f t="shared" si="82"/>
        <v>-166.9635834991467</v>
      </c>
      <c r="X269" s="359">
        <f t="shared" si="81"/>
        <v>-5538.246749354521</v>
      </c>
      <c r="Y269" s="356">
        <f t="shared" si="66"/>
        <v>5532541.539021667</v>
      </c>
      <c r="AA269" s="357">
        <f>+Bono!J269</f>
        <v>256101.37792676027</v>
      </c>
      <c r="AC269" s="378">
        <f t="shared" si="72"/>
        <v>20.5</v>
      </c>
      <c r="AD269" s="356">
        <f t="shared" si="73"/>
        <v>6243645.591036673</v>
      </c>
    </row>
    <row r="270" spans="2:30" x14ac:dyDescent="0.25">
      <c r="B270" s="356">
        <f t="shared" si="67"/>
        <v>247</v>
      </c>
      <c r="C270" s="357">
        <f t="shared" si="74"/>
        <v>20</v>
      </c>
      <c r="D270" s="357">
        <f t="shared" si="75"/>
        <v>7</v>
      </c>
      <c r="E270" s="357">
        <f t="shared" si="76"/>
        <v>49</v>
      </c>
      <c r="F270" s="356">
        <f t="shared" si="68"/>
        <v>455002.67408824514</v>
      </c>
      <c r="H270" s="356">
        <f t="shared" si="64"/>
        <v>3628.255218706399</v>
      </c>
      <c r="I270" s="356">
        <v>0</v>
      </c>
      <c r="J270" s="356">
        <v>0</v>
      </c>
      <c r="K270" s="356">
        <f t="shared" si="69"/>
        <v>-458.63092930695154</v>
      </c>
      <c r="L270" s="356">
        <f t="shared" si="65"/>
        <v>458172.29837764456</v>
      </c>
      <c r="N270" s="356">
        <f t="shared" si="70"/>
        <v>247</v>
      </c>
      <c r="O270" s="357">
        <f t="shared" si="77"/>
        <v>20</v>
      </c>
      <c r="P270" s="357">
        <f t="shared" si="78"/>
        <v>7</v>
      </c>
      <c r="Q270" s="357">
        <f t="shared" si="79"/>
        <v>20</v>
      </c>
      <c r="R270" s="356">
        <f t="shared" si="71"/>
        <v>5532541.539021667</v>
      </c>
      <c r="S270" s="356">
        <f>+IF($G$4="mensual",S264,IF($G$4="trimestral",S264,IF($G$4="semestral",S264,0)))</f>
        <v>10000</v>
      </c>
      <c r="U270" s="356">
        <f t="shared" si="80"/>
        <v>44197.004565191164</v>
      </c>
      <c r="V270" s="359">
        <f t="shared" si="82"/>
        <v>-166.9635834991467</v>
      </c>
      <c r="X270" s="359">
        <f t="shared" si="81"/>
        <v>-5586.738543586858</v>
      </c>
      <c r="Y270" s="356">
        <f t="shared" si="66"/>
        <v>5580984.841459773</v>
      </c>
      <c r="AA270" s="357">
        <f>+Bono!J270</f>
        <v>257689.23617582736</v>
      </c>
      <c r="AC270" s="378">
        <f t="shared" si="72"/>
        <v>20.583333333333332</v>
      </c>
      <c r="AD270" s="356">
        <f t="shared" si="73"/>
        <v>6296846.3760132445</v>
      </c>
    </row>
    <row r="271" spans="2:30" x14ac:dyDescent="0.25">
      <c r="B271" s="356">
        <f t="shared" si="67"/>
        <v>248</v>
      </c>
      <c r="C271" s="357">
        <f t="shared" si="74"/>
        <v>20</v>
      </c>
      <c r="D271" s="357">
        <f t="shared" si="75"/>
        <v>8</v>
      </c>
      <c r="E271" s="357">
        <f t="shared" si="76"/>
        <v>49</v>
      </c>
      <c r="F271" s="356">
        <f t="shared" si="68"/>
        <v>458172.29837764456</v>
      </c>
      <c r="H271" s="356">
        <f t="shared" si="64"/>
        <v>3653.5302478969343</v>
      </c>
      <c r="I271" s="356">
        <v>0</v>
      </c>
      <c r="J271" s="356">
        <v>0</v>
      </c>
      <c r="K271" s="356">
        <f t="shared" si="69"/>
        <v>-461.8258286255415</v>
      </c>
      <c r="L271" s="356">
        <f t="shared" si="65"/>
        <v>461364.00279691594</v>
      </c>
      <c r="N271" s="356">
        <f t="shared" si="70"/>
        <v>248</v>
      </c>
      <c r="O271" s="357">
        <f t="shared" si="77"/>
        <v>20</v>
      </c>
      <c r="P271" s="357">
        <f t="shared" si="78"/>
        <v>8</v>
      </c>
      <c r="Q271" s="357">
        <f t="shared" si="79"/>
        <v>20</v>
      </c>
      <c r="R271" s="356">
        <f t="shared" si="71"/>
        <v>5580984.841459773</v>
      </c>
      <c r="S271" s="356">
        <f>IF($G$4="mensual",S270,0)</f>
        <v>10000</v>
      </c>
      <c r="U271" s="356">
        <f t="shared" si="80"/>
        <v>44583.29826167248</v>
      </c>
      <c r="V271" s="359">
        <f t="shared" si="82"/>
        <v>-166.9635834991467</v>
      </c>
      <c r="X271" s="359">
        <f t="shared" si="81"/>
        <v>-5635.568139721445</v>
      </c>
      <c r="Y271" s="356">
        <f t="shared" si="66"/>
        <v>5629765.607998224</v>
      </c>
      <c r="AA271" s="357">
        <f>+Bono!J271</f>
        <v>259286.93933021883</v>
      </c>
      <c r="AC271" s="378">
        <f t="shared" si="72"/>
        <v>20.666666666666668</v>
      </c>
      <c r="AD271" s="356">
        <f t="shared" si="73"/>
        <v>6350416.550125359</v>
      </c>
    </row>
    <row r="272" spans="2:30" x14ac:dyDescent="0.25">
      <c r="B272" s="356">
        <f t="shared" si="67"/>
        <v>249</v>
      </c>
      <c r="C272" s="357">
        <f t="shared" si="74"/>
        <v>20</v>
      </c>
      <c r="D272" s="357">
        <f t="shared" si="75"/>
        <v>9</v>
      </c>
      <c r="E272" s="357">
        <f t="shared" si="76"/>
        <v>49</v>
      </c>
      <c r="F272" s="356">
        <f t="shared" si="68"/>
        <v>461364.00279691594</v>
      </c>
      <c r="H272" s="356">
        <f t="shared" si="64"/>
        <v>3678.981347143757</v>
      </c>
      <c r="I272" s="356">
        <v>0</v>
      </c>
      <c r="J272" s="360">
        <f>-SUM(F272:H272)*$J$21</f>
        <v>-4185.3868572965375</v>
      </c>
      <c r="K272" s="356">
        <f t="shared" si="69"/>
        <v>-460.8575972867632</v>
      </c>
      <c r="L272" s="356">
        <f t="shared" si="65"/>
        <v>460396.73968947644</v>
      </c>
      <c r="N272" s="356">
        <f t="shared" si="70"/>
        <v>249</v>
      </c>
      <c r="O272" s="357">
        <f t="shared" si="77"/>
        <v>20</v>
      </c>
      <c r="P272" s="357">
        <f t="shared" si="78"/>
        <v>9</v>
      </c>
      <c r="Q272" s="357">
        <f t="shared" si="79"/>
        <v>20</v>
      </c>
      <c r="R272" s="356">
        <f t="shared" si="71"/>
        <v>5629765.607998224</v>
      </c>
      <c r="S272" s="356">
        <f>IF($G$4="mensual",S271,0)</f>
        <v>10000</v>
      </c>
      <c r="U272" s="356">
        <f t="shared" si="80"/>
        <v>44972.28294427966</v>
      </c>
      <c r="V272" s="359">
        <f t="shared" si="82"/>
        <v>-166.9635834991467</v>
      </c>
      <c r="X272" s="359">
        <f t="shared" si="81"/>
        <v>-5684.737890942504</v>
      </c>
      <c r="Y272" s="356">
        <f t="shared" si="66"/>
        <v>5678886.189468062</v>
      </c>
      <c r="AA272" s="357">
        <f>+Bono!J272</f>
        <v>258544.14709228702</v>
      </c>
      <c r="AC272" s="378">
        <f t="shared" si="72"/>
        <v>20.75</v>
      </c>
      <c r="AD272" s="356">
        <f t="shared" si="73"/>
        <v>6397827.076249826</v>
      </c>
    </row>
    <row r="273" spans="2:30" x14ac:dyDescent="0.25">
      <c r="B273" s="356">
        <f t="shared" si="67"/>
        <v>250</v>
      </c>
      <c r="C273" s="357">
        <f t="shared" si="74"/>
        <v>20</v>
      </c>
      <c r="D273" s="357">
        <f t="shared" si="75"/>
        <v>10</v>
      </c>
      <c r="E273" s="357">
        <f t="shared" si="76"/>
        <v>49</v>
      </c>
      <c r="F273" s="356">
        <f t="shared" si="68"/>
        <v>460396.73968947644</v>
      </c>
      <c r="H273" s="356">
        <f t="shared" si="64"/>
        <v>3671.2682552933366</v>
      </c>
      <c r="I273" s="356">
        <v>0</v>
      </c>
      <c r="J273" s="356">
        <v>0</v>
      </c>
      <c r="K273" s="356">
        <f t="shared" si="69"/>
        <v>-464.06800794476976</v>
      </c>
      <c r="L273" s="356">
        <f t="shared" si="65"/>
        <v>463603.93993682496</v>
      </c>
      <c r="N273" s="356">
        <f t="shared" si="70"/>
        <v>250</v>
      </c>
      <c r="O273" s="357">
        <f t="shared" si="77"/>
        <v>20</v>
      </c>
      <c r="P273" s="357">
        <f t="shared" si="78"/>
        <v>10</v>
      </c>
      <c r="Q273" s="357">
        <f t="shared" si="79"/>
        <v>20</v>
      </c>
      <c r="R273" s="356">
        <f t="shared" si="71"/>
        <v>5678886.189468062</v>
      </c>
      <c r="S273" s="356">
        <f>IF($G$4="mensual",S264,IF($G$4="trimestral",S264,0))</f>
        <v>10000</v>
      </c>
      <c r="U273" s="356">
        <f t="shared" si="80"/>
        <v>45363.977358869546</v>
      </c>
      <c r="V273" s="359">
        <f t="shared" si="82"/>
        <v>-166.9635834991467</v>
      </c>
      <c r="X273" s="359">
        <f t="shared" si="81"/>
        <v>-5734.250166826931</v>
      </c>
      <c r="Y273" s="356">
        <f t="shared" si="66"/>
        <v>5728348.953076605</v>
      </c>
      <c r="AA273" s="357">
        <f>+Bono!J273</f>
        <v>260147.15079352408</v>
      </c>
      <c r="AC273" s="378">
        <f t="shared" si="72"/>
        <v>20.833333333333332</v>
      </c>
      <c r="AD273" s="356">
        <f t="shared" si="73"/>
        <v>6452100.043806954</v>
      </c>
    </row>
    <row r="274" spans="2:30" x14ac:dyDescent="0.25">
      <c r="B274" s="356">
        <f t="shared" si="67"/>
        <v>251</v>
      </c>
      <c r="C274" s="357">
        <f t="shared" si="74"/>
        <v>20</v>
      </c>
      <c r="D274" s="357">
        <f t="shared" si="75"/>
        <v>11</v>
      </c>
      <c r="E274" s="357">
        <f t="shared" si="76"/>
        <v>49</v>
      </c>
      <c r="F274" s="356">
        <f t="shared" si="68"/>
        <v>463603.93993682496</v>
      </c>
      <c r="H274" s="356">
        <f t="shared" si="64"/>
        <v>3696.842920449308</v>
      </c>
      <c r="I274" s="356">
        <v>0</v>
      </c>
      <c r="J274" s="356">
        <v>0</v>
      </c>
      <c r="K274" s="356">
        <f t="shared" si="69"/>
        <v>-467.30078285727427</v>
      </c>
      <c r="L274" s="356">
        <f t="shared" si="65"/>
        <v>466833.482074417</v>
      </c>
      <c r="N274" s="356">
        <f t="shared" si="70"/>
        <v>251</v>
      </c>
      <c r="O274" s="357">
        <f t="shared" si="77"/>
        <v>20</v>
      </c>
      <c r="P274" s="357">
        <f t="shared" si="78"/>
        <v>11</v>
      </c>
      <c r="Q274" s="357">
        <f t="shared" si="79"/>
        <v>20</v>
      </c>
      <c r="R274" s="356">
        <f t="shared" si="71"/>
        <v>5728348.953076605</v>
      </c>
      <c r="S274" s="356">
        <f>IF($G$17="si",S262*(1+$G$20),S262)</f>
        <v>10000</v>
      </c>
      <c r="U274" s="356">
        <f t="shared" si="80"/>
        <v>45758.400381885745</v>
      </c>
      <c r="V274" s="359">
        <f t="shared" si="82"/>
        <v>-166.9635834991467</v>
      </c>
      <c r="X274" s="359">
        <f t="shared" si="81"/>
        <v>-5784.10735345849</v>
      </c>
      <c r="Y274" s="356">
        <f t="shared" si="66"/>
        <v>5778156.282521533</v>
      </c>
      <c r="AA274" s="357">
        <f>+Bono!J274</f>
        <v>261760.09330364573</v>
      </c>
      <c r="AC274" s="378">
        <f t="shared" si="72"/>
        <v>20.916666666666668</v>
      </c>
      <c r="AD274" s="356">
        <f t="shared" si="73"/>
        <v>6506749.857899596</v>
      </c>
    </row>
    <row r="275" spans="2:30" x14ac:dyDescent="0.25">
      <c r="B275" s="356">
        <f t="shared" si="67"/>
        <v>252</v>
      </c>
      <c r="C275" s="357">
        <f t="shared" si="74"/>
        <v>20</v>
      </c>
      <c r="D275" s="357">
        <f t="shared" si="75"/>
        <v>12</v>
      </c>
      <c r="E275" s="357">
        <f t="shared" si="76"/>
        <v>49</v>
      </c>
      <c r="F275" s="356">
        <f t="shared" si="68"/>
        <v>466833.482074417</v>
      </c>
      <c r="H275" s="356">
        <f t="shared" si="64"/>
        <v>3722.5957429755294</v>
      </c>
      <c r="I275" s="356">
        <v>0</v>
      </c>
      <c r="J275" s="360">
        <f>-SUM(F275:H275)*$J$21</f>
        <v>-4235.004700356533</v>
      </c>
      <c r="K275" s="356">
        <f t="shared" si="69"/>
        <v>-466.321073117036</v>
      </c>
      <c r="L275" s="356">
        <f t="shared" si="65"/>
        <v>465854.752043919</v>
      </c>
      <c r="N275" s="356">
        <f t="shared" si="70"/>
        <v>252</v>
      </c>
      <c r="O275" s="357">
        <f t="shared" si="77"/>
        <v>20</v>
      </c>
      <c r="P275" s="357">
        <f t="shared" si="78"/>
        <v>12</v>
      </c>
      <c r="Q275" s="357">
        <f t="shared" si="79"/>
        <v>20</v>
      </c>
      <c r="R275" s="356">
        <f t="shared" si="71"/>
        <v>5778156.282521533</v>
      </c>
      <c r="S275" s="356">
        <f>IF($G$4="mensual",S274,0)</f>
        <v>10000</v>
      </c>
      <c r="U275" s="356">
        <f t="shared" si="80"/>
        <v>46155.571021268275</v>
      </c>
      <c r="V275" s="359">
        <f t="shared" si="82"/>
        <v>-166.9635834991467</v>
      </c>
      <c r="X275" s="359">
        <f t="shared" si="81"/>
        <v>-5834.311853542801</v>
      </c>
      <c r="Y275" s="356">
        <f t="shared" si="66"/>
        <v>5828310.578105759</v>
      </c>
      <c r="AA275" s="357">
        <f>+Bono!J275</f>
        <v>261010.21609807372</v>
      </c>
      <c r="AC275" s="378">
        <f t="shared" si="72"/>
        <v>21</v>
      </c>
      <c r="AD275" s="356">
        <f t="shared" si="73"/>
        <v>6555175.546247751</v>
      </c>
    </row>
    <row r="276" spans="2:30" x14ac:dyDescent="0.25">
      <c r="B276" s="356">
        <f t="shared" si="67"/>
        <v>253</v>
      </c>
      <c r="C276" s="357">
        <f t="shared" si="74"/>
        <v>21</v>
      </c>
      <c r="D276" s="357">
        <f t="shared" si="75"/>
        <v>1</v>
      </c>
      <c r="E276" s="357">
        <f t="shared" si="76"/>
        <v>50</v>
      </c>
      <c r="F276" s="356">
        <f t="shared" si="68"/>
        <v>465854.752043919</v>
      </c>
      <c r="H276" s="356">
        <f t="shared" si="64"/>
        <v>3714.791212270353</v>
      </c>
      <c r="I276" s="356">
        <v>0</v>
      </c>
      <c r="J276" s="356">
        <v>0</v>
      </c>
      <c r="K276" s="356">
        <f t="shared" si="69"/>
        <v>-469.5695432561893</v>
      </c>
      <c r="L276" s="356">
        <f t="shared" si="65"/>
        <v>469099.97371293313</v>
      </c>
      <c r="N276" s="356">
        <f t="shared" si="70"/>
        <v>253</v>
      </c>
      <c r="O276" s="357">
        <f t="shared" si="77"/>
        <v>21</v>
      </c>
      <c r="P276" s="357">
        <f t="shared" si="78"/>
        <v>1</v>
      </c>
      <c r="Q276" s="357">
        <f t="shared" si="79"/>
        <v>21</v>
      </c>
      <c r="R276" s="356">
        <f t="shared" si="71"/>
        <v>5828310.578105759</v>
      </c>
      <c r="S276" s="356">
        <f>IF($G$17="si",S264*(1+$G$20),S264)</f>
        <v>10000</v>
      </c>
      <c r="U276" s="356">
        <f t="shared" si="80"/>
        <v>46555.50841736964</v>
      </c>
      <c r="V276" s="359">
        <f>(V275*(1+$G$18))</f>
        <v>-173.64212683911256</v>
      </c>
      <c r="X276" s="359">
        <f t="shared" si="81"/>
        <v>-5884.866086523129</v>
      </c>
      <c r="Y276" s="356">
        <f t="shared" si="66"/>
        <v>5878807.578309767</v>
      </c>
      <c r="AA276" s="357">
        <f>+Bono!J276</f>
        <v>262628.50971319294</v>
      </c>
      <c r="AC276" s="378">
        <f t="shared" si="72"/>
        <v>21.083333333333332</v>
      </c>
      <c r="AD276" s="356">
        <f t="shared" si="73"/>
        <v>6610536.061735894</v>
      </c>
    </row>
    <row r="277" spans="2:30" x14ac:dyDescent="0.25">
      <c r="B277" s="356">
        <f t="shared" si="67"/>
        <v>254</v>
      </c>
      <c r="C277" s="357">
        <f t="shared" si="74"/>
        <v>21</v>
      </c>
      <c r="D277" s="357">
        <f t="shared" si="75"/>
        <v>2</v>
      </c>
      <c r="E277" s="357">
        <f t="shared" si="76"/>
        <v>50</v>
      </c>
      <c r="F277" s="356">
        <f t="shared" si="68"/>
        <v>469099.97371293313</v>
      </c>
      <c r="H277" s="356">
        <f t="shared" si="64"/>
        <v>3740.669065581993</v>
      </c>
      <c r="I277" s="356">
        <v>0</v>
      </c>
      <c r="J277" s="356">
        <v>0</v>
      </c>
      <c r="K277" s="356">
        <f t="shared" si="69"/>
        <v>-472.84064277851513</v>
      </c>
      <c r="L277" s="356">
        <f t="shared" si="65"/>
        <v>472367.8021357366</v>
      </c>
      <c r="N277" s="356">
        <f t="shared" si="70"/>
        <v>254</v>
      </c>
      <c r="O277" s="357">
        <f t="shared" si="77"/>
        <v>21</v>
      </c>
      <c r="P277" s="357">
        <f t="shared" si="78"/>
        <v>2</v>
      </c>
      <c r="Q277" s="357">
        <f t="shared" si="79"/>
        <v>21</v>
      </c>
      <c r="R277" s="356">
        <f t="shared" si="71"/>
        <v>5878807.578309767</v>
      </c>
      <c r="S277" s="356">
        <f>IF($G$4="mensual",S276,0)</f>
        <v>10000</v>
      </c>
      <c r="U277" s="356">
        <f t="shared" si="80"/>
        <v>46958.17858823478</v>
      </c>
      <c r="V277" s="359">
        <f t="shared" si="82"/>
        <v>-173.64212683911256</v>
      </c>
      <c r="X277" s="359">
        <f t="shared" si="81"/>
        <v>-5935.765756898002</v>
      </c>
      <c r="Y277" s="356">
        <f t="shared" si="66"/>
        <v>5929656.349014265</v>
      </c>
      <c r="AA277" s="357">
        <f>+Bono!J277</f>
        <v>264256.83693643636</v>
      </c>
      <c r="AC277" s="378">
        <f t="shared" si="72"/>
        <v>21.166666666666668</v>
      </c>
      <c r="AD277" s="356">
        <f t="shared" si="73"/>
        <v>6666280.988086439</v>
      </c>
    </row>
    <row r="278" spans="2:30" x14ac:dyDescent="0.25">
      <c r="B278" s="356">
        <f t="shared" si="67"/>
        <v>255</v>
      </c>
      <c r="C278" s="357">
        <f t="shared" si="74"/>
        <v>21</v>
      </c>
      <c r="D278" s="357">
        <f t="shared" si="75"/>
        <v>3</v>
      </c>
      <c r="E278" s="357">
        <f t="shared" si="76"/>
        <v>50</v>
      </c>
      <c r="F278" s="356">
        <f t="shared" si="68"/>
        <v>472367.8021357366</v>
      </c>
      <c r="H278" s="356">
        <f t="shared" si="64"/>
        <v>3766.7271883229914</v>
      </c>
      <c r="I278" s="356">
        <v>0</v>
      </c>
      <c r="J278" s="360">
        <f>-SUM(F278:H278)*$J$21</f>
        <v>-4285.210763916537</v>
      </c>
      <c r="K278" s="356">
        <f t="shared" si="69"/>
        <v>-471.84931856014305</v>
      </c>
      <c r="L278" s="356">
        <f t="shared" si="65"/>
        <v>471377.4692415829</v>
      </c>
      <c r="N278" s="356">
        <f t="shared" si="70"/>
        <v>255</v>
      </c>
      <c r="O278" s="357">
        <f t="shared" si="77"/>
        <v>21</v>
      </c>
      <c r="P278" s="357">
        <f t="shared" si="78"/>
        <v>3</v>
      </c>
      <c r="Q278" s="357">
        <f t="shared" si="79"/>
        <v>21</v>
      </c>
      <c r="R278" s="356">
        <f t="shared" si="71"/>
        <v>5929656.349014265</v>
      </c>
      <c r="S278" s="356">
        <f>IF($G$4="mensual",S277,0)</f>
        <v>10000</v>
      </c>
      <c r="U278" s="356">
        <f t="shared" si="80"/>
        <v>47363.653826469585</v>
      </c>
      <c r="V278" s="359">
        <f t="shared" si="82"/>
        <v>-173.64212683911256</v>
      </c>
      <c r="X278" s="359">
        <f t="shared" si="81"/>
        <v>-5987.020002840735</v>
      </c>
      <c r="Y278" s="356">
        <f t="shared" si="66"/>
        <v>5980859.340711055</v>
      </c>
      <c r="AA278" s="357">
        <f>+Bono!J278</f>
        <v>263499.8071847495</v>
      </c>
      <c r="AC278" s="378">
        <f t="shared" si="72"/>
        <v>21.25</v>
      </c>
      <c r="AD278" s="356">
        <f t="shared" si="73"/>
        <v>6715736.617137387</v>
      </c>
    </row>
    <row r="279" spans="2:30" x14ac:dyDescent="0.25">
      <c r="B279" s="356">
        <f t="shared" si="67"/>
        <v>256</v>
      </c>
      <c r="C279" s="357">
        <f t="shared" si="74"/>
        <v>21</v>
      </c>
      <c r="D279" s="357">
        <f t="shared" si="75"/>
        <v>4</v>
      </c>
      <c r="E279" s="357">
        <f t="shared" si="76"/>
        <v>50</v>
      </c>
      <c r="F279" s="356">
        <f t="shared" si="68"/>
        <v>471377.4692415829</v>
      </c>
      <c r="H279" s="356">
        <f t="shared" si="64"/>
        <v>3758.8301347536467</v>
      </c>
      <c r="I279" s="356">
        <v>0</v>
      </c>
      <c r="J279" s="356">
        <v>0</v>
      </c>
      <c r="K279" s="356">
        <f t="shared" si="69"/>
        <v>-475.1362993763366</v>
      </c>
      <c r="L279" s="356">
        <f t="shared" si="65"/>
        <v>474661.16307696025</v>
      </c>
      <c r="N279" s="356">
        <f t="shared" si="70"/>
        <v>256</v>
      </c>
      <c r="O279" s="357">
        <f t="shared" si="77"/>
        <v>21</v>
      </c>
      <c r="P279" s="357">
        <f t="shared" si="78"/>
        <v>4</v>
      </c>
      <c r="Q279" s="357">
        <f t="shared" si="79"/>
        <v>21</v>
      </c>
      <c r="R279" s="356">
        <f t="shared" si="71"/>
        <v>5980859.340711055</v>
      </c>
      <c r="S279" s="356">
        <f>IF($G$4="mensual",S276,IF($G$4="trimestral",S276,0))</f>
        <v>10000</v>
      </c>
      <c r="U279" s="356">
        <f t="shared" si="80"/>
        <v>47771.95367263978</v>
      </c>
      <c r="V279" s="359">
        <f t="shared" si="82"/>
        <v>-173.64212683911256</v>
      </c>
      <c r="X279" s="359">
        <f t="shared" si="81"/>
        <v>-6038.631294383696</v>
      </c>
      <c r="Y279" s="356">
        <f t="shared" si="66"/>
        <v>6032419.020962473</v>
      </c>
      <c r="AA279" s="357">
        <f>+Bono!J279</f>
        <v>265133.5365533808</v>
      </c>
      <c r="AC279" s="378">
        <f t="shared" si="72"/>
        <v>21.333333333333332</v>
      </c>
      <c r="AD279" s="356">
        <f t="shared" si="73"/>
        <v>6772213.7205928145</v>
      </c>
    </row>
    <row r="280" spans="2:30" x14ac:dyDescent="0.25">
      <c r="B280" s="356">
        <f t="shared" si="67"/>
        <v>257</v>
      </c>
      <c r="C280" s="357">
        <f t="shared" si="74"/>
        <v>21</v>
      </c>
      <c r="D280" s="357">
        <f t="shared" si="75"/>
        <v>5</v>
      </c>
      <c r="E280" s="357">
        <f t="shared" si="76"/>
        <v>50</v>
      </c>
      <c r="F280" s="356">
        <f t="shared" si="68"/>
        <v>474661.16307696025</v>
      </c>
      <c r="H280" s="356">
        <f t="shared" ref="H280:H343" si="83">SUM(F280:G280)*$G$8</f>
        <v>3785.0147705224713</v>
      </c>
      <c r="I280" s="356">
        <v>0</v>
      </c>
      <c r="J280" s="356">
        <v>0</v>
      </c>
      <c r="K280" s="356">
        <f t="shared" si="69"/>
        <v>-478.4461778474827</v>
      </c>
      <c r="L280" s="356">
        <f t="shared" ref="L280:L343" si="84">SUM(F280:K280)</f>
        <v>477967.7316696352</v>
      </c>
      <c r="N280" s="356">
        <f t="shared" si="70"/>
        <v>257</v>
      </c>
      <c r="O280" s="357">
        <f t="shared" si="77"/>
        <v>21</v>
      </c>
      <c r="P280" s="357">
        <f t="shared" si="78"/>
        <v>5</v>
      </c>
      <c r="Q280" s="357">
        <f t="shared" si="79"/>
        <v>21</v>
      </c>
      <c r="R280" s="356">
        <f t="shared" si="71"/>
        <v>6032419.020962473</v>
      </c>
      <c r="S280" s="356">
        <f>IF($G$4="mensual",S279,0)</f>
        <v>10000</v>
      </c>
      <c r="U280" s="356">
        <f t="shared" si="80"/>
        <v>48183.09780343396</v>
      </c>
      <c r="V280" s="359">
        <f t="shared" si="82"/>
        <v>-173.64212683911256</v>
      </c>
      <c r="X280" s="359">
        <f t="shared" si="81"/>
        <v>-6090.602118765907</v>
      </c>
      <c r="Y280" s="356">
        <f t="shared" ref="Y280:Y343" si="85">SUM(R280:X280)</f>
        <v>6084337.874520303</v>
      </c>
      <c r="AA280" s="357">
        <f>+Bono!J280</f>
        <v>266777.3952335985</v>
      </c>
      <c r="AC280" s="378">
        <f t="shared" si="72"/>
        <v>21.416666666666668</v>
      </c>
      <c r="AD280" s="356">
        <f t="shared" si="73"/>
        <v>6829083.001423537</v>
      </c>
    </row>
    <row r="281" spans="2:30" x14ac:dyDescent="0.25">
      <c r="B281" s="356">
        <f t="shared" ref="B281:B344" si="86">+B280+1</f>
        <v>258</v>
      </c>
      <c r="C281" s="357">
        <f t="shared" si="74"/>
        <v>21</v>
      </c>
      <c r="D281" s="357">
        <f t="shared" si="75"/>
        <v>6</v>
      </c>
      <c r="E281" s="357">
        <f t="shared" si="76"/>
        <v>50</v>
      </c>
      <c r="F281" s="356">
        <f t="shared" ref="F281:F344" si="87">L280</f>
        <v>477967.7316696352</v>
      </c>
      <c r="H281" s="356">
        <f t="shared" si="83"/>
        <v>3811.3818128182643</v>
      </c>
      <c r="I281" s="356">
        <v>0</v>
      </c>
      <c r="J281" s="360">
        <f>-SUM(F281:H281)*$J$21</f>
        <v>-4336.012021342082</v>
      </c>
      <c r="K281" s="356">
        <f t="shared" ref="K281:K344" si="88">-SUM(F281:J281)*0.1%</f>
        <v>-477.44310146111144</v>
      </c>
      <c r="L281" s="356">
        <f t="shared" si="84"/>
        <v>476965.65835965035</v>
      </c>
      <c r="N281" s="356">
        <f t="shared" ref="N281:N344" si="89">+N280+1</f>
        <v>258</v>
      </c>
      <c r="O281" s="357">
        <f t="shared" si="77"/>
        <v>21</v>
      </c>
      <c r="P281" s="357">
        <f t="shared" si="78"/>
        <v>6</v>
      </c>
      <c r="Q281" s="357">
        <f t="shared" si="79"/>
        <v>21</v>
      </c>
      <c r="R281" s="356">
        <f t="shared" ref="R281:R344" si="90">Y280</f>
        <v>6084337.874520303</v>
      </c>
      <c r="S281" s="356">
        <f>IF($G$4="mensual",S280,0)</f>
        <v>10000</v>
      </c>
      <c r="U281" s="356">
        <f t="shared" si="80"/>
        <v>48597.10603261178</v>
      </c>
      <c r="V281" s="359">
        <f t="shared" si="82"/>
        <v>-173.64212683911256</v>
      </c>
      <c r="X281" s="359">
        <f t="shared" si="81"/>
        <v>-6142.934980552915</v>
      </c>
      <c r="Y281" s="356">
        <f t="shared" si="85"/>
        <v>6136618.403445523</v>
      </c>
      <c r="AA281" s="357">
        <f>+Bono!J281</f>
        <v>266013.144712739</v>
      </c>
      <c r="AC281" s="378">
        <f t="shared" ref="AC281:AC344" si="91">+B281/12</f>
        <v>21.5</v>
      </c>
      <c r="AD281" s="356">
        <f t="shared" ref="AD281:AD344" si="92">+AA281+Y281+L281</f>
        <v>6879597.206517912</v>
      </c>
    </row>
    <row r="282" spans="2:30" x14ac:dyDescent="0.25">
      <c r="B282" s="356">
        <f t="shared" si="86"/>
        <v>259</v>
      </c>
      <c r="C282" s="357">
        <f t="shared" si="74"/>
        <v>21</v>
      </c>
      <c r="D282" s="357">
        <f t="shared" si="75"/>
        <v>7</v>
      </c>
      <c r="E282" s="357">
        <f t="shared" si="76"/>
        <v>50</v>
      </c>
      <c r="F282" s="356">
        <f t="shared" si="87"/>
        <v>476965.65835965035</v>
      </c>
      <c r="H282" s="356">
        <f t="shared" si="83"/>
        <v>3803.3911395243886</v>
      </c>
      <c r="I282" s="356">
        <v>0</v>
      </c>
      <c r="J282" s="356">
        <v>0</v>
      </c>
      <c r="K282" s="356">
        <f t="shared" si="88"/>
        <v>-480.76904949917474</v>
      </c>
      <c r="L282" s="356">
        <f t="shared" si="84"/>
        <v>480288.28044967557</v>
      </c>
      <c r="N282" s="356">
        <f t="shared" si="89"/>
        <v>259</v>
      </c>
      <c r="O282" s="357">
        <f t="shared" si="77"/>
        <v>21</v>
      </c>
      <c r="P282" s="357">
        <f t="shared" si="78"/>
        <v>7</v>
      </c>
      <c r="Q282" s="357">
        <f t="shared" si="79"/>
        <v>21</v>
      </c>
      <c r="R282" s="356">
        <f t="shared" si="90"/>
        <v>6136618.403445523</v>
      </c>
      <c r="S282" s="356">
        <f>+IF($G$4="mensual",S276,IF($G$4="trimestral",S276,IF($G$4="semestral",S276,0)))</f>
        <v>10000</v>
      </c>
      <c r="U282" s="356">
        <f t="shared" si="80"/>
        <v>49013.99831195886</v>
      </c>
      <c r="V282" s="359">
        <f t="shared" si="82"/>
        <v>-173.64212683911256</v>
      </c>
      <c r="X282" s="359">
        <f t="shared" si="81"/>
        <v>-6195.6324017574825</v>
      </c>
      <c r="Y282" s="356">
        <f t="shared" si="85"/>
        <v>6189263.127228886</v>
      </c>
      <c r="AA282" s="357">
        <f>+Bono!J282</f>
        <v>267662.45706557296</v>
      </c>
      <c r="AC282" s="378">
        <f t="shared" si="91"/>
        <v>21.583333333333332</v>
      </c>
      <c r="AD282" s="356">
        <f t="shared" si="92"/>
        <v>6937213.864744134</v>
      </c>
    </row>
    <row r="283" spans="2:30" x14ac:dyDescent="0.25">
      <c r="B283" s="356">
        <f t="shared" si="86"/>
        <v>260</v>
      </c>
      <c r="C283" s="357">
        <f t="shared" si="74"/>
        <v>21</v>
      </c>
      <c r="D283" s="357">
        <f t="shared" si="75"/>
        <v>8</v>
      </c>
      <c r="E283" s="357">
        <f t="shared" si="76"/>
        <v>50</v>
      </c>
      <c r="F283" s="356">
        <f t="shared" si="87"/>
        <v>480288.28044967557</v>
      </c>
      <c r="H283" s="356">
        <f t="shared" si="83"/>
        <v>3829.8861946624274</v>
      </c>
      <c r="I283" s="356">
        <v>0</v>
      </c>
      <c r="J283" s="356">
        <v>0</v>
      </c>
      <c r="K283" s="356">
        <f t="shared" si="88"/>
        <v>-484.11816664433803</v>
      </c>
      <c r="L283" s="356">
        <f t="shared" si="84"/>
        <v>483634.04847769364</v>
      </c>
      <c r="N283" s="356">
        <f t="shared" si="89"/>
        <v>260</v>
      </c>
      <c r="O283" s="357">
        <f t="shared" si="77"/>
        <v>21</v>
      </c>
      <c r="P283" s="357">
        <f t="shared" si="78"/>
        <v>8</v>
      </c>
      <c r="Q283" s="357">
        <f t="shared" si="79"/>
        <v>21</v>
      </c>
      <c r="R283" s="356">
        <f t="shared" si="90"/>
        <v>6189263.127228886</v>
      </c>
      <c r="S283" s="356">
        <f>IF($G$4="mensual",S282,0)</f>
        <v>10000</v>
      </c>
      <c r="U283" s="356">
        <f t="shared" si="80"/>
        <v>49433.794732248236</v>
      </c>
      <c r="V283" s="359">
        <f t="shared" si="82"/>
        <v>-173.64212683911256</v>
      </c>
      <c r="X283" s="359">
        <f t="shared" si="81"/>
        <v>-6248.696921961135</v>
      </c>
      <c r="Y283" s="356">
        <f t="shared" si="85"/>
        <v>6242274.582912334</v>
      </c>
      <c r="AA283" s="357">
        <f>+Bono!J283</f>
        <v>269321.99534630287</v>
      </c>
      <c r="AC283" s="378">
        <f t="shared" si="91"/>
        <v>21.666666666666668</v>
      </c>
      <c r="AD283" s="356">
        <f t="shared" si="92"/>
        <v>6995230.626736331</v>
      </c>
    </row>
    <row r="284" spans="2:30" x14ac:dyDescent="0.25">
      <c r="B284" s="356">
        <f t="shared" si="86"/>
        <v>261</v>
      </c>
      <c r="C284" s="357">
        <f t="shared" si="74"/>
        <v>21</v>
      </c>
      <c r="D284" s="357">
        <f t="shared" si="75"/>
        <v>9</v>
      </c>
      <c r="E284" s="357">
        <f t="shared" si="76"/>
        <v>50</v>
      </c>
      <c r="F284" s="356">
        <f t="shared" si="87"/>
        <v>483634.04847769364</v>
      </c>
      <c r="H284" s="356">
        <f t="shared" si="83"/>
        <v>3856.56581876038</v>
      </c>
      <c r="I284" s="356">
        <v>0</v>
      </c>
      <c r="J284" s="360">
        <f>-SUM(F284:H284)*$J$21</f>
        <v>-4387.415528668086</v>
      </c>
      <c r="K284" s="356">
        <f t="shared" si="88"/>
        <v>-483.1031987677859</v>
      </c>
      <c r="L284" s="356">
        <f t="shared" si="84"/>
        <v>482620.0955690181</v>
      </c>
      <c r="N284" s="356">
        <f t="shared" si="89"/>
        <v>261</v>
      </c>
      <c r="O284" s="357">
        <f t="shared" si="77"/>
        <v>21</v>
      </c>
      <c r="P284" s="357">
        <f t="shared" si="78"/>
        <v>9</v>
      </c>
      <c r="Q284" s="357">
        <f t="shared" si="79"/>
        <v>21</v>
      </c>
      <c r="R284" s="356">
        <f t="shared" si="90"/>
        <v>6242274.582912334</v>
      </c>
      <c r="S284" s="356">
        <f>IF($G$4="mensual",S283,0)</f>
        <v>10000</v>
      </c>
      <c r="U284" s="356">
        <f t="shared" si="80"/>
        <v>49856.51552420866</v>
      </c>
      <c r="V284" s="359">
        <f t="shared" si="82"/>
        <v>-173.64212683911256</v>
      </c>
      <c r="X284" s="359">
        <f t="shared" si="81"/>
        <v>-6302.131098436543</v>
      </c>
      <c r="Y284" s="356">
        <f t="shared" si="85"/>
        <v>6295655.325211268</v>
      </c>
      <c r="AA284" s="357">
        <f>+Bono!J284</f>
        <v>268550.4551824817</v>
      </c>
      <c r="AC284" s="378">
        <f t="shared" si="91"/>
        <v>21.75</v>
      </c>
      <c r="AD284" s="356">
        <f t="shared" si="92"/>
        <v>7046825.875962768</v>
      </c>
    </row>
    <row r="285" spans="2:30" x14ac:dyDescent="0.25">
      <c r="B285" s="356">
        <f t="shared" si="86"/>
        <v>262</v>
      </c>
      <c r="C285" s="357">
        <f t="shared" si="74"/>
        <v>21</v>
      </c>
      <c r="D285" s="357">
        <f t="shared" si="75"/>
        <v>10</v>
      </c>
      <c r="E285" s="357">
        <f t="shared" si="76"/>
        <v>50</v>
      </c>
      <c r="F285" s="356">
        <f t="shared" si="87"/>
        <v>482620.0955690181</v>
      </c>
      <c r="H285" s="356">
        <f t="shared" si="83"/>
        <v>3848.480415878306</v>
      </c>
      <c r="I285" s="356">
        <v>0</v>
      </c>
      <c r="J285" s="356">
        <v>0</v>
      </c>
      <c r="K285" s="356">
        <f t="shared" si="88"/>
        <v>-486.4685759848964</v>
      </c>
      <c r="L285" s="356">
        <f t="shared" si="84"/>
        <v>485982.1074089115</v>
      </c>
      <c r="N285" s="356">
        <f t="shared" si="89"/>
        <v>262</v>
      </c>
      <c r="O285" s="357">
        <f t="shared" si="77"/>
        <v>21</v>
      </c>
      <c r="P285" s="357">
        <f t="shared" si="78"/>
        <v>10</v>
      </c>
      <c r="Q285" s="357">
        <f t="shared" si="79"/>
        <v>21</v>
      </c>
      <c r="R285" s="356">
        <f t="shared" si="90"/>
        <v>6295655.325211268</v>
      </c>
      <c r="S285" s="356">
        <f>IF($G$4="mensual",S276,IF($G$4="trimestral",S276,0))</f>
        <v>10000</v>
      </c>
      <c r="U285" s="356">
        <f t="shared" si="80"/>
        <v>50282.18105949948</v>
      </c>
      <c r="V285" s="359">
        <f t="shared" si="82"/>
        <v>-173.64212683911256</v>
      </c>
      <c r="X285" s="359">
        <f t="shared" si="81"/>
        <v>-6355.937506270768</v>
      </c>
      <c r="Y285" s="356">
        <f t="shared" si="85"/>
        <v>6349407.926637658</v>
      </c>
      <c r="AA285" s="357">
        <f>+Bono!J285</f>
        <v>270215.4991545378</v>
      </c>
      <c r="AC285" s="378">
        <f t="shared" si="91"/>
        <v>21.833333333333332</v>
      </c>
      <c r="AD285" s="356">
        <f t="shared" si="92"/>
        <v>7105605.533201108</v>
      </c>
    </row>
    <row r="286" spans="2:30" x14ac:dyDescent="0.25">
      <c r="B286" s="356">
        <f t="shared" si="86"/>
        <v>263</v>
      </c>
      <c r="C286" s="357">
        <f t="shared" si="74"/>
        <v>21</v>
      </c>
      <c r="D286" s="357">
        <f t="shared" si="75"/>
        <v>11</v>
      </c>
      <c r="E286" s="357">
        <f t="shared" si="76"/>
        <v>50</v>
      </c>
      <c r="F286" s="356">
        <f t="shared" si="87"/>
        <v>485982.1074089115</v>
      </c>
      <c r="H286" s="356">
        <f t="shared" si="83"/>
        <v>3875.289570413253</v>
      </c>
      <c r="I286" s="356">
        <v>0</v>
      </c>
      <c r="J286" s="356">
        <v>0</v>
      </c>
      <c r="K286" s="356">
        <f t="shared" si="88"/>
        <v>-489.8573969793248</v>
      </c>
      <c r="L286" s="356">
        <f t="shared" si="84"/>
        <v>489367.5395823454</v>
      </c>
      <c r="N286" s="356">
        <f t="shared" si="89"/>
        <v>263</v>
      </c>
      <c r="O286" s="357">
        <f t="shared" si="77"/>
        <v>21</v>
      </c>
      <c r="P286" s="357">
        <f t="shared" si="78"/>
        <v>11</v>
      </c>
      <c r="Q286" s="357">
        <f t="shared" si="79"/>
        <v>21</v>
      </c>
      <c r="R286" s="356">
        <f t="shared" si="90"/>
        <v>6349407.926637658</v>
      </c>
      <c r="S286" s="356">
        <f>IF($G$17="si",S274*(1+$G$20),S274)</f>
        <v>10000</v>
      </c>
      <c r="U286" s="356">
        <f t="shared" si="80"/>
        <v>50710.811851692415</v>
      </c>
      <c r="V286" s="359">
        <f t="shared" si="82"/>
        <v>-173.64212683911256</v>
      </c>
      <c r="X286" s="359">
        <f t="shared" si="81"/>
        <v>-6410.11873848935</v>
      </c>
      <c r="Y286" s="356">
        <f t="shared" si="85"/>
        <v>6403534.977624022</v>
      </c>
      <c r="AA286" s="357">
        <f>+Bono!J286</f>
        <v>271890.86659235385</v>
      </c>
      <c r="AC286" s="378">
        <f t="shared" si="91"/>
        <v>21.916666666666668</v>
      </c>
      <c r="AD286" s="356">
        <f t="shared" si="92"/>
        <v>7164793.383798722</v>
      </c>
    </row>
    <row r="287" spans="2:30" x14ac:dyDescent="0.25">
      <c r="B287" s="356">
        <f t="shared" si="86"/>
        <v>264</v>
      </c>
      <c r="C287" s="357">
        <f t="shared" si="74"/>
        <v>21</v>
      </c>
      <c r="D287" s="357">
        <f t="shared" si="75"/>
        <v>12</v>
      </c>
      <c r="E287" s="357">
        <f t="shared" si="76"/>
        <v>50</v>
      </c>
      <c r="F287" s="356">
        <f t="shared" si="87"/>
        <v>489367.5395823454</v>
      </c>
      <c r="H287" s="356">
        <f t="shared" si="83"/>
        <v>3902.2854819767435</v>
      </c>
      <c r="I287" s="356">
        <v>0</v>
      </c>
      <c r="J287" s="360">
        <f>-SUM(F287:H287)*$J$21</f>
        <v>-4439.4284255789</v>
      </c>
      <c r="K287" s="356">
        <f t="shared" si="88"/>
        <v>-488.83039663874325</v>
      </c>
      <c r="L287" s="356">
        <f t="shared" si="84"/>
        <v>488341.5662421045</v>
      </c>
      <c r="N287" s="356">
        <f t="shared" si="89"/>
        <v>264</v>
      </c>
      <c r="O287" s="357">
        <f t="shared" si="77"/>
        <v>21</v>
      </c>
      <c r="P287" s="357">
        <f t="shared" si="78"/>
        <v>12</v>
      </c>
      <c r="Q287" s="357">
        <f t="shared" si="79"/>
        <v>21</v>
      </c>
      <c r="R287" s="356">
        <f t="shared" si="90"/>
        <v>6403534.977624022</v>
      </c>
      <c r="S287" s="356">
        <f>IF($G$4="mensual",S286,0)</f>
        <v>10000</v>
      </c>
      <c r="U287" s="356">
        <f t="shared" si="80"/>
        <v>51142.428557260115</v>
      </c>
      <c r="V287" s="359">
        <f t="shared" si="82"/>
        <v>-173.64212683911256</v>
      </c>
      <c r="X287" s="359">
        <f t="shared" si="81"/>
        <v>-6464.677406181282</v>
      </c>
      <c r="Y287" s="356">
        <f t="shared" si="85"/>
        <v>6458039.086648262</v>
      </c>
      <c r="AA287" s="357">
        <f>+Bono!J287</f>
        <v>271111.9672548436</v>
      </c>
      <c r="AC287" s="378">
        <f t="shared" si="91"/>
        <v>22</v>
      </c>
      <c r="AD287" s="356">
        <f t="shared" si="92"/>
        <v>7217492.62014521</v>
      </c>
    </row>
    <row r="288" spans="2:30" x14ac:dyDescent="0.25">
      <c r="B288" s="356">
        <f t="shared" si="86"/>
        <v>265</v>
      </c>
      <c r="C288" s="357">
        <f t="shared" si="74"/>
        <v>22</v>
      </c>
      <c r="D288" s="357">
        <f t="shared" si="75"/>
        <v>1</v>
      </c>
      <c r="E288" s="357">
        <f t="shared" si="76"/>
        <v>51</v>
      </c>
      <c r="F288" s="356">
        <f t="shared" si="87"/>
        <v>488341.5662421045</v>
      </c>
      <c r="H288" s="356">
        <f t="shared" si="83"/>
        <v>3894.1042264853513</v>
      </c>
      <c r="I288" s="356">
        <v>0</v>
      </c>
      <c r="J288" s="356">
        <v>0</v>
      </c>
      <c r="K288" s="356">
        <f t="shared" si="88"/>
        <v>-492.2356704685899</v>
      </c>
      <c r="L288" s="356">
        <f t="shared" si="84"/>
        <v>491743.4347981213</v>
      </c>
      <c r="N288" s="356">
        <f t="shared" si="89"/>
        <v>265</v>
      </c>
      <c r="O288" s="357">
        <f t="shared" si="77"/>
        <v>22</v>
      </c>
      <c r="P288" s="357">
        <f t="shared" si="78"/>
        <v>1</v>
      </c>
      <c r="Q288" s="357">
        <f t="shared" si="79"/>
        <v>22</v>
      </c>
      <c r="R288" s="356">
        <f t="shared" si="90"/>
        <v>6458039.086648262</v>
      </c>
      <c r="S288" s="356">
        <f>IF($G$17="si",S276*(1+$G$20),S276)</f>
        <v>10000</v>
      </c>
      <c r="U288" s="356">
        <f t="shared" si="80"/>
        <v>51577.05197657168</v>
      </c>
      <c r="V288" s="359">
        <f>(V287*(1+$G$18))</f>
        <v>-180.58781191267707</v>
      </c>
      <c r="X288" s="359">
        <f t="shared" si="81"/>
        <v>-6519.616138624834</v>
      </c>
      <c r="Y288" s="356">
        <f t="shared" si="85"/>
        <v>6512915.9346742965</v>
      </c>
      <c r="AA288" s="357">
        <f>+Bono!J288</f>
        <v>272792.89289886545</v>
      </c>
      <c r="AC288" s="378">
        <f t="shared" si="91"/>
        <v>22.083333333333332</v>
      </c>
      <c r="AD288" s="356">
        <f t="shared" si="92"/>
        <v>7277452.262371283</v>
      </c>
    </row>
    <row r="289" spans="2:30" x14ac:dyDescent="0.25">
      <c r="B289" s="356">
        <f t="shared" si="86"/>
        <v>266</v>
      </c>
      <c r="C289" s="357">
        <f t="shared" si="74"/>
        <v>22</v>
      </c>
      <c r="D289" s="357">
        <f t="shared" si="75"/>
        <v>2</v>
      </c>
      <c r="E289" s="357">
        <f t="shared" si="76"/>
        <v>51</v>
      </c>
      <c r="F289" s="356">
        <f t="shared" si="87"/>
        <v>491743.4347981213</v>
      </c>
      <c r="H289" s="356">
        <f t="shared" si="83"/>
        <v>3921.231204071701</v>
      </c>
      <c r="I289" s="356">
        <v>0</v>
      </c>
      <c r="J289" s="356">
        <v>0</v>
      </c>
      <c r="K289" s="356">
        <f t="shared" si="88"/>
        <v>-495.66466600219303</v>
      </c>
      <c r="L289" s="356">
        <f t="shared" si="84"/>
        <v>495169.0013361908</v>
      </c>
      <c r="N289" s="356">
        <f t="shared" si="89"/>
        <v>266</v>
      </c>
      <c r="O289" s="357">
        <f t="shared" si="77"/>
        <v>22</v>
      </c>
      <c r="P289" s="357">
        <f t="shared" si="78"/>
        <v>2</v>
      </c>
      <c r="Q289" s="357">
        <f t="shared" si="79"/>
        <v>22</v>
      </c>
      <c r="R289" s="356">
        <f t="shared" si="90"/>
        <v>6512915.9346742965</v>
      </c>
      <c r="S289" s="356">
        <f>IF($G$4="mensual",S288,0)</f>
        <v>10000</v>
      </c>
      <c r="U289" s="356">
        <f t="shared" si="80"/>
        <v>52014.64766902689</v>
      </c>
      <c r="V289" s="359">
        <f t="shared" si="82"/>
        <v>-180.58781191267707</v>
      </c>
      <c r="X289" s="359">
        <f t="shared" si="81"/>
        <v>-6574.930582343323</v>
      </c>
      <c r="Y289" s="356">
        <f t="shared" si="85"/>
        <v>6568175.063949067</v>
      </c>
      <c r="AA289" s="357">
        <f>+Bono!J289</f>
        <v>274484.2404768555</v>
      </c>
      <c r="AC289" s="378">
        <f t="shared" si="91"/>
        <v>22.166666666666668</v>
      </c>
      <c r="AD289" s="356">
        <f t="shared" si="92"/>
        <v>7337828.305762113</v>
      </c>
    </row>
    <row r="290" spans="2:30" x14ac:dyDescent="0.25">
      <c r="B290" s="356">
        <f t="shared" si="86"/>
        <v>267</v>
      </c>
      <c r="C290" s="357">
        <f t="shared" si="74"/>
        <v>22</v>
      </c>
      <c r="D290" s="357">
        <f t="shared" si="75"/>
        <v>3</v>
      </c>
      <c r="E290" s="357">
        <f t="shared" si="76"/>
        <v>51</v>
      </c>
      <c r="F290" s="356">
        <f t="shared" si="87"/>
        <v>495169.0013361908</v>
      </c>
      <c r="H290" s="356">
        <f t="shared" si="83"/>
        <v>3948.547152694821</v>
      </c>
      <c r="I290" s="356">
        <v>0</v>
      </c>
      <c r="J290" s="360">
        <f>-SUM(F290:H290)*$J$21</f>
        <v>-4492.057936399971</v>
      </c>
      <c r="K290" s="356">
        <f t="shared" si="88"/>
        <v>-494.6254905524857</v>
      </c>
      <c r="L290" s="356">
        <f t="shared" si="84"/>
        <v>494130.8650619332</v>
      </c>
      <c r="N290" s="356">
        <f t="shared" si="89"/>
        <v>267</v>
      </c>
      <c r="O290" s="357">
        <f t="shared" si="77"/>
        <v>22</v>
      </c>
      <c r="P290" s="357">
        <f t="shared" si="78"/>
        <v>3</v>
      </c>
      <c r="Q290" s="357">
        <f t="shared" si="79"/>
        <v>22</v>
      </c>
      <c r="R290" s="356">
        <f t="shared" si="90"/>
        <v>6568175.063949067</v>
      </c>
      <c r="S290" s="356">
        <f>IF($G$4="mensual",S289,0)</f>
        <v>10000</v>
      </c>
      <c r="U290" s="356">
        <f t="shared" si="80"/>
        <v>52455.291725842864</v>
      </c>
      <c r="V290" s="359">
        <f t="shared" si="82"/>
        <v>-180.58781191267707</v>
      </c>
      <c r="X290" s="359">
        <f t="shared" si="81"/>
        <v>-6630.630355674911</v>
      </c>
      <c r="Y290" s="356">
        <f t="shared" si="85"/>
        <v>6623819.137507323</v>
      </c>
      <c r="AA290" s="357">
        <f>+Bono!J290</f>
        <v>273697.9117717248</v>
      </c>
      <c r="AC290" s="378">
        <f t="shared" si="91"/>
        <v>22.25</v>
      </c>
      <c r="AD290" s="356">
        <f t="shared" si="92"/>
        <v>7391647.914340981</v>
      </c>
    </row>
    <row r="291" spans="2:30" x14ac:dyDescent="0.25">
      <c r="B291" s="356">
        <f t="shared" si="86"/>
        <v>268</v>
      </c>
      <c r="C291" s="357">
        <f t="shared" si="74"/>
        <v>22</v>
      </c>
      <c r="D291" s="357">
        <f t="shared" si="75"/>
        <v>4</v>
      </c>
      <c r="E291" s="357">
        <f t="shared" si="76"/>
        <v>51</v>
      </c>
      <c r="F291" s="356">
        <f t="shared" si="87"/>
        <v>494130.8650619332</v>
      </c>
      <c r="H291" s="356">
        <f t="shared" si="83"/>
        <v>3940.268908259552</v>
      </c>
      <c r="I291" s="356">
        <v>0</v>
      </c>
      <c r="J291" s="356">
        <v>0</v>
      </c>
      <c r="K291" s="356">
        <f t="shared" si="88"/>
        <v>-498.07113397019276</v>
      </c>
      <c r="L291" s="356">
        <f t="shared" si="84"/>
        <v>497573.0628362226</v>
      </c>
      <c r="N291" s="356">
        <f t="shared" si="89"/>
        <v>268</v>
      </c>
      <c r="O291" s="357">
        <f t="shared" si="77"/>
        <v>22</v>
      </c>
      <c r="P291" s="357">
        <f t="shared" si="78"/>
        <v>4</v>
      </c>
      <c r="Q291" s="357">
        <f t="shared" si="79"/>
        <v>22</v>
      </c>
      <c r="R291" s="356">
        <f t="shared" si="90"/>
        <v>6623819.137507323</v>
      </c>
      <c r="S291" s="356">
        <f>IF($G$4="mensual",S288,IF($G$4="trimestral",S288,0))</f>
        <v>10000</v>
      </c>
      <c r="U291" s="356">
        <f t="shared" si="80"/>
        <v>52899.005382432646</v>
      </c>
      <c r="V291" s="359">
        <f t="shared" si="82"/>
        <v>-180.58781191267707</v>
      </c>
      <c r="X291" s="359">
        <f t="shared" si="81"/>
        <v>-6686.718142889756</v>
      </c>
      <c r="Y291" s="356">
        <f t="shared" si="85"/>
        <v>6679850.836934954</v>
      </c>
      <c r="AA291" s="357">
        <f>+Bono!J291</f>
        <v>275394.87057170225</v>
      </c>
      <c r="AC291" s="378">
        <f t="shared" si="91"/>
        <v>22.333333333333332</v>
      </c>
      <c r="AD291" s="356">
        <f t="shared" si="92"/>
        <v>7452818.770342879</v>
      </c>
    </row>
    <row r="292" spans="2:30" x14ac:dyDescent="0.25">
      <c r="B292" s="356">
        <f t="shared" si="86"/>
        <v>269</v>
      </c>
      <c r="C292" s="357">
        <f t="shared" ref="C292:C355" si="93">C280+1</f>
        <v>22</v>
      </c>
      <c r="D292" s="357">
        <f t="shared" ref="D292:D355" si="94">D280</f>
        <v>5</v>
      </c>
      <c r="E292" s="357">
        <f t="shared" ref="E292:E355" si="95">E280+1</f>
        <v>51</v>
      </c>
      <c r="F292" s="356">
        <f t="shared" si="87"/>
        <v>497573.0628362226</v>
      </c>
      <c r="H292" s="356">
        <f t="shared" si="83"/>
        <v>3967.7174766957955</v>
      </c>
      <c r="I292" s="356">
        <v>0</v>
      </c>
      <c r="J292" s="356">
        <v>0</v>
      </c>
      <c r="K292" s="356">
        <f t="shared" si="88"/>
        <v>-501.54078031291834</v>
      </c>
      <c r="L292" s="356">
        <f t="shared" si="84"/>
        <v>501039.23953260545</v>
      </c>
      <c r="N292" s="356">
        <f t="shared" si="89"/>
        <v>269</v>
      </c>
      <c r="O292" s="357">
        <f t="shared" ref="O292:O355" si="96">O280+1</f>
        <v>22</v>
      </c>
      <c r="P292" s="357">
        <f t="shared" ref="P292:P355" si="97">P280</f>
        <v>5</v>
      </c>
      <c r="Q292" s="357">
        <f t="shared" ref="Q292:Q355" si="98">Q280+1</f>
        <v>22</v>
      </c>
      <c r="R292" s="356">
        <f t="shared" si="90"/>
        <v>6679850.836934954</v>
      </c>
      <c r="S292" s="356">
        <f>IF($G$4="mensual",S291,0)</f>
        <v>10000</v>
      </c>
      <c r="U292" s="356">
        <f t="shared" ref="U292:U355" si="99">SUM(R292:T292)*$G$8</f>
        <v>53345.8100221387</v>
      </c>
      <c r="V292" s="359">
        <f t="shared" si="82"/>
        <v>-180.58781191267707</v>
      </c>
      <c r="X292" s="359">
        <f t="shared" si="81"/>
        <v>-6743.196646957093</v>
      </c>
      <c r="Y292" s="356">
        <f t="shared" si="85"/>
        <v>6736272.862498224</v>
      </c>
      <c r="AA292" s="357">
        <f>+Bono!J292</f>
        <v>277102.3507130746</v>
      </c>
      <c r="AC292" s="378">
        <f t="shared" si="91"/>
        <v>22.416666666666668</v>
      </c>
      <c r="AD292" s="356">
        <f t="shared" si="92"/>
        <v>7514414.452743904</v>
      </c>
    </row>
    <row r="293" spans="2:30" x14ac:dyDescent="0.25">
      <c r="B293" s="356">
        <f t="shared" si="86"/>
        <v>270</v>
      </c>
      <c r="C293" s="357">
        <f t="shared" si="93"/>
        <v>22</v>
      </c>
      <c r="D293" s="357">
        <f t="shared" si="94"/>
        <v>6</v>
      </c>
      <c r="E293" s="357">
        <f t="shared" si="95"/>
        <v>51</v>
      </c>
      <c r="F293" s="356">
        <f t="shared" si="87"/>
        <v>501039.23953260545</v>
      </c>
      <c r="H293" s="356">
        <f t="shared" si="83"/>
        <v>3995.3572564241463</v>
      </c>
      <c r="I293" s="356">
        <v>0</v>
      </c>
      <c r="J293" s="360">
        <f>-SUM(F293:H293)*$J$21</f>
        <v>-4545.311371101267</v>
      </c>
      <c r="K293" s="356">
        <f t="shared" si="88"/>
        <v>-500.4892854179284</v>
      </c>
      <c r="L293" s="356">
        <f t="shared" si="84"/>
        <v>499988.7961325104</v>
      </c>
      <c r="N293" s="356">
        <f t="shared" si="89"/>
        <v>270</v>
      </c>
      <c r="O293" s="357">
        <f t="shared" si="96"/>
        <v>22</v>
      </c>
      <c r="P293" s="357">
        <f t="shared" si="97"/>
        <v>6</v>
      </c>
      <c r="Q293" s="357">
        <f t="shared" si="98"/>
        <v>22</v>
      </c>
      <c r="R293" s="356">
        <f t="shared" si="90"/>
        <v>6736272.862498224</v>
      </c>
      <c r="S293" s="356">
        <f>IF($G$4="mensual",S292,0)</f>
        <v>10000</v>
      </c>
      <c r="U293" s="356">
        <f t="shared" si="99"/>
        <v>53795.72717726341</v>
      </c>
      <c r="V293" s="359">
        <f t="shared" si="82"/>
        <v>-180.58781191267707</v>
      </c>
      <c r="X293" s="359">
        <f t="shared" si="81"/>
        <v>-6800.068589675488</v>
      </c>
      <c r="Y293" s="356">
        <f t="shared" si="85"/>
        <v>6793087.933273899</v>
      </c>
      <c r="AA293" s="357">
        <f>+Bono!J293</f>
        <v>276308.52177686204</v>
      </c>
      <c r="AC293" s="378">
        <f t="shared" si="91"/>
        <v>22.5</v>
      </c>
      <c r="AD293" s="356">
        <f t="shared" si="92"/>
        <v>7569385.251183272</v>
      </c>
    </row>
    <row r="294" spans="2:30" x14ac:dyDescent="0.25">
      <c r="B294" s="356">
        <f t="shared" si="86"/>
        <v>271</v>
      </c>
      <c r="C294" s="357">
        <f t="shared" si="93"/>
        <v>22</v>
      </c>
      <c r="D294" s="357">
        <f t="shared" si="94"/>
        <v>7</v>
      </c>
      <c r="E294" s="357">
        <f t="shared" si="95"/>
        <v>51</v>
      </c>
      <c r="F294" s="356">
        <f t="shared" si="87"/>
        <v>499988.7961325104</v>
      </c>
      <c r="H294" s="356">
        <f t="shared" si="83"/>
        <v>3986.9808732391734</v>
      </c>
      <c r="I294" s="356">
        <v>0</v>
      </c>
      <c r="J294" s="356">
        <v>0</v>
      </c>
      <c r="K294" s="356">
        <f t="shared" si="88"/>
        <v>-503.9757770057496</v>
      </c>
      <c r="L294" s="356">
        <f t="shared" si="84"/>
        <v>503471.8012287438</v>
      </c>
      <c r="N294" s="356">
        <f t="shared" si="89"/>
        <v>271</v>
      </c>
      <c r="O294" s="357">
        <f t="shared" si="96"/>
        <v>22</v>
      </c>
      <c r="P294" s="357">
        <f t="shared" si="97"/>
        <v>7</v>
      </c>
      <c r="Q294" s="357">
        <f t="shared" si="98"/>
        <v>22</v>
      </c>
      <c r="R294" s="356">
        <f t="shared" si="90"/>
        <v>6793087.933273899</v>
      </c>
      <c r="S294" s="356">
        <f>+IF($G$4="mensual",S288,IF($G$4="trimestral",S288,IF($G$4="semestral",S288,0)))</f>
        <v>10000</v>
      </c>
      <c r="U294" s="356">
        <f t="shared" si="99"/>
        <v>54248.778530106756</v>
      </c>
      <c r="V294" s="359">
        <f t="shared" si="82"/>
        <v>-180.58781191267707</v>
      </c>
      <c r="X294" s="359">
        <f t="shared" si="81"/>
        <v>-6857.336711804006</v>
      </c>
      <c r="Y294" s="356">
        <f t="shared" si="85"/>
        <v>6850298.787280289</v>
      </c>
      <c r="AA294" s="357">
        <f>+Bono!J294</f>
        <v>278021.66666168335</v>
      </c>
      <c r="AC294" s="378">
        <f t="shared" si="91"/>
        <v>22.583333333333332</v>
      </c>
      <c r="AD294" s="356">
        <f t="shared" si="92"/>
        <v>7631792.255170717</v>
      </c>
    </row>
    <row r="295" spans="2:30" x14ac:dyDescent="0.25">
      <c r="B295" s="356">
        <f t="shared" si="86"/>
        <v>272</v>
      </c>
      <c r="C295" s="357">
        <f t="shared" si="93"/>
        <v>22</v>
      </c>
      <c r="D295" s="357">
        <f t="shared" si="94"/>
        <v>8</v>
      </c>
      <c r="E295" s="357">
        <f t="shared" si="95"/>
        <v>51</v>
      </c>
      <c r="F295" s="356">
        <f t="shared" si="87"/>
        <v>503471.8012287438</v>
      </c>
      <c r="H295" s="356">
        <f t="shared" si="83"/>
        <v>4014.754844991126</v>
      </c>
      <c r="I295" s="356">
        <v>0</v>
      </c>
      <c r="J295" s="356">
        <v>0</v>
      </c>
      <c r="K295" s="356">
        <f t="shared" si="88"/>
        <v>-507.48655607373496</v>
      </c>
      <c r="L295" s="356">
        <f t="shared" si="84"/>
        <v>506979.06951766124</v>
      </c>
      <c r="N295" s="356">
        <f t="shared" si="89"/>
        <v>272</v>
      </c>
      <c r="O295" s="357">
        <f t="shared" si="96"/>
        <v>22</v>
      </c>
      <c r="P295" s="357">
        <f t="shared" si="97"/>
        <v>8</v>
      </c>
      <c r="Q295" s="357">
        <f t="shared" si="98"/>
        <v>22</v>
      </c>
      <c r="R295" s="356">
        <f t="shared" si="90"/>
        <v>6850298.787280289</v>
      </c>
      <c r="S295" s="356">
        <f>IF($G$4="mensual",S294,0)</f>
        <v>10000</v>
      </c>
      <c r="U295" s="356">
        <f t="shared" si="99"/>
        <v>54704.985914011224</v>
      </c>
      <c r="V295" s="359">
        <f t="shared" si="82"/>
        <v>-180.58781191267707</v>
      </c>
      <c r="X295" s="359">
        <f t="shared" si="81"/>
        <v>-6915.003773194301</v>
      </c>
      <c r="Y295" s="356">
        <f t="shared" si="85"/>
        <v>6907908.181609194</v>
      </c>
      <c r="AA295" s="357">
        <f>+Bono!J295</f>
        <v>279745.4332435031</v>
      </c>
      <c r="AC295" s="378">
        <f t="shared" si="91"/>
        <v>22.666666666666668</v>
      </c>
      <c r="AD295" s="356">
        <f t="shared" si="92"/>
        <v>7694632.684370358</v>
      </c>
    </row>
    <row r="296" spans="2:30" x14ac:dyDescent="0.25">
      <c r="B296" s="356">
        <f t="shared" si="86"/>
        <v>273</v>
      </c>
      <c r="C296" s="357">
        <f t="shared" si="93"/>
        <v>22</v>
      </c>
      <c r="D296" s="357">
        <f t="shared" si="94"/>
        <v>9</v>
      </c>
      <c r="E296" s="357">
        <f t="shared" si="95"/>
        <v>51</v>
      </c>
      <c r="F296" s="356">
        <f t="shared" si="87"/>
        <v>506979.06951766124</v>
      </c>
      <c r="H296" s="356">
        <f t="shared" si="83"/>
        <v>4042.7222948487947</v>
      </c>
      <c r="I296" s="356">
        <v>0</v>
      </c>
      <c r="J296" s="360">
        <f>-SUM(F296:H296)*$J$21</f>
        <v>-4599.196126312591</v>
      </c>
      <c r="K296" s="356">
        <f t="shared" si="88"/>
        <v>-506.42259568619744</v>
      </c>
      <c r="L296" s="356">
        <f t="shared" si="84"/>
        <v>505916.17309051123</v>
      </c>
      <c r="N296" s="356">
        <f t="shared" si="89"/>
        <v>273</v>
      </c>
      <c r="O296" s="357">
        <f t="shared" si="96"/>
        <v>22</v>
      </c>
      <c r="P296" s="357">
        <f t="shared" si="97"/>
        <v>9</v>
      </c>
      <c r="Q296" s="357">
        <f t="shared" si="98"/>
        <v>22</v>
      </c>
      <c r="R296" s="356">
        <f t="shared" si="90"/>
        <v>6907908.181609194</v>
      </c>
      <c r="S296" s="356">
        <f>IF($G$4="mensual",S295,0)</f>
        <v>10000</v>
      </c>
      <c r="U296" s="356">
        <f t="shared" si="99"/>
        <v>55164.371314414</v>
      </c>
      <c r="V296" s="359">
        <f t="shared" si="82"/>
        <v>-180.58781191267707</v>
      </c>
      <c r="X296" s="359">
        <f t="shared" si="81"/>
        <v>-6973.072552923608</v>
      </c>
      <c r="Y296" s="356">
        <f t="shared" si="85"/>
        <v>6965918.892558771</v>
      </c>
      <c r="AA296" s="357">
        <f>+Bono!J296</f>
        <v>278944.0325368307</v>
      </c>
      <c r="AC296" s="378">
        <f t="shared" si="91"/>
        <v>22.75</v>
      </c>
      <c r="AD296" s="356">
        <f t="shared" si="92"/>
        <v>7750779.098186113</v>
      </c>
    </row>
    <row r="297" spans="2:30" x14ac:dyDescent="0.25">
      <c r="B297" s="356">
        <f t="shared" si="86"/>
        <v>274</v>
      </c>
      <c r="C297" s="357">
        <f t="shared" si="93"/>
        <v>22</v>
      </c>
      <c r="D297" s="357">
        <f t="shared" si="94"/>
        <v>10</v>
      </c>
      <c r="E297" s="357">
        <f t="shared" si="95"/>
        <v>51</v>
      </c>
      <c r="F297" s="356">
        <f t="shared" si="87"/>
        <v>505916.17309051123</v>
      </c>
      <c r="H297" s="356">
        <f t="shared" si="83"/>
        <v>4034.2466094773204</v>
      </c>
      <c r="I297" s="356">
        <v>0</v>
      </c>
      <c r="J297" s="356">
        <v>0</v>
      </c>
      <c r="K297" s="356">
        <f t="shared" si="88"/>
        <v>-509.9504196999886</v>
      </c>
      <c r="L297" s="356">
        <f t="shared" si="84"/>
        <v>509440.46928028855</v>
      </c>
      <c r="N297" s="356">
        <f t="shared" si="89"/>
        <v>274</v>
      </c>
      <c r="O297" s="357">
        <f t="shared" si="96"/>
        <v>22</v>
      </c>
      <c r="P297" s="357">
        <f t="shared" si="97"/>
        <v>10</v>
      </c>
      <c r="Q297" s="357">
        <f t="shared" si="98"/>
        <v>22</v>
      </c>
      <c r="R297" s="356">
        <f t="shared" si="90"/>
        <v>6965918.892558771</v>
      </c>
      <c r="S297" s="356">
        <f>IF($G$4="mensual",S288,IF($G$4="trimestral",S288,0))</f>
        <v>10000</v>
      </c>
      <c r="U297" s="356">
        <f t="shared" si="99"/>
        <v>55626.95686990647</v>
      </c>
      <c r="V297" s="359">
        <f t="shared" si="82"/>
        <v>-180.58781191267707</v>
      </c>
      <c r="X297" s="359">
        <f t="shared" si="81"/>
        <v>-7031.545849428678</v>
      </c>
      <c r="Y297" s="356">
        <f t="shared" si="85"/>
        <v>7024333.715767337</v>
      </c>
      <c r="AA297" s="357">
        <f>+Bono!J297</f>
        <v>280673.5178940642</v>
      </c>
      <c r="AC297" s="378">
        <f t="shared" si="91"/>
        <v>22.833333333333332</v>
      </c>
      <c r="AD297" s="356">
        <f t="shared" si="92"/>
        <v>7814447.70294169</v>
      </c>
    </row>
    <row r="298" spans="2:30" x14ac:dyDescent="0.25">
      <c r="B298" s="356">
        <f t="shared" si="86"/>
        <v>275</v>
      </c>
      <c r="C298" s="357">
        <f t="shared" si="93"/>
        <v>22</v>
      </c>
      <c r="D298" s="357">
        <f t="shared" si="94"/>
        <v>11</v>
      </c>
      <c r="E298" s="357">
        <f t="shared" si="95"/>
        <v>51</v>
      </c>
      <c r="F298" s="356">
        <f t="shared" si="87"/>
        <v>509440.46928028855</v>
      </c>
      <c r="H298" s="356">
        <f t="shared" si="83"/>
        <v>4062.349842207655</v>
      </c>
      <c r="I298" s="356">
        <v>0</v>
      </c>
      <c r="J298" s="356">
        <v>0</v>
      </c>
      <c r="K298" s="356">
        <f t="shared" si="88"/>
        <v>-513.5028191224962</v>
      </c>
      <c r="L298" s="356">
        <f t="shared" si="84"/>
        <v>512989.3163033737</v>
      </c>
      <c r="N298" s="356">
        <f t="shared" si="89"/>
        <v>275</v>
      </c>
      <c r="O298" s="357">
        <f t="shared" si="96"/>
        <v>22</v>
      </c>
      <c r="P298" s="357">
        <f t="shared" si="97"/>
        <v>11</v>
      </c>
      <c r="Q298" s="357">
        <f t="shared" si="98"/>
        <v>22</v>
      </c>
      <c r="R298" s="356">
        <f t="shared" si="90"/>
        <v>7024333.715767337</v>
      </c>
      <c r="S298" s="356">
        <f>IF($G$17="si",S286*(1+$G$20),S286)</f>
        <v>10000</v>
      </c>
      <c r="U298" s="356">
        <f t="shared" si="99"/>
        <v>56092.76487330116</v>
      </c>
      <c r="V298" s="359">
        <f t="shared" si="82"/>
        <v>-180.58781191267707</v>
      </c>
      <c r="X298" s="359">
        <f t="shared" si="81"/>
        <v>-7090.426480640639</v>
      </c>
      <c r="Y298" s="356">
        <f t="shared" si="85"/>
        <v>7083155.466348086</v>
      </c>
      <c r="AA298" s="357">
        <f>+Bono!J298</f>
        <v>282413.72626112035</v>
      </c>
      <c r="AC298" s="378">
        <f t="shared" si="91"/>
        <v>22.916666666666668</v>
      </c>
      <c r="AD298" s="356">
        <f t="shared" si="92"/>
        <v>7878558.508912579</v>
      </c>
    </row>
    <row r="299" spans="2:30" x14ac:dyDescent="0.25">
      <c r="B299" s="356">
        <f t="shared" si="86"/>
        <v>276</v>
      </c>
      <c r="C299" s="357">
        <f t="shared" si="93"/>
        <v>22</v>
      </c>
      <c r="D299" s="357">
        <f t="shared" si="94"/>
        <v>12</v>
      </c>
      <c r="E299" s="357">
        <f t="shared" si="95"/>
        <v>51</v>
      </c>
      <c r="F299" s="356">
        <f t="shared" si="87"/>
        <v>512989.3163033737</v>
      </c>
      <c r="H299" s="356">
        <f t="shared" si="83"/>
        <v>4090.6488467304334</v>
      </c>
      <c r="I299" s="356">
        <v>0</v>
      </c>
      <c r="J299" s="360">
        <f>-SUM(F299:H299)*$J$21</f>
        <v>-4653.719686350938</v>
      </c>
      <c r="K299" s="356">
        <f t="shared" si="88"/>
        <v>-512.4262454637532</v>
      </c>
      <c r="L299" s="356">
        <f t="shared" si="84"/>
        <v>511913.8192182894</v>
      </c>
      <c r="N299" s="356">
        <f t="shared" si="89"/>
        <v>276</v>
      </c>
      <c r="O299" s="357">
        <f t="shared" si="96"/>
        <v>22</v>
      </c>
      <c r="P299" s="357">
        <f t="shared" si="97"/>
        <v>12</v>
      </c>
      <c r="Q299" s="357">
        <f t="shared" si="98"/>
        <v>22</v>
      </c>
      <c r="R299" s="356">
        <f t="shared" si="90"/>
        <v>7083155.466348086</v>
      </c>
      <c r="S299" s="356">
        <f>IF($G$4="mensual",S298,0)</f>
        <v>10000</v>
      </c>
      <c r="U299" s="356">
        <f t="shared" si="99"/>
        <v>56561.817772706</v>
      </c>
      <c r="V299" s="359">
        <f t="shared" si="82"/>
        <v>-180.58781191267707</v>
      </c>
      <c r="X299" s="359">
        <f t="shared" ref="X299:X362" si="100">-SUM(R299:U299)*0.1%</f>
        <v>-7149.717284120792</v>
      </c>
      <c r="Y299" s="356">
        <f t="shared" si="85"/>
        <v>7142386.979024759</v>
      </c>
      <c r="AA299" s="357">
        <f>+Bono!J299</f>
        <v>281604.6815622472</v>
      </c>
      <c r="AC299" s="378">
        <f t="shared" si="91"/>
        <v>23</v>
      </c>
      <c r="AD299" s="356">
        <f t="shared" si="92"/>
        <v>7935905.479805294</v>
      </c>
    </row>
    <row r="300" spans="2:30" x14ac:dyDescent="0.25">
      <c r="B300" s="356">
        <f t="shared" si="86"/>
        <v>277</v>
      </c>
      <c r="C300" s="357">
        <f t="shared" si="93"/>
        <v>23</v>
      </c>
      <c r="D300" s="357">
        <f t="shared" si="94"/>
        <v>1</v>
      </c>
      <c r="E300" s="357">
        <f t="shared" si="95"/>
        <v>52</v>
      </c>
      <c r="F300" s="356">
        <f t="shared" si="87"/>
        <v>511913.8192182894</v>
      </c>
      <c r="H300" s="356">
        <f t="shared" si="83"/>
        <v>4082.0726819430943</v>
      </c>
      <c r="I300" s="356">
        <v>0</v>
      </c>
      <c r="J300" s="356">
        <v>0</v>
      </c>
      <c r="K300" s="356">
        <f t="shared" si="88"/>
        <v>-515.9958919002324</v>
      </c>
      <c r="L300" s="356">
        <f t="shared" si="84"/>
        <v>515479.89600833226</v>
      </c>
      <c r="N300" s="356">
        <f t="shared" si="89"/>
        <v>277</v>
      </c>
      <c r="O300" s="357">
        <f t="shared" si="96"/>
        <v>23</v>
      </c>
      <c r="P300" s="357">
        <f t="shared" si="97"/>
        <v>1</v>
      </c>
      <c r="Q300" s="357">
        <f t="shared" si="98"/>
        <v>23</v>
      </c>
      <c r="R300" s="356">
        <f t="shared" si="90"/>
        <v>7142386.979024759</v>
      </c>
      <c r="S300" s="356">
        <f>IF($G$17="si",S288*(1+$G$20),S288)</f>
        <v>10000</v>
      </c>
      <c r="U300" s="356">
        <f t="shared" si="99"/>
        <v>57034.13817260619</v>
      </c>
      <c r="V300" s="359">
        <f>(V299*(1+$G$18))</f>
        <v>-187.81132438918416</v>
      </c>
      <c r="X300" s="359">
        <f t="shared" si="100"/>
        <v>-7209.421117197365</v>
      </c>
      <c r="Y300" s="356">
        <f t="shared" si="85"/>
        <v>7202023.884755778</v>
      </c>
      <c r="AA300" s="357">
        <f>+Bono!J300</f>
        <v>283350.6632520545</v>
      </c>
      <c r="AC300" s="378">
        <f t="shared" si="91"/>
        <v>23.083333333333332</v>
      </c>
      <c r="AD300" s="356">
        <f t="shared" si="92"/>
        <v>8000854.444016165</v>
      </c>
    </row>
    <row r="301" spans="2:30" x14ac:dyDescent="0.25">
      <c r="B301" s="356">
        <f t="shared" si="86"/>
        <v>278</v>
      </c>
      <c r="C301" s="357">
        <f t="shared" si="93"/>
        <v>23</v>
      </c>
      <c r="D301" s="357">
        <f t="shared" si="94"/>
        <v>2</v>
      </c>
      <c r="E301" s="357">
        <f t="shared" si="95"/>
        <v>52</v>
      </c>
      <c r="F301" s="356">
        <f t="shared" si="87"/>
        <v>515479.89600833226</v>
      </c>
      <c r="H301" s="356">
        <f t="shared" si="83"/>
        <v>4110.50907904715</v>
      </c>
      <c r="I301" s="356">
        <v>0</v>
      </c>
      <c r="J301" s="356">
        <v>0</v>
      </c>
      <c r="K301" s="356">
        <f t="shared" si="88"/>
        <v>-519.5904050873794</v>
      </c>
      <c r="L301" s="356">
        <f t="shared" si="84"/>
        <v>519070.814682292</v>
      </c>
      <c r="N301" s="356">
        <f t="shared" si="89"/>
        <v>278</v>
      </c>
      <c r="O301" s="357">
        <f t="shared" si="96"/>
        <v>23</v>
      </c>
      <c r="P301" s="357">
        <f t="shared" si="97"/>
        <v>2</v>
      </c>
      <c r="Q301" s="357">
        <f t="shared" si="98"/>
        <v>23</v>
      </c>
      <c r="R301" s="356">
        <f t="shared" si="90"/>
        <v>7202023.884755778</v>
      </c>
      <c r="S301" s="356">
        <f>IF($G$4="mensual",S300,0)</f>
        <v>10000</v>
      </c>
      <c r="U301" s="356">
        <f t="shared" si="99"/>
        <v>57509.691233650636</v>
      </c>
      <c r="V301" s="359">
        <f t="shared" si="82"/>
        <v>-187.81132438918416</v>
      </c>
      <c r="X301" s="359">
        <f t="shared" si="100"/>
        <v>-7269.533575989429</v>
      </c>
      <c r="Y301" s="356">
        <f t="shared" si="85"/>
        <v>7262076.231089051</v>
      </c>
      <c r="AA301" s="357">
        <f>+Bono!J301</f>
        <v>285107.4702308599</v>
      </c>
      <c r="AC301" s="378">
        <f t="shared" si="91"/>
        <v>23.166666666666668</v>
      </c>
      <c r="AD301" s="356">
        <f t="shared" si="92"/>
        <v>8066254.516002202</v>
      </c>
    </row>
    <row r="302" spans="2:30" x14ac:dyDescent="0.25">
      <c r="B302" s="356">
        <f t="shared" si="86"/>
        <v>279</v>
      </c>
      <c r="C302" s="357">
        <f t="shared" si="93"/>
        <v>23</v>
      </c>
      <c r="D302" s="357">
        <f t="shared" si="94"/>
        <v>3</v>
      </c>
      <c r="E302" s="357">
        <f t="shared" si="95"/>
        <v>52</v>
      </c>
      <c r="F302" s="356">
        <f t="shared" si="87"/>
        <v>519070.814682292</v>
      </c>
      <c r="H302" s="356">
        <f t="shared" si="83"/>
        <v>4139.143568822078</v>
      </c>
      <c r="I302" s="356">
        <v>0</v>
      </c>
      <c r="J302" s="360">
        <f>-SUM(F302:H302)*$J$21</f>
        <v>-4708.889624260027</v>
      </c>
      <c r="K302" s="356">
        <f t="shared" si="88"/>
        <v>-518.501068626854</v>
      </c>
      <c r="L302" s="356">
        <f t="shared" si="84"/>
        <v>517982.56755822717</v>
      </c>
      <c r="N302" s="356">
        <f t="shared" si="89"/>
        <v>279</v>
      </c>
      <c r="O302" s="357">
        <f t="shared" si="96"/>
        <v>23</v>
      </c>
      <c r="P302" s="357">
        <f t="shared" si="97"/>
        <v>3</v>
      </c>
      <c r="Q302" s="357">
        <f t="shared" si="98"/>
        <v>23</v>
      </c>
      <c r="R302" s="356">
        <f t="shared" si="90"/>
        <v>7262076.231089051</v>
      </c>
      <c r="S302" s="356">
        <f>IF($G$4="mensual",S301,0)</f>
        <v>10000</v>
      </c>
      <c r="U302" s="356">
        <f t="shared" si="99"/>
        <v>57988.557076397316</v>
      </c>
      <c r="V302" s="359">
        <f t="shared" si="82"/>
        <v>-187.81132438918416</v>
      </c>
      <c r="X302" s="359">
        <f t="shared" si="100"/>
        <v>-7330.064788165449</v>
      </c>
      <c r="Y302" s="356">
        <f t="shared" si="85"/>
        <v>7322546.912052894</v>
      </c>
      <c r="AA302" s="357">
        <f>+Bono!J302</f>
        <v>284290.70862917294</v>
      </c>
      <c r="AC302" s="378">
        <f t="shared" si="91"/>
        <v>23.25</v>
      </c>
      <c r="AD302" s="356">
        <f t="shared" si="92"/>
        <v>8124820.188240294</v>
      </c>
    </row>
    <row r="303" spans="2:30" x14ac:dyDescent="0.25">
      <c r="B303" s="356">
        <f t="shared" si="86"/>
        <v>280</v>
      </c>
      <c r="C303" s="357">
        <f t="shared" si="93"/>
        <v>23</v>
      </c>
      <c r="D303" s="357">
        <f t="shared" si="94"/>
        <v>4</v>
      </c>
      <c r="E303" s="357">
        <f t="shared" si="95"/>
        <v>52</v>
      </c>
      <c r="F303" s="356">
        <f t="shared" si="87"/>
        <v>517982.56755822717</v>
      </c>
      <c r="H303" s="356">
        <f t="shared" si="83"/>
        <v>4130.465733433434</v>
      </c>
      <c r="I303" s="356">
        <v>0</v>
      </c>
      <c r="J303" s="356">
        <v>0</v>
      </c>
      <c r="K303" s="356">
        <f t="shared" si="88"/>
        <v>-522.1130332916606</v>
      </c>
      <c r="L303" s="356">
        <f t="shared" si="84"/>
        <v>521590.92025836895</v>
      </c>
      <c r="N303" s="356">
        <f t="shared" si="89"/>
        <v>280</v>
      </c>
      <c r="O303" s="357">
        <f t="shared" si="96"/>
        <v>23</v>
      </c>
      <c r="P303" s="357">
        <f t="shared" si="97"/>
        <v>4</v>
      </c>
      <c r="Q303" s="357">
        <f t="shared" si="98"/>
        <v>23</v>
      </c>
      <c r="R303" s="356">
        <f t="shared" si="90"/>
        <v>7322546.912052894</v>
      </c>
      <c r="S303" s="356">
        <f>IF($G$4="mensual",S300,IF($G$4="trimestral",S300,0))</f>
        <v>10000</v>
      </c>
      <c r="U303" s="356">
        <f t="shared" si="99"/>
        <v>58470.758778234434</v>
      </c>
      <c r="V303" s="359">
        <f t="shared" si="82"/>
        <v>-187.81132438918416</v>
      </c>
      <c r="X303" s="359">
        <f t="shared" si="100"/>
        <v>-7391.017670831128</v>
      </c>
      <c r="Y303" s="356">
        <f t="shared" si="85"/>
        <v>7383438.841835909</v>
      </c>
      <c r="AA303" s="357">
        <f>+Bono!J303</f>
        <v>286053.343998355</v>
      </c>
      <c r="AC303" s="378">
        <f t="shared" si="91"/>
        <v>23.333333333333332</v>
      </c>
      <c r="AD303" s="356">
        <f t="shared" si="92"/>
        <v>8191083.106092633</v>
      </c>
    </row>
    <row r="304" spans="2:30" x14ac:dyDescent="0.25">
      <c r="B304" s="356">
        <f t="shared" si="86"/>
        <v>281</v>
      </c>
      <c r="C304" s="357">
        <f t="shared" si="93"/>
        <v>23</v>
      </c>
      <c r="D304" s="357">
        <f t="shared" si="94"/>
        <v>5</v>
      </c>
      <c r="E304" s="357">
        <f t="shared" si="95"/>
        <v>52</v>
      </c>
      <c r="F304" s="356">
        <f t="shared" si="87"/>
        <v>521590.92025836895</v>
      </c>
      <c r="H304" s="356">
        <f t="shared" si="83"/>
        <v>4159.239244581379</v>
      </c>
      <c r="I304" s="356">
        <v>0</v>
      </c>
      <c r="J304" s="356">
        <v>0</v>
      </c>
      <c r="K304" s="356">
        <f t="shared" si="88"/>
        <v>-525.7501595029504</v>
      </c>
      <c r="L304" s="356">
        <f t="shared" si="84"/>
        <v>525224.4093434474</v>
      </c>
      <c r="N304" s="356">
        <f t="shared" si="89"/>
        <v>281</v>
      </c>
      <c r="O304" s="357">
        <f t="shared" si="96"/>
        <v>23</v>
      </c>
      <c r="P304" s="357">
        <f t="shared" si="97"/>
        <v>5</v>
      </c>
      <c r="Q304" s="357">
        <f t="shared" si="98"/>
        <v>23</v>
      </c>
      <c r="R304" s="356">
        <f t="shared" si="90"/>
        <v>7383438.841835909</v>
      </c>
      <c r="S304" s="356">
        <f>IF($G$4="mensual",S303,0)</f>
        <v>10000</v>
      </c>
      <c r="U304" s="356">
        <f t="shared" si="99"/>
        <v>58956.319577311144</v>
      </c>
      <c r="V304" s="359">
        <f t="shared" si="82"/>
        <v>-187.81132438918416</v>
      </c>
      <c r="X304" s="359">
        <f t="shared" si="100"/>
        <v>-7452.39516141322</v>
      </c>
      <c r="Y304" s="356">
        <f t="shared" si="85"/>
        <v>7444754.954927417</v>
      </c>
      <c r="AA304" s="357">
        <f>+Bono!J304</f>
        <v>287826.907911279</v>
      </c>
      <c r="AC304" s="378">
        <f t="shared" si="91"/>
        <v>23.416666666666668</v>
      </c>
      <c r="AD304" s="356">
        <f t="shared" si="92"/>
        <v>8257806.272182144</v>
      </c>
    </row>
    <row r="305" spans="2:30" x14ac:dyDescent="0.25">
      <c r="B305" s="356">
        <f t="shared" si="86"/>
        <v>282</v>
      </c>
      <c r="C305" s="357">
        <f t="shared" si="93"/>
        <v>23</v>
      </c>
      <c r="D305" s="357">
        <f t="shared" si="94"/>
        <v>6</v>
      </c>
      <c r="E305" s="357">
        <f t="shared" si="95"/>
        <v>52</v>
      </c>
      <c r="F305" s="356">
        <f t="shared" si="87"/>
        <v>525224.4093434474</v>
      </c>
      <c r="H305" s="356">
        <f t="shared" si="83"/>
        <v>4188.213196792684</v>
      </c>
      <c r="I305" s="356">
        <v>0</v>
      </c>
      <c r="J305" s="360">
        <f>-SUM(F305:H305)*$J$21</f>
        <v>-4764.713602862161</v>
      </c>
      <c r="K305" s="356">
        <f t="shared" si="88"/>
        <v>-524.6479089373779</v>
      </c>
      <c r="L305" s="356">
        <f t="shared" si="84"/>
        <v>524123.2610284405</v>
      </c>
      <c r="N305" s="356">
        <f t="shared" si="89"/>
        <v>282</v>
      </c>
      <c r="O305" s="357">
        <f t="shared" si="96"/>
        <v>23</v>
      </c>
      <c r="P305" s="357">
        <f t="shared" si="97"/>
        <v>6</v>
      </c>
      <c r="Q305" s="357">
        <f t="shared" si="98"/>
        <v>23</v>
      </c>
      <c r="R305" s="356">
        <f t="shared" si="90"/>
        <v>7444754.954927417</v>
      </c>
      <c r="S305" s="356">
        <f>IF($G$4="mensual",S304,0)</f>
        <v>10000</v>
      </c>
      <c r="U305" s="356">
        <f t="shared" si="99"/>
        <v>59445.262873657375</v>
      </c>
      <c r="V305" s="359">
        <f t="shared" ref="V305:V368" si="101">V304</f>
        <v>-187.81132438918416</v>
      </c>
      <c r="X305" s="359">
        <f t="shared" si="100"/>
        <v>-7514.200217801074</v>
      </c>
      <c r="Y305" s="356">
        <f t="shared" si="85"/>
        <v>7506498.206258885</v>
      </c>
      <c r="AA305" s="357">
        <f>+Bono!J305</f>
        <v>287002.3558007227</v>
      </c>
      <c r="AC305" s="378">
        <f t="shared" si="91"/>
        <v>23.5</v>
      </c>
      <c r="AD305" s="356">
        <f t="shared" si="92"/>
        <v>8317623.823088048</v>
      </c>
    </row>
    <row r="306" spans="2:30" x14ac:dyDescent="0.25">
      <c r="B306" s="356">
        <f t="shared" si="86"/>
        <v>283</v>
      </c>
      <c r="C306" s="357">
        <f t="shared" si="93"/>
        <v>23</v>
      </c>
      <c r="D306" s="357">
        <f t="shared" si="94"/>
        <v>7</v>
      </c>
      <c r="E306" s="357">
        <f t="shared" si="95"/>
        <v>52</v>
      </c>
      <c r="F306" s="356">
        <f t="shared" si="87"/>
        <v>524123.2610284405</v>
      </c>
      <c r="H306" s="356">
        <f t="shared" si="83"/>
        <v>4179.432485495768</v>
      </c>
      <c r="I306" s="356">
        <v>0</v>
      </c>
      <c r="J306" s="356">
        <v>0</v>
      </c>
      <c r="K306" s="356">
        <f t="shared" si="88"/>
        <v>-528.3026935139362</v>
      </c>
      <c r="L306" s="356">
        <f t="shared" si="84"/>
        <v>527774.3908204223</v>
      </c>
      <c r="N306" s="356">
        <f t="shared" si="89"/>
        <v>283</v>
      </c>
      <c r="O306" s="357">
        <f t="shared" si="96"/>
        <v>23</v>
      </c>
      <c r="P306" s="357">
        <f t="shared" si="97"/>
        <v>7</v>
      </c>
      <c r="Q306" s="357">
        <f t="shared" si="98"/>
        <v>23</v>
      </c>
      <c r="R306" s="356">
        <f t="shared" si="90"/>
        <v>7506498.206258885</v>
      </c>
      <c r="S306" s="356">
        <f>+IF($G$4="mensual",S300,IF($G$4="trimestral",S300,IF($G$4="semestral",S300,0)))</f>
        <v>10000</v>
      </c>
      <c r="U306" s="356">
        <f t="shared" si="99"/>
        <v>59937.6122303116</v>
      </c>
      <c r="V306" s="359">
        <f t="shared" si="101"/>
        <v>-187.81132438918416</v>
      </c>
      <c r="X306" s="359">
        <f t="shared" si="100"/>
        <v>-7576.435818489196</v>
      </c>
      <c r="Y306" s="356">
        <f t="shared" si="85"/>
        <v>7568671.571346317</v>
      </c>
      <c r="AA306" s="357">
        <f>+Bono!J306</f>
        <v>288781.80369689997</v>
      </c>
      <c r="AC306" s="378">
        <f t="shared" si="91"/>
        <v>23.583333333333332</v>
      </c>
      <c r="AD306" s="356">
        <f t="shared" si="92"/>
        <v>8385227.765863639</v>
      </c>
    </row>
    <row r="307" spans="2:30" x14ac:dyDescent="0.25">
      <c r="B307" s="356">
        <f t="shared" si="86"/>
        <v>284</v>
      </c>
      <c r="C307" s="357">
        <f t="shared" si="93"/>
        <v>23</v>
      </c>
      <c r="D307" s="357">
        <f t="shared" si="94"/>
        <v>8</v>
      </c>
      <c r="E307" s="357">
        <f t="shared" si="95"/>
        <v>52</v>
      </c>
      <c r="F307" s="356">
        <f t="shared" si="87"/>
        <v>527774.3908204223</v>
      </c>
      <c r="H307" s="356">
        <f t="shared" si="83"/>
        <v>4208.547107181185</v>
      </c>
      <c r="I307" s="356">
        <v>0</v>
      </c>
      <c r="J307" s="356">
        <v>0</v>
      </c>
      <c r="K307" s="356">
        <f t="shared" si="88"/>
        <v>-531.9829379276035</v>
      </c>
      <c r="L307" s="356">
        <f t="shared" si="84"/>
        <v>531450.9549896759</v>
      </c>
      <c r="N307" s="356">
        <f t="shared" si="89"/>
        <v>284</v>
      </c>
      <c r="O307" s="357">
        <f t="shared" si="96"/>
        <v>23</v>
      </c>
      <c r="P307" s="357">
        <f t="shared" si="97"/>
        <v>8</v>
      </c>
      <c r="Q307" s="357">
        <f t="shared" si="98"/>
        <v>23</v>
      </c>
      <c r="R307" s="356">
        <f t="shared" si="90"/>
        <v>7568671.571346317</v>
      </c>
      <c r="S307" s="356">
        <f>IF($G$4="mensual",S306,0)</f>
        <v>10000</v>
      </c>
      <c r="U307" s="356">
        <f t="shared" si="99"/>
        <v>60433.39137445629</v>
      </c>
      <c r="V307" s="359">
        <f t="shared" si="101"/>
        <v>-187.81132438918416</v>
      </c>
      <c r="X307" s="359">
        <f t="shared" si="100"/>
        <v>-7639.104962720774</v>
      </c>
      <c r="Y307" s="356">
        <f t="shared" si="85"/>
        <v>7631278.046433665</v>
      </c>
      <c r="AA307" s="357">
        <f>+Bono!J307</f>
        <v>290572.28437643667</v>
      </c>
      <c r="AC307" s="378">
        <f t="shared" si="91"/>
        <v>23.666666666666668</v>
      </c>
      <c r="AD307" s="356">
        <f t="shared" si="92"/>
        <v>8453301.285799777</v>
      </c>
    </row>
    <row r="308" spans="2:30" x14ac:dyDescent="0.25">
      <c r="B308" s="356">
        <f t="shared" si="86"/>
        <v>285</v>
      </c>
      <c r="C308" s="357">
        <f t="shared" si="93"/>
        <v>23</v>
      </c>
      <c r="D308" s="357">
        <f t="shared" si="94"/>
        <v>9</v>
      </c>
      <c r="E308" s="357">
        <f t="shared" si="95"/>
        <v>52</v>
      </c>
      <c r="F308" s="356">
        <f t="shared" si="87"/>
        <v>531450.9549896759</v>
      </c>
      <c r="H308" s="356">
        <f t="shared" si="83"/>
        <v>4237.864546162689</v>
      </c>
      <c r="I308" s="356">
        <v>0</v>
      </c>
      <c r="J308" s="360">
        <f>-SUM(F308:H308)*$J$21</f>
        <v>-4821.199375822547</v>
      </c>
      <c r="K308" s="356">
        <f t="shared" si="88"/>
        <v>-530.867620160016</v>
      </c>
      <c r="L308" s="356">
        <f t="shared" si="84"/>
        <v>530336.752539856</v>
      </c>
      <c r="N308" s="356">
        <f t="shared" si="89"/>
        <v>285</v>
      </c>
      <c r="O308" s="357">
        <f t="shared" si="96"/>
        <v>23</v>
      </c>
      <c r="P308" s="357">
        <f t="shared" si="97"/>
        <v>9</v>
      </c>
      <c r="Q308" s="357">
        <f t="shared" si="98"/>
        <v>23</v>
      </c>
      <c r="R308" s="356">
        <f t="shared" si="90"/>
        <v>7631278.046433665</v>
      </c>
      <c r="S308" s="356">
        <f>IF($G$4="mensual",S307,0)</f>
        <v>10000</v>
      </c>
      <c r="U308" s="356">
        <f t="shared" si="99"/>
        <v>60932.62419856146</v>
      </c>
      <c r="V308" s="359">
        <f t="shared" si="101"/>
        <v>-187.81132438918416</v>
      </c>
      <c r="X308" s="359">
        <f t="shared" si="100"/>
        <v>-7702.2106706322265</v>
      </c>
      <c r="Y308" s="356">
        <f t="shared" si="85"/>
        <v>7694320.648637205</v>
      </c>
      <c r="AA308" s="357">
        <f>+Bono!J308</f>
        <v>289739.8674488796</v>
      </c>
      <c r="AC308" s="378">
        <f t="shared" si="91"/>
        <v>23.75</v>
      </c>
      <c r="AD308" s="356">
        <f t="shared" si="92"/>
        <v>8514397.268625941</v>
      </c>
    </row>
    <row r="309" spans="2:30" x14ac:dyDescent="0.25">
      <c r="B309" s="356">
        <f t="shared" si="86"/>
        <v>286</v>
      </c>
      <c r="C309" s="357">
        <f t="shared" si="93"/>
        <v>23</v>
      </c>
      <c r="D309" s="357">
        <f t="shared" si="94"/>
        <v>10</v>
      </c>
      <c r="E309" s="357">
        <f t="shared" si="95"/>
        <v>52</v>
      </c>
      <c r="F309" s="356">
        <f t="shared" si="87"/>
        <v>530336.752539856</v>
      </c>
      <c r="H309" s="356">
        <f t="shared" si="83"/>
        <v>4228.979739361597</v>
      </c>
      <c r="I309" s="356">
        <v>0</v>
      </c>
      <c r="J309" s="356">
        <v>0</v>
      </c>
      <c r="K309" s="356">
        <f t="shared" si="88"/>
        <v>-534.5657322792176</v>
      </c>
      <c r="L309" s="356">
        <f t="shared" si="84"/>
        <v>534031.1665469384</v>
      </c>
      <c r="N309" s="356">
        <f t="shared" si="89"/>
        <v>286</v>
      </c>
      <c r="O309" s="357">
        <f t="shared" si="96"/>
        <v>23</v>
      </c>
      <c r="P309" s="357">
        <f t="shared" si="97"/>
        <v>10</v>
      </c>
      <c r="Q309" s="357">
        <f t="shared" si="98"/>
        <v>23</v>
      </c>
      <c r="R309" s="356">
        <f t="shared" si="90"/>
        <v>7694320.648637205</v>
      </c>
      <c r="S309" s="356">
        <f>IF($G$4="mensual",S300,IF($G$4="trimestral",S300,0))</f>
        <v>10000</v>
      </c>
      <c r="U309" s="356">
        <f t="shared" si="99"/>
        <v>61435.33476153601</v>
      </c>
      <c r="V309" s="359">
        <f t="shared" si="101"/>
        <v>-187.81132438918416</v>
      </c>
      <c r="X309" s="359">
        <f t="shared" si="100"/>
        <v>-7765.755983398742</v>
      </c>
      <c r="Y309" s="356">
        <f t="shared" si="85"/>
        <v>7757802.416090954</v>
      </c>
      <c r="AA309" s="357">
        <f>+Bono!J309</f>
        <v>291536.2882348071</v>
      </c>
      <c r="AC309" s="378">
        <f t="shared" si="91"/>
        <v>23.833333333333332</v>
      </c>
      <c r="AD309" s="356">
        <f t="shared" si="92"/>
        <v>8583369.8708727</v>
      </c>
    </row>
    <row r="310" spans="2:30" x14ac:dyDescent="0.25">
      <c r="B310" s="356">
        <f t="shared" si="86"/>
        <v>287</v>
      </c>
      <c r="C310" s="357">
        <f t="shared" si="93"/>
        <v>23</v>
      </c>
      <c r="D310" s="357">
        <f t="shared" si="94"/>
        <v>11</v>
      </c>
      <c r="E310" s="357">
        <f t="shared" si="95"/>
        <v>52</v>
      </c>
      <c r="F310" s="356">
        <f t="shared" si="87"/>
        <v>534031.1665469384</v>
      </c>
      <c r="H310" s="356">
        <f t="shared" si="83"/>
        <v>4258.439515456581</v>
      </c>
      <c r="I310" s="356">
        <v>0</v>
      </c>
      <c r="J310" s="356">
        <v>0</v>
      </c>
      <c r="K310" s="356">
        <f t="shared" si="88"/>
        <v>-538.2896060623949</v>
      </c>
      <c r="L310" s="356">
        <f t="shared" si="84"/>
        <v>537751.3164563326</v>
      </c>
      <c r="N310" s="356">
        <f t="shared" si="89"/>
        <v>287</v>
      </c>
      <c r="O310" s="357">
        <f t="shared" si="96"/>
        <v>23</v>
      </c>
      <c r="P310" s="357">
        <f t="shared" si="97"/>
        <v>11</v>
      </c>
      <c r="Q310" s="357">
        <f t="shared" si="98"/>
        <v>23</v>
      </c>
      <c r="R310" s="356">
        <f t="shared" si="90"/>
        <v>7757802.416090954</v>
      </c>
      <c r="S310" s="356">
        <f>IF($G$17="si",S298*(1+$G$20),S298)</f>
        <v>10000</v>
      </c>
      <c r="U310" s="356">
        <f t="shared" si="99"/>
        <v>61941.54728988722</v>
      </c>
      <c r="V310" s="359">
        <f t="shared" si="101"/>
        <v>-187.81132438918416</v>
      </c>
      <c r="X310" s="359">
        <f t="shared" si="100"/>
        <v>-7829.743963380842</v>
      </c>
      <c r="Y310" s="356">
        <f t="shared" si="85"/>
        <v>7821726.408093072</v>
      </c>
      <c r="AA310" s="357">
        <f>+Bono!J310</f>
        <v>293343.8470379793</v>
      </c>
      <c r="AC310" s="378">
        <f t="shared" si="91"/>
        <v>23.916666666666668</v>
      </c>
      <c r="AD310" s="356">
        <f t="shared" si="92"/>
        <v>8652821.571587384</v>
      </c>
    </row>
    <row r="311" spans="2:30" x14ac:dyDescent="0.25">
      <c r="B311" s="356">
        <f t="shared" si="86"/>
        <v>288</v>
      </c>
      <c r="C311" s="357">
        <f t="shared" si="93"/>
        <v>23</v>
      </c>
      <c r="D311" s="357">
        <f t="shared" si="94"/>
        <v>12</v>
      </c>
      <c r="E311" s="357">
        <f t="shared" si="95"/>
        <v>52</v>
      </c>
      <c r="F311" s="356">
        <f t="shared" si="87"/>
        <v>537751.3164563326</v>
      </c>
      <c r="H311" s="356">
        <f t="shared" si="83"/>
        <v>4288.104513250663</v>
      </c>
      <c r="I311" s="356">
        <v>0</v>
      </c>
      <c r="J311" s="360">
        <f>-SUM(F311:H311)*$J$21</f>
        <v>-4878.354788726249</v>
      </c>
      <c r="K311" s="356">
        <f t="shared" si="88"/>
        <v>-537.161066180857</v>
      </c>
      <c r="L311" s="356">
        <f t="shared" si="84"/>
        <v>536623.9051146761</v>
      </c>
      <c r="N311" s="356">
        <f t="shared" si="89"/>
        <v>288</v>
      </c>
      <c r="O311" s="357">
        <f t="shared" si="96"/>
        <v>23</v>
      </c>
      <c r="P311" s="357">
        <f t="shared" si="97"/>
        <v>12</v>
      </c>
      <c r="Q311" s="357">
        <f t="shared" si="98"/>
        <v>23</v>
      </c>
      <c r="R311" s="356">
        <f t="shared" si="90"/>
        <v>7821726.408093072</v>
      </c>
      <c r="S311" s="356">
        <f>IF($G$4="mensual",S310,0)</f>
        <v>10000</v>
      </c>
      <c r="U311" s="356">
        <f t="shared" si="99"/>
        <v>62451.28617888822</v>
      </c>
      <c r="V311" s="359">
        <f t="shared" si="101"/>
        <v>-187.81132438918416</v>
      </c>
      <c r="X311" s="359">
        <f t="shared" si="100"/>
        <v>-7894.17769427196</v>
      </c>
      <c r="Y311" s="356">
        <f t="shared" si="85"/>
        <v>7886095.705253298</v>
      </c>
      <c r="AA311" s="357">
        <f>+Bono!J311</f>
        <v>292503.4902765176</v>
      </c>
      <c r="AC311" s="378">
        <f t="shared" si="91"/>
        <v>24</v>
      </c>
      <c r="AD311" s="356">
        <f t="shared" si="92"/>
        <v>8715223.100644492</v>
      </c>
    </row>
    <row r="312" spans="2:30" x14ac:dyDescent="0.25">
      <c r="B312" s="356">
        <f t="shared" si="86"/>
        <v>289</v>
      </c>
      <c r="C312" s="357">
        <f t="shared" si="93"/>
        <v>24</v>
      </c>
      <c r="D312" s="357">
        <f t="shared" si="94"/>
        <v>1</v>
      </c>
      <c r="E312" s="357">
        <f t="shared" si="95"/>
        <v>53</v>
      </c>
      <c r="F312" s="356">
        <f t="shared" si="87"/>
        <v>536623.9051146761</v>
      </c>
      <c r="H312" s="356">
        <f t="shared" si="83"/>
        <v>4279.114376891156</v>
      </c>
      <c r="I312" s="356">
        <v>0</v>
      </c>
      <c r="J312" s="356">
        <v>0</v>
      </c>
      <c r="K312" s="356">
        <f t="shared" si="88"/>
        <v>-540.9030194915673</v>
      </c>
      <c r="L312" s="356">
        <f t="shared" si="84"/>
        <v>540362.1164720757</v>
      </c>
      <c r="N312" s="356">
        <f t="shared" si="89"/>
        <v>289</v>
      </c>
      <c r="O312" s="357">
        <f t="shared" si="96"/>
        <v>24</v>
      </c>
      <c r="P312" s="357">
        <f t="shared" si="97"/>
        <v>1</v>
      </c>
      <c r="Q312" s="357">
        <f t="shared" si="98"/>
        <v>24</v>
      </c>
      <c r="R312" s="356">
        <f t="shared" si="90"/>
        <v>7886095.705253298</v>
      </c>
      <c r="S312" s="356">
        <f>IF($G$17="si",S300*(1+$G$20),S300)</f>
        <v>10000</v>
      </c>
      <c r="U312" s="356">
        <f t="shared" si="99"/>
        <v>62964.57599375371</v>
      </c>
      <c r="V312" s="359">
        <f>(V311*(1+$G$18))</f>
        <v>-195.32377736475155</v>
      </c>
      <c r="X312" s="359">
        <f t="shared" si="100"/>
        <v>-7959.060281247052</v>
      </c>
      <c r="Y312" s="356">
        <f t="shared" si="85"/>
        <v>7950905.897188441</v>
      </c>
      <c r="AA312" s="357">
        <f>+Bono!J312</f>
        <v>294317.04584453686</v>
      </c>
      <c r="AC312" s="378">
        <f t="shared" si="91"/>
        <v>24.083333333333332</v>
      </c>
      <c r="AD312" s="356">
        <f t="shared" si="92"/>
        <v>8785585.059505053</v>
      </c>
    </row>
    <row r="313" spans="2:30" x14ac:dyDescent="0.25">
      <c r="B313" s="356">
        <f t="shared" si="86"/>
        <v>290</v>
      </c>
      <c r="C313" s="357">
        <f t="shared" si="93"/>
        <v>24</v>
      </c>
      <c r="D313" s="357">
        <f t="shared" si="94"/>
        <v>2</v>
      </c>
      <c r="E313" s="357">
        <f t="shared" si="95"/>
        <v>53</v>
      </c>
      <c r="F313" s="356">
        <f t="shared" si="87"/>
        <v>540362.1164720757</v>
      </c>
      <c r="H313" s="356">
        <f t="shared" si="83"/>
        <v>4308.9233992079835</v>
      </c>
      <c r="I313" s="356">
        <v>0</v>
      </c>
      <c r="J313" s="356">
        <v>0</v>
      </c>
      <c r="K313" s="356">
        <f t="shared" si="88"/>
        <v>-544.6710398712837</v>
      </c>
      <c r="L313" s="356">
        <f t="shared" si="84"/>
        <v>544126.3688314124</v>
      </c>
      <c r="N313" s="356">
        <f t="shared" si="89"/>
        <v>290</v>
      </c>
      <c r="O313" s="357">
        <f t="shared" si="96"/>
        <v>24</v>
      </c>
      <c r="P313" s="357">
        <f t="shared" si="97"/>
        <v>2</v>
      </c>
      <c r="Q313" s="357">
        <f t="shared" si="98"/>
        <v>24</v>
      </c>
      <c r="R313" s="356">
        <f t="shared" si="90"/>
        <v>7950905.897188441</v>
      </c>
      <c r="S313" s="356">
        <f>IF($G$4="mensual",S312,0)</f>
        <v>10000</v>
      </c>
      <c r="U313" s="356">
        <f t="shared" si="99"/>
        <v>63481.38156546874</v>
      </c>
      <c r="V313" s="359">
        <f t="shared" si="101"/>
        <v>-195.32377736475155</v>
      </c>
      <c r="X313" s="359">
        <f t="shared" si="100"/>
        <v>-8024.387278753909</v>
      </c>
      <c r="Y313" s="356">
        <f t="shared" si="85"/>
        <v>8016167.56769779</v>
      </c>
      <c r="AA313" s="357">
        <f>+Bono!J313</f>
        <v>296141.8456674373</v>
      </c>
      <c r="AC313" s="378">
        <f t="shared" si="91"/>
        <v>24.166666666666668</v>
      </c>
      <c r="AD313" s="356">
        <f t="shared" si="92"/>
        <v>8856435.782196641</v>
      </c>
    </row>
    <row r="314" spans="2:30" x14ac:dyDescent="0.25">
      <c r="B314" s="356">
        <f t="shared" si="86"/>
        <v>291</v>
      </c>
      <c r="C314" s="357">
        <f t="shared" si="93"/>
        <v>24</v>
      </c>
      <c r="D314" s="357">
        <f t="shared" si="94"/>
        <v>3</v>
      </c>
      <c r="E314" s="357">
        <f t="shared" si="95"/>
        <v>53</v>
      </c>
      <c r="F314" s="356">
        <f t="shared" si="87"/>
        <v>544126.3688314124</v>
      </c>
      <c r="H314" s="356">
        <f t="shared" si="83"/>
        <v>4338.940076131166</v>
      </c>
      <c r="I314" s="356">
        <v>0</v>
      </c>
      <c r="J314" s="360">
        <f>-SUM(F314:H314)*$J$21</f>
        <v>-4936.187780167892</v>
      </c>
      <c r="K314" s="356">
        <f t="shared" si="88"/>
        <v>-543.5291211273757</v>
      </c>
      <c r="L314" s="356">
        <f t="shared" si="84"/>
        <v>542985.5920062483</v>
      </c>
      <c r="N314" s="356">
        <f t="shared" si="89"/>
        <v>291</v>
      </c>
      <c r="O314" s="357">
        <f t="shared" si="96"/>
        <v>24</v>
      </c>
      <c r="P314" s="357">
        <f t="shared" si="97"/>
        <v>3</v>
      </c>
      <c r="Q314" s="357">
        <f t="shared" si="98"/>
        <v>24</v>
      </c>
      <c r="R314" s="356">
        <f t="shared" si="90"/>
        <v>8016167.56769779</v>
      </c>
      <c r="S314" s="356">
        <f>IF($G$4="mensual",S313,0)</f>
        <v>10000</v>
      </c>
      <c r="U314" s="356">
        <f t="shared" si="99"/>
        <v>64001.78729073514</v>
      </c>
      <c r="V314" s="359">
        <f t="shared" si="101"/>
        <v>-195.32377736475155</v>
      </c>
      <c r="X314" s="359">
        <f t="shared" si="100"/>
        <v>-8090.169354988526</v>
      </c>
      <c r="Y314" s="356">
        <f t="shared" si="85"/>
        <v>8081883.861856173</v>
      </c>
      <c r="AA314" s="357">
        <f>+Bono!J314</f>
        <v>295293.47333963396</v>
      </c>
      <c r="AC314" s="378">
        <f t="shared" si="91"/>
        <v>24.25</v>
      </c>
      <c r="AD314" s="356">
        <f t="shared" si="92"/>
        <v>8920162.927202055</v>
      </c>
    </row>
    <row r="315" spans="2:30" x14ac:dyDescent="0.25">
      <c r="B315" s="356">
        <f t="shared" si="86"/>
        <v>292</v>
      </c>
      <c r="C315" s="357">
        <f t="shared" si="93"/>
        <v>24</v>
      </c>
      <c r="D315" s="357">
        <f t="shared" si="94"/>
        <v>4</v>
      </c>
      <c r="E315" s="357">
        <f t="shared" si="95"/>
        <v>53</v>
      </c>
      <c r="F315" s="356">
        <f t="shared" si="87"/>
        <v>542985.5920062483</v>
      </c>
      <c r="H315" s="356">
        <f t="shared" si="83"/>
        <v>4329.843361529269</v>
      </c>
      <c r="I315" s="356">
        <v>0</v>
      </c>
      <c r="J315" s="356">
        <v>0</v>
      </c>
      <c r="K315" s="356">
        <f t="shared" si="88"/>
        <v>-547.3154353677776</v>
      </c>
      <c r="L315" s="356">
        <f t="shared" si="84"/>
        <v>546768.1199324098</v>
      </c>
      <c r="N315" s="356">
        <f t="shared" si="89"/>
        <v>292</v>
      </c>
      <c r="O315" s="357">
        <f t="shared" si="96"/>
        <v>24</v>
      </c>
      <c r="P315" s="357">
        <f t="shared" si="97"/>
        <v>4</v>
      </c>
      <c r="Q315" s="357">
        <f t="shared" si="98"/>
        <v>24</v>
      </c>
      <c r="R315" s="356">
        <f t="shared" si="90"/>
        <v>8081883.861856173</v>
      </c>
      <c r="S315" s="356">
        <f>IF($G$4="mensual",S312,IF($G$4="trimestral",S312,0))</f>
        <v>10000</v>
      </c>
      <c r="U315" s="356">
        <f t="shared" si="99"/>
        <v>64525.81824882123</v>
      </c>
      <c r="V315" s="359">
        <f t="shared" si="101"/>
        <v>-195.32377736475155</v>
      </c>
      <c r="X315" s="359">
        <f t="shared" si="100"/>
        <v>-8156.409680104995</v>
      </c>
      <c r="Y315" s="356">
        <f t="shared" si="85"/>
        <v>8148057.946647525</v>
      </c>
      <c r="AA315" s="357">
        <f>+Bono!J315</f>
        <v>297124.3271262626</v>
      </c>
      <c r="AC315" s="378">
        <f t="shared" si="91"/>
        <v>24.333333333333332</v>
      </c>
      <c r="AD315" s="356">
        <f t="shared" si="92"/>
        <v>8991950.393706197</v>
      </c>
    </row>
    <row r="316" spans="2:30" x14ac:dyDescent="0.25">
      <c r="B316" s="356">
        <f t="shared" si="86"/>
        <v>293</v>
      </c>
      <c r="C316" s="357">
        <f t="shared" si="93"/>
        <v>24</v>
      </c>
      <c r="D316" s="357">
        <f t="shared" si="94"/>
        <v>5</v>
      </c>
      <c r="E316" s="357">
        <f t="shared" si="95"/>
        <v>53</v>
      </c>
      <c r="F316" s="356">
        <f t="shared" si="87"/>
        <v>546768.1199324098</v>
      </c>
      <c r="H316" s="356">
        <f t="shared" si="83"/>
        <v>4360.005770388731</v>
      </c>
      <c r="I316" s="356">
        <v>0</v>
      </c>
      <c r="J316" s="356">
        <v>0</v>
      </c>
      <c r="K316" s="356">
        <f t="shared" si="88"/>
        <v>-551.1281257027986</v>
      </c>
      <c r="L316" s="356">
        <f t="shared" si="84"/>
        <v>550576.9975770958</v>
      </c>
      <c r="N316" s="356">
        <f t="shared" si="89"/>
        <v>293</v>
      </c>
      <c r="O316" s="357">
        <f t="shared" si="96"/>
        <v>24</v>
      </c>
      <c r="P316" s="357">
        <f t="shared" si="97"/>
        <v>5</v>
      </c>
      <c r="Q316" s="357">
        <f t="shared" si="98"/>
        <v>24</v>
      </c>
      <c r="R316" s="356">
        <f t="shared" si="90"/>
        <v>8148057.946647525</v>
      </c>
      <c r="S316" s="356">
        <f>IF($G$4="mensual",S315,0)</f>
        <v>10000</v>
      </c>
      <c r="U316" s="356">
        <f t="shared" si="99"/>
        <v>65053.499693701655</v>
      </c>
      <c r="V316" s="359">
        <f t="shared" si="101"/>
        <v>-195.32377736475155</v>
      </c>
      <c r="X316" s="359">
        <f t="shared" si="100"/>
        <v>-8223.111446341227</v>
      </c>
      <c r="Y316" s="356">
        <f t="shared" si="85"/>
        <v>8214693.011117521</v>
      </c>
      <c r="AA316" s="357">
        <f>+Bono!J316</f>
        <v>298966.53241873416</v>
      </c>
      <c r="AC316" s="378">
        <f t="shared" si="91"/>
        <v>24.416666666666668</v>
      </c>
      <c r="AD316" s="356">
        <f t="shared" si="92"/>
        <v>9064236.54111335</v>
      </c>
    </row>
    <row r="317" spans="2:30" x14ac:dyDescent="0.25">
      <c r="B317" s="356">
        <f t="shared" si="86"/>
        <v>294</v>
      </c>
      <c r="C317" s="357">
        <f t="shared" si="93"/>
        <v>24</v>
      </c>
      <c r="D317" s="357">
        <f t="shared" si="94"/>
        <v>6</v>
      </c>
      <c r="E317" s="357">
        <f t="shared" si="95"/>
        <v>53</v>
      </c>
      <c r="F317" s="356">
        <f t="shared" si="87"/>
        <v>550576.9975770958</v>
      </c>
      <c r="H317" s="356">
        <f t="shared" si="83"/>
        <v>4390.3782956039695</v>
      </c>
      <c r="I317" s="356">
        <v>0</v>
      </c>
      <c r="J317" s="360">
        <f>-SUM(F317:H317)*$J$21</f>
        <v>-4994.706382854299</v>
      </c>
      <c r="K317" s="356">
        <f t="shared" si="88"/>
        <v>-549.9726694898455</v>
      </c>
      <c r="L317" s="356">
        <f t="shared" si="84"/>
        <v>549422.6968203557</v>
      </c>
      <c r="N317" s="356">
        <f t="shared" si="89"/>
        <v>294</v>
      </c>
      <c r="O317" s="357">
        <f t="shared" si="96"/>
        <v>24</v>
      </c>
      <c r="P317" s="357">
        <f t="shared" si="97"/>
        <v>6</v>
      </c>
      <c r="Q317" s="357">
        <f t="shared" si="98"/>
        <v>24</v>
      </c>
      <c r="R317" s="356">
        <f t="shared" si="90"/>
        <v>8214693.011117521</v>
      </c>
      <c r="S317" s="356">
        <f>IF($G$4="mensual",S316,0)</f>
        <v>10000</v>
      </c>
      <c r="U317" s="356">
        <f t="shared" si="99"/>
        <v>65584.85705527446</v>
      </c>
      <c r="V317" s="359">
        <f t="shared" si="101"/>
        <v>-195.32377736475155</v>
      </c>
      <c r="X317" s="359">
        <f t="shared" si="100"/>
        <v>-8290.277868172796</v>
      </c>
      <c r="Y317" s="356">
        <f t="shared" si="85"/>
        <v>8281792.266527258</v>
      </c>
      <c r="AA317" s="357">
        <f>+Bono!J317</f>
        <v>298110.0680697944</v>
      </c>
      <c r="AC317" s="378">
        <f t="shared" si="91"/>
        <v>24.5</v>
      </c>
      <c r="AD317" s="356">
        <f t="shared" si="92"/>
        <v>9129325.031417409</v>
      </c>
    </row>
    <row r="318" spans="2:30" x14ac:dyDescent="0.25">
      <c r="B318" s="356">
        <f t="shared" si="86"/>
        <v>295</v>
      </c>
      <c r="C318" s="357">
        <f t="shared" si="93"/>
        <v>24</v>
      </c>
      <c r="D318" s="357">
        <f t="shared" si="94"/>
        <v>7</v>
      </c>
      <c r="E318" s="357">
        <f t="shared" si="95"/>
        <v>53</v>
      </c>
      <c r="F318" s="356">
        <f t="shared" si="87"/>
        <v>549422.6968203557</v>
      </c>
      <c r="H318" s="356">
        <f t="shared" si="83"/>
        <v>4381.1737392725345</v>
      </c>
      <c r="I318" s="356">
        <v>0</v>
      </c>
      <c r="J318" s="356">
        <v>0</v>
      </c>
      <c r="K318" s="356">
        <f t="shared" si="88"/>
        <v>-553.8038705596282</v>
      </c>
      <c r="L318" s="356">
        <f t="shared" si="84"/>
        <v>553250.0666890686</v>
      </c>
      <c r="N318" s="356">
        <f t="shared" si="89"/>
        <v>295</v>
      </c>
      <c r="O318" s="357">
        <f t="shared" si="96"/>
        <v>24</v>
      </c>
      <c r="P318" s="357">
        <f t="shared" si="97"/>
        <v>7</v>
      </c>
      <c r="Q318" s="357">
        <f t="shared" si="98"/>
        <v>24</v>
      </c>
      <c r="R318" s="356">
        <f t="shared" si="90"/>
        <v>8281792.266527258</v>
      </c>
      <c r="S318" s="356">
        <f>+IF($G$4="mensual",S312,IF($G$4="trimestral",S312,IF($G$4="semestral",S312,0)))</f>
        <v>10000</v>
      </c>
      <c r="U318" s="356">
        <f t="shared" si="99"/>
        <v>66119.91594058658</v>
      </c>
      <c r="V318" s="359">
        <f t="shared" si="101"/>
        <v>-195.32377736475155</v>
      </c>
      <c r="X318" s="359">
        <f t="shared" si="100"/>
        <v>-8357.912182467844</v>
      </c>
      <c r="Y318" s="356">
        <f t="shared" si="85"/>
        <v>8349358.946508012</v>
      </c>
      <c r="AA318" s="357">
        <f>+Bono!J318</f>
        <v>299958.38507045474</v>
      </c>
      <c r="AC318" s="378">
        <f t="shared" si="91"/>
        <v>24.583333333333332</v>
      </c>
      <c r="AD318" s="356">
        <f t="shared" si="92"/>
        <v>9202567.398267535</v>
      </c>
    </row>
    <row r="319" spans="2:30" x14ac:dyDescent="0.25">
      <c r="B319" s="356">
        <f t="shared" si="86"/>
        <v>296</v>
      </c>
      <c r="C319" s="357">
        <f t="shared" si="93"/>
        <v>24</v>
      </c>
      <c r="D319" s="357">
        <f t="shared" si="94"/>
        <v>8</v>
      </c>
      <c r="E319" s="357">
        <f t="shared" si="95"/>
        <v>53</v>
      </c>
      <c r="F319" s="356">
        <f t="shared" si="87"/>
        <v>553250.0666890686</v>
      </c>
      <c r="H319" s="356">
        <f t="shared" si="83"/>
        <v>4411.693724079006</v>
      </c>
      <c r="I319" s="356">
        <v>0</v>
      </c>
      <c r="J319" s="356">
        <v>0</v>
      </c>
      <c r="K319" s="356">
        <f t="shared" si="88"/>
        <v>-557.6617604131476</v>
      </c>
      <c r="L319" s="356">
        <f t="shared" si="84"/>
        <v>557104.0986527344</v>
      </c>
      <c r="N319" s="356">
        <f t="shared" si="89"/>
        <v>296</v>
      </c>
      <c r="O319" s="357">
        <f t="shared" si="96"/>
        <v>24</v>
      </c>
      <c r="P319" s="357">
        <f t="shared" si="97"/>
        <v>8</v>
      </c>
      <c r="Q319" s="357">
        <f t="shared" si="98"/>
        <v>24</v>
      </c>
      <c r="R319" s="356">
        <f t="shared" si="90"/>
        <v>8349358.946508012</v>
      </c>
      <c r="S319" s="356">
        <f>IF($G$4="mensual",S318,0)</f>
        <v>10000</v>
      </c>
      <c r="U319" s="356">
        <f t="shared" si="99"/>
        <v>66658.70213506791</v>
      </c>
      <c r="V319" s="359">
        <f t="shared" si="101"/>
        <v>-195.32377736475155</v>
      </c>
      <c r="X319" s="359">
        <f t="shared" si="100"/>
        <v>-8426.017648643081</v>
      </c>
      <c r="Y319" s="356">
        <f t="shared" si="85"/>
        <v>8417396.307217073</v>
      </c>
      <c r="AA319" s="357">
        <f>+Bono!J319</f>
        <v>301818.1618509107</v>
      </c>
      <c r="AC319" s="378">
        <f t="shared" si="91"/>
        <v>24.666666666666668</v>
      </c>
      <c r="AD319" s="356">
        <f t="shared" si="92"/>
        <v>9276318.567720719</v>
      </c>
    </row>
    <row r="320" spans="2:30" x14ac:dyDescent="0.25">
      <c r="B320" s="356">
        <f t="shared" si="86"/>
        <v>297</v>
      </c>
      <c r="C320" s="357">
        <f t="shared" si="93"/>
        <v>24</v>
      </c>
      <c r="D320" s="357">
        <f t="shared" si="94"/>
        <v>9</v>
      </c>
      <c r="E320" s="357">
        <f t="shared" si="95"/>
        <v>53</v>
      </c>
      <c r="F320" s="356">
        <f t="shared" si="87"/>
        <v>557104.0986527344</v>
      </c>
      <c r="H320" s="356">
        <f t="shared" si="83"/>
        <v>4442.42631617476</v>
      </c>
      <c r="I320" s="356">
        <v>0</v>
      </c>
      <c r="J320" s="360">
        <f>-SUM(F320:H320)*$J$21</f>
        <v>-5053.9187247201835</v>
      </c>
      <c r="K320" s="356">
        <f t="shared" si="88"/>
        <v>-556.4926062441891</v>
      </c>
      <c r="L320" s="356">
        <f t="shared" si="84"/>
        <v>555936.1136379449</v>
      </c>
      <c r="N320" s="356">
        <f t="shared" si="89"/>
        <v>297</v>
      </c>
      <c r="O320" s="357">
        <f t="shared" si="96"/>
        <v>24</v>
      </c>
      <c r="P320" s="357">
        <f t="shared" si="97"/>
        <v>9</v>
      </c>
      <c r="Q320" s="357">
        <f t="shared" si="98"/>
        <v>24</v>
      </c>
      <c r="R320" s="356">
        <f t="shared" si="90"/>
        <v>8417396.307217073</v>
      </c>
      <c r="S320" s="356">
        <f>IF($G$4="mensual",S319,0)</f>
        <v>10000</v>
      </c>
      <c r="U320" s="356">
        <f t="shared" si="99"/>
        <v>67201.24160377395</v>
      </c>
      <c r="V320" s="359">
        <f t="shared" si="101"/>
        <v>-195.32377736475155</v>
      </c>
      <c r="X320" s="359">
        <f t="shared" si="100"/>
        <v>-8494.597548820846</v>
      </c>
      <c r="Y320" s="356">
        <f t="shared" si="85"/>
        <v>8485907.627494661</v>
      </c>
      <c r="AA320" s="357">
        <f>+Bono!J320</f>
        <v>300953.5282967917</v>
      </c>
      <c r="AC320" s="378">
        <f t="shared" si="91"/>
        <v>24.75</v>
      </c>
      <c r="AD320" s="356">
        <f t="shared" si="92"/>
        <v>9342797.269429397</v>
      </c>
    </row>
    <row r="321" spans="2:30" x14ac:dyDescent="0.25">
      <c r="B321" s="356">
        <f t="shared" si="86"/>
        <v>298</v>
      </c>
      <c r="C321" s="357">
        <f t="shared" si="93"/>
        <v>24</v>
      </c>
      <c r="D321" s="357">
        <f t="shared" si="94"/>
        <v>10</v>
      </c>
      <c r="E321" s="357">
        <f t="shared" si="95"/>
        <v>53</v>
      </c>
      <c r="F321" s="356">
        <f t="shared" si="87"/>
        <v>555936.1136379449</v>
      </c>
      <c r="H321" s="356">
        <f t="shared" si="83"/>
        <v>4433.112639647974</v>
      </c>
      <c r="I321" s="356">
        <v>0</v>
      </c>
      <c r="J321" s="356">
        <v>0</v>
      </c>
      <c r="K321" s="356">
        <f t="shared" si="88"/>
        <v>-560.3692262775929</v>
      </c>
      <c r="L321" s="356">
        <f t="shared" si="84"/>
        <v>559808.8570513154</v>
      </c>
      <c r="N321" s="356">
        <f t="shared" si="89"/>
        <v>298</v>
      </c>
      <c r="O321" s="357">
        <f t="shared" si="96"/>
        <v>24</v>
      </c>
      <c r="P321" s="357">
        <f t="shared" si="97"/>
        <v>10</v>
      </c>
      <c r="Q321" s="357">
        <f t="shared" si="98"/>
        <v>24</v>
      </c>
      <c r="R321" s="356">
        <f t="shared" si="90"/>
        <v>8485907.627494661</v>
      </c>
      <c r="S321" s="356">
        <f>IF($G$4="mensual",S312,IF($G$4="trimestral",S312,0))</f>
        <v>10000</v>
      </c>
      <c r="U321" s="356">
        <f t="shared" si="99"/>
        <v>67747.56049263704</v>
      </c>
      <c r="V321" s="359">
        <f t="shared" si="101"/>
        <v>-195.32377736475155</v>
      </c>
      <c r="X321" s="359">
        <f t="shared" si="100"/>
        <v>-8563.655187987299</v>
      </c>
      <c r="Y321" s="356">
        <f t="shared" si="85"/>
        <v>8554896.209021946</v>
      </c>
      <c r="AA321" s="357">
        <f>+Bono!J321</f>
        <v>302819.47508068045</v>
      </c>
      <c r="AC321" s="378">
        <f t="shared" si="91"/>
        <v>24.833333333333332</v>
      </c>
      <c r="AD321" s="356">
        <f t="shared" si="92"/>
        <v>9417524.541153941</v>
      </c>
    </row>
    <row r="322" spans="2:30" x14ac:dyDescent="0.25">
      <c r="B322" s="356">
        <f t="shared" si="86"/>
        <v>299</v>
      </c>
      <c r="C322" s="357">
        <f t="shared" si="93"/>
        <v>24</v>
      </c>
      <c r="D322" s="357">
        <f t="shared" si="94"/>
        <v>11</v>
      </c>
      <c r="E322" s="357">
        <f t="shared" si="95"/>
        <v>53</v>
      </c>
      <c r="F322" s="356">
        <f t="shared" si="87"/>
        <v>559808.8570513154</v>
      </c>
      <c r="H322" s="356">
        <f t="shared" si="83"/>
        <v>4463.994439471302</v>
      </c>
      <c r="I322" s="356">
        <v>0</v>
      </c>
      <c r="J322" s="356">
        <v>0</v>
      </c>
      <c r="K322" s="356">
        <f t="shared" si="88"/>
        <v>-564.2728514907867</v>
      </c>
      <c r="L322" s="356">
        <f t="shared" si="84"/>
        <v>563708.5786392959</v>
      </c>
      <c r="N322" s="356">
        <f t="shared" si="89"/>
        <v>299</v>
      </c>
      <c r="O322" s="357">
        <f t="shared" si="96"/>
        <v>24</v>
      </c>
      <c r="P322" s="357">
        <f t="shared" si="97"/>
        <v>11</v>
      </c>
      <c r="Q322" s="357">
        <f t="shared" si="98"/>
        <v>24</v>
      </c>
      <c r="R322" s="356">
        <f t="shared" si="90"/>
        <v>8554896.209021946</v>
      </c>
      <c r="S322" s="356">
        <f>IF($G$17="si",S310*(1+$G$20),S310)</f>
        <v>10000</v>
      </c>
      <c r="U322" s="356">
        <f t="shared" si="99"/>
        <v>68297.6851297265</v>
      </c>
      <c r="V322" s="359">
        <f t="shared" si="101"/>
        <v>-195.32377736475155</v>
      </c>
      <c r="X322" s="359">
        <f t="shared" si="100"/>
        <v>-8633.193894151673</v>
      </c>
      <c r="Y322" s="356">
        <f t="shared" si="85"/>
        <v>8624365.376480157</v>
      </c>
      <c r="AA322" s="357">
        <f>+Bono!J322</f>
        <v>304696.99095106573</v>
      </c>
      <c r="AC322" s="378">
        <f t="shared" si="91"/>
        <v>24.916666666666668</v>
      </c>
      <c r="AD322" s="356">
        <f t="shared" si="92"/>
        <v>9492770.946070518</v>
      </c>
    </row>
    <row r="323" spans="2:30" x14ac:dyDescent="0.25">
      <c r="B323" s="356">
        <f t="shared" si="86"/>
        <v>300</v>
      </c>
      <c r="C323" s="357">
        <f t="shared" si="93"/>
        <v>24</v>
      </c>
      <c r="D323" s="357">
        <f t="shared" si="94"/>
        <v>12</v>
      </c>
      <c r="E323" s="357">
        <f t="shared" si="95"/>
        <v>53</v>
      </c>
      <c r="F323" s="356">
        <f t="shared" si="87"/>
        <v>563708.5786392959</v>
      </c>
      <c r="H323" s="356">
        <f t="shared" si="83"/>
        <v>4495.0913670474865</v>
      </c>
      <c r="I323" s="356">
        <v>0</v>
      </c>
      <c r="J323" s="360">
        <f>-SUM(F323:H323)*$J$21</f>
        <v>-5113.8330300570915</v>
      </c>
      <c r="K323" s="356">
        <f t="shared" si="88"/>
        <v>-563.0898369762863</v>
      </c>
      <c r="L323" s="356">
        <f t="shared" si="84"/>
        <v>562526.74713931</v>
      </c>
      <c r="N323" s="356">
        <f t="shared" si="89"/>
        <v>300</v>
      </c>
      <c r="O323" s="357">
        <f t="shared" si="96"/>
        <v>24</v>
      </c>
      <c r="P323" s="357">
        <f t="shared" si="97"/>
        <v>12</v>
      </c>
      <c r="Q323" s="357">
        <f t="shared" si="98"/>
        <v>24</v>
      </c>
      <c r="R323" s="356">
        <f t="shared" si="90"/>
        <v>8624365.376480157</v>
      </c>
      <c r="S323" s="356">
        <f>IF($G$4="mensual",S322,0)</f>
        <v>10000</v>
      </c>
      <c r="U323" s="356">
        <f t="shared" si="99"/>
        <v>68851.6420265173</v>
      </c>
      <c r="V323" s="359">
        <f t="shared" si="101"/>
        <v>-195.32377736475155</v>
      </c>
      <c r="X323" s="359">
        <f t="shared" si="100"/>
        <v>-8703.217018506673</v>
      </c>
      <c r="Y323" s="356">
        <f t="shared" si="85"/>
        <v>8694318.477710802</v>
      </c>
      <c r="AA323" s="357">
        <f>+Bono!J323</f>
        <v>303824.110271521</v>
      </c>
      <c r="AC323" s="378">
        <f t="shared" si="91"/>
        <v>25</v>
      </c>
      <c r="AD323" s="356">
        <f t="shared" si="92"/>
        <v>9560669.335121633</v>
      </c>
    </row>
    <row r="324" spans="2:30" x14ac:dyDescent="0.25">
      <c r="B324" s="356">
        <f t="shared" si="86"/>
        <v>301</v>
      </c>
      <c r="C324" s="357">
        <f t="shared" si="93"/>
        <v>25</v>
      </c>
      <c r="D324" s="357">
        <f t="shared" si="94"/>
        <v>1</v>
      </c>
      <c r="E324" s="357">
        <f t="shared" si="95"/>
        <v>54</v>
      </c>
      <c r="F324" s="356">
        <f t="shared" si="87"/>
        <v>562526.74713931</v>
      </c>
      <c r="H324" s="356">
        <f t="shared" si="83"/>
        <v>4485.667276703297</v>
      </c>
      <c r="I324" s="356">
        <v>0</v>
      </c>
      <c r="J324" s="356">
        <v>0</v>
      </c>
      <c r="K324" s="356">
        <f t="shared" si="88"/>
        <v>-567.0124144160133</v>
      </c>
      <c r="L324" s="356">
        <f t="shared" si="84"/>
        <v>566445.4020015972</v>
      </c>
      <c r="N324" s="356">
        <f t="shared" si="89"/>
        <v>301</v>
      </c>
      <c r="O324" s="357">
        <f t="shared" si="96"/>
        <v>25</v>
      </c>
      <c r="P324" s="357">
        <f t="shared" si="97"/>
        <v>1</v>
      </c>
      <c r="Q324" s="357">
        <f t="shared" si="98"/>
        <v>25</v>
      </c>
      <c r="R324" s="356">
        <f t="shared" si="90"/>
        <v>8694318.477710802</v>
      </c>
      <c r="S324" s="356">
        <f>IF($G$17="si",S312*(1+$G$20),S312)</f>
        <v>10000</v>
      </c>
      <c r="U324" s="356">
        <f t="shared" si="99"/>
        <v>69409.45787916778</v>
      </c>
      <c r="V324" s="359">
        <f>(V323*(1+$G$18))</f>
        <v>-203.1367284593416</v>
      </c>
      <c r="X324" s="359">
        <f t="shared" si="100"/>
        <v>-8773.72793558997</v>
      </c>
      <c r="Y324" s="356">
        <f t="shared" si="85"/>
        <v>8764751.07092592</v>
      </c>
      <c r="AA324" s="357">
        <f>+Bono!J324</f>
        <v>305707.85499662</v>
      </c>
      <c r="AC324" s="378">
        <f t="shared" si="91"/>
        <v>25.083333333333332</v>
      </c>
      <c r="AD324" s="356">
        <f t="shared" si="92"/>
        <v>9636904.327924136</v>
      </c>
    </row>
    <row r="325" spans="2:30" x14ac:dyDescent="0.25">
      <c r="B325" s="356">
        <f t="shared" si="86"/>
        <v>302</v>
      </c>
      <c r="C325" s="357">
        <f t="shared" si="93"/>
        <v>25</v>
      </c>
      <c r="D325" s="357">
        <f t="shared" si="94"/>
        <v>2</v>
      </c>
      <c r="E325" s="357">
        <f t="shared" si="95"/>
        <v>54</v>
      </c>
      <c r="F325" s="356">
        <f t="shared" si="87"/>
        <v>566445.4020015972</v>
      </c>
      <c r="H325" s="356">
        <f t="shared" si="83"/>
        <v>4516.9151808675815</v>
      </c>
      <c r="I325" s="356">
        <v>0</v>
      </c>
      <c r="J325" s="356">
        <v>0</v>
      </c>
      <c r="K325" s="356">
        <f t="shared" si="88"/>
        <v>-570.9623171824647</v>
      </c>
      <c r="L325" s="356">
        <f t="shared" si="84"/>
        <v>570391.3548652823</v>
      </c>
      <c r="N325" s="356">
        <f t="shared" si="89"/>
        <v>302</v>
      </c>
      <c r="O325" s="357">
        <f t="shared" si="96"/>
        <v>25</v>
      </c>
      <c r="P325" s="357">
        <f t="shared" si="97"/>
        <v>2</v>
      </c>
      <c r="Q325" s="357">
        <f t="shared" si="98"/>
        <v>25</v>
      </c>
      <c r="R325" s="356">
        <f t="shared" si="90"/>
        <v>8764751.07092592</v>
      </c>
      <c r="S325" s="356">
        <f>IF($G$4="mensual",S324,0)</f>
        <v>10000</v>
      </c>
      <c r="U325" s="356">
        <f t="shared" si="99"/>
        <v>69971.09726823698</v>
      </c>
      <c r="V325" s="359">
        <f t="shared" si="101"/>
        <v>-203.1367284593416</v>
      </c>
      <c r="X325" s="359">
        <f t="shared" si="100"/>
        <v>-8844.722168194156</v>
      </c>
      <c r="Y325" s="356">
        <f t="shared" si="85"/>
        <v>8835674.309297502</v>
      </c>
      <c r="AA325" s="357">
        <f>+Bono!J325</f>
        <v>307603.2791575154</v>
      </c>
      <c r="AC325" s="378">
        <f t="shared" si="91"/>
        <v>25.166666666666668</v>
      </c>
      <c r="AD325" s="356">
        <f t="shared" si="92"/>
        <v>9713668.9433203</v>
      </c>
    </row>
    <row r="326" spans="2:30" x14ac:dyDescent="0.25">
      <c r="B326" s="356">
        <f t="shared" si="86"/>
        <v>303</v>
      </c>
      <c r="C326" s="357">
        <f t="shared" si="93"/>
        <v>25</v>
      </c>
      <c r="D326" s="357">
        <f t="shared" si="94"/>
        <v>3</v>
      </c>
      <c r="E326" s="357">
        <f t="shared" si="95"/>
        <v>54</v>
      </c>
      <c r="F326" s="356">
        <f t="shared" si="87"/>
        <v>570391.3548652823</v>
      </c>
      <c r="H326" s="356">
        <f t="shared" si="83"/>
        <v>4548.380763128442</v>
      </c>
      <c r="I326" s="356">
        <v>0</v>
      </c>
      <c r="J326" s="360">
        <f>-SUM(F326:H326)*$J$21</f>
        <v>-5174.457620655697</v>
      </c>
      <c r="K326" s="356">
        <f t="shared" si="88"/>
        <v>-569.7652780077551</v>
      </c>
      <c r="L326" s="356">
        <f t="shared" si="84"/>
        <v>569195.5127297473</v>
      </c>
      <c r="N326" s="356">
        <f t="shared" si="89"/>
        <v>303</v>
      </c>
      <c r="O326" s="357">
        <f t="shared" si="96"/>
        <v>25</v>
      </c>
      <c r="P326" s="357">
        <f t="shared" si="97"/>
        <v>3</v>
      </c>
      <c r="Q326" s="357">
        <f t="shared" si="98"/>
        <v>25</v>
      </c>
      <c r="R326" s="356">
        <f t="shared" si="90"/>
        <v>8835674.309297502</v>
      </c>
      <c r="S326" s="356">
        <f>IF($G$4="mensual",S325,0)</f>
        <v>10000</v>
      </c>
      <c r="U326" s="356">
        <f t="shared" si="99"/>
        <v>70536.64913068459</v>
      </c>
      <c r="V326" s="359">
        <f t="shared" si="101"/>
        <v>-203.1367284593416</v>
      </c>
      <c r="X326" s="359">
        <f t="shared" si="100"/>
        <v>-8916.210958428188</v>
      </c>
      <c r="Y326" s="356">
        <f t="shared" si="85"/>
        <v>8907091.610741299</v>
      </c>
      <c r="AA326" s="357">
        <f>+Bono!J326</f>
        <v>306722.0726890724</v>
      </c>
      <c r="AC326" s="378">
        <f t="shared" si="91"/>
        <v>25.25</v>
      </c>
      <c r="AD326" s="356">
        <f t="shared" si="92"/>
        <v>9783009.196160119</v>
      </c>
    </row>
    <row r="327" spans="2:30" x14ac:dyDescent="0.25">
      <c r="B327" s="356">
        <f t="shared" si="86"/>
        <v>304</v>
      </c>
      <c r="C327" s="357">
        <f t="shared" si="93"/>
        <v>25</v>
      </c>
      <c r="D327" s="357">
        <f t="shared" si="94"/>
        <v>4</v>
      </c>
      <c r="E327" s="357">
        <f t="shared" si="95"/>
        <v>54</v>
      </c>
      <c r="F327" s="356">
        <f t="shared" si="87"/>
        <v>569195.5127297473</v>
      </c>
      <c r="H327" s="356">
        <f t="shared" si="83"/>
        <v>4538.8449500088855</v>
      </c>
      <c r="I327" s="356">
        <v>0</v>
      </c>
      <c r="J327" s="356">
        <v>0</v>
      </c>
      <c r="K327" s="356">
        <f t="shared" si="88"/>
        <v>-573.7343576797563</v>
      </c>
      <c r="L327" s="356">
        <f t="shared" si="84"/>
        <v>573160.6233220765</v>
      </c>
      <c r="N327" s="356">
        <f t="shared" si="89"/>
        <v>304</v>
      </c>
      <c r="O327" s="357">
        <f t="shared" si="96"/>
        <v>25</v>
      </c>
      <c r="P327" s="357">
        <f t="shared" si="97"/>
        <v>4</v>
      </c>
      <c r="Q327" s="357">
        <f t="shared" si="98"/>
        <v>25</v>
      </c>
      <c r="R327" s="356">
        <f t="shared" si="90"/>
        <v>8907091.610741299</v>
      </c>
      <c r="S327" s="356">
        <f>IF($G$4="mensual",S324,IF($G$4="trimestral",S324,0))</f>
        <v>10000</v>
      </c>
      <c r="U327" s="356">
        <f t="shared" si="99"/>
        <v>71106.14072145078</v>
      </c>
      <c r="V327" s="359">
        <f t="shared" si="101"/>
        <v>-203.1367284593416</v>
      </c>
      <c r="X327" s="359">
        <f t="shared" si="100"/>
        <v>-8988.19775146275</v>
      </c>
      <c r="Y327" s="356">
        <f t="shared" si="85"/>
        <v>8979006.416982828</v>
      </c>
      <c r="AA327" s="357">
        <f>+Bono!J327</f>
        <v>308623.785117303</v>
      </c>
      <c r="AC327" s="378">
        <f t="shared" si="91"/>
        <v>25.333333333333332</v>
      </c>
      <c r="AD327" s="356">
        <f t="shared" si="92"/>
        <v>9860790.825422209</v>
      </c>
    </row>
    <row r="328" spans="2:30" x14ac:dyDescent="0.25">
      <c r="B328" s="356">
        <f t="shared" si="86"/>
        <v>305</v>
      </c>
      <c r="C328" s="357">
        <f t="shared" si="93"/>
        <v>25</v>
      </c>
      <c r="D328" s="357">
        <f t="shared" si="94"/>
        <v>5</v>
      </c>
      <c r="E328" s="357">
        <f t="shared" si="95"/>
        <v>54</v>
      </c>
      <c r="F328" s="356">
        <f t="shared" si="87"/>
        <v>573160.6233220765</v>
      </c>
      <c r="H328" s="356">
        <f t="shared" si="83"/>
        <v>4570.4632986882525</v>
      </c>
      <c r="I328" s="356">
        <v>0</v>
      </c>
      <c r="J328" s="356">
        <v>0</v>
      </c>
      <c r="K328" s="356">
        <f t="shared" si="88"/>
        <v>-577.7310866207648</v>
      </c>
      <c r="L328" s="356">
        <f t="shared" si="84"/>
        <v>577153.3555341441</v>
      </c>
      <c r="N328" s="356">
        <f t="shared" si="89"/>
        <v>305</v>
      </c>
      <c r="O328" s="357">
        <f t="shared" si="96"/>
        <v>25</v>
      </c>
      <c r="P328" s="357">
        <f t="shared" si="97"/>
        <v>5</v>
      </c>
      <c r="Q328" s="357">
        <f t="shared" si="98"/>
        <v>25</v>
      </c>
      <c r="R328" s="356">
        <f t="shared" si="90"/>
        <v>8979006.416982828</v>
      </c>
      <c r="S328" s="356">
        <f>IF($G$4="mensual",S327,0)</f>
        <v>10000</v>
      </c>
      <c r="U328" s="356">
        <f t="shared" si="99"/>
        <v>71679.59948533814</v>
      </c>
      <c r="V328" s="359">
        <f t="shared" si="101"/>
        <v>-203.1367284593416</v>
      </c>
      <c r="X328" s="359">
        <f t="shared" si="100"/>
        <v>-9060.686016468166</v>
      </c>
      <c r="Y328" s="356">
        <f t="shared" si="85"/>
        <v>9051422.193723237</v>
      </c>
      <c r="AA328" s="357">
        <f>+Bono!J328</f>
        <v>310537.2883831736</v>
      </c>
      <c r="AC328" s="378">
        <f t="shared" si="91"/>
        <v>25.416666666666668</v>
      </c>
      <c r="AD328" s="356">
        <f t="shared" si="92"/>
        <v>9939112.837640554</v>
      </c>
    </row>
    <row r="329" spans="2:30" x14ac:dyDescent="0.25">
      <c r="B329" s="356">
        <f t="shared" si="86"/>
        <v>306</v>
      </c>
      <c r="C329" s="357">
        <f t="shared" si="93"/>
        <v>25</v>
      </c>
      <c r="D329" s="357">
        <f t="shared" si="94"/>
        <v>6</v>
      </c>
      <c r="E329" s="357">
        <f t="shared" si="95"/>
        <v>54</v>
      </c>
      <c r="F329" s="356">
        <f t="shared" si="87"/>
        <v>577153.3555341441</v>
      </c>
      <c r="H329" s="356">
        <f t="shared" si="83"/>
        <v>4602.301906042287</v>
      </c>
      <c r="I329" s="356">
        <v>0</v>
      </c>
      <c r="J329" s="360">
        <f>-SUM(F329:H329)*$J$21</f>
        <v>-5235.800916961678</v>
      </c>
      <c r="K329" s="356">
        <f t="shared" si="88"/>
        <v>-576.5198565232248</v>
      </c>
      <c r="L329" s="356">
        <f t="shared" si="84"/>
        <v>575943.3366667015</v>
      </c>
      <c r="N329" s="356">
        <f t="shared" si="89"/>
        <v>306</v>
      </c>
      <c r="O329" s="357">
        <f t="shared" si="96"/>
        <v>25</v>
      </c>
      <c r="P329" s="357">
        <f t="shared" si="97"/>
        <v>6</v>
      </c>
      <c r="Q329" s="357">
        <f t="shared" si="98"/>
        <v>25</v>
      </c>
      <c r="R329" s="356">
        <f t="shared" si="90"/>
        <v>9051422.193723237</v>
      </c>
      <c r="S329" s="356">
        <f>IF($G$4="mensual",S328,0)</f>
        <v>10000</v>
      </c>
      <c r="U329" s="356">
        <f t="shared" si="99"/>
        <v>72257.0530583343</v>
      </c>
      <c r="V329" s="359">
        <f t="shared" si="101"/>
        <v>-203.1367284593416</v>
      </c>
      <c r="X329" s="359">
        <f t="shared" si="100"/>
        <v>-9133.67924678157</v>
      </c>
      <c r="Y329" s="356">
        <f t="shared" si="85"/>
        <v>9124342.43080633</v>
      </c>
      <c r="AA329" s="357">
        <f>+Bono!J329</f>
        <v>309647.6767120448</v>
      </c>
      <c r="AC329" s="378">
        <f t="shared" si="91"/>
        <v>25.5</v>
      </c>
      <c r="AD329" s="356">
        <f t="shared" si="92"/>
        <v>10009933.444185076</v>
      </c>
    </row>
    <row r="330" spans="2:30" x14ac:dyDescent="0.25">
      <c r="B330" s="356">
        <f t="shared" si="86"/>
        <v>307</v>
      </c>
      <c r="C330" s="357">
        <f t="shared" si="93"/>
        <v>25</v>
      </c>
      <c r="D330" s="357">
        <f t="shared" si="94"/>
        <v>7</v>
      </c>
      <c r="E330" s="357">
        <f t="shared" si="95"/>
        <v>54</v>
      </c>
      <c r="F330" s="356">
        <f t="shared" si="87"/>
        <v>575943.3366667015</v>
      </c>
      <c r="H330" s="356">
        <f t="shared" si="83"/>
        <v>4592.653045671676</v>
      </c>
      <c r="I330" s="356">
        <v>0</v>
      </c>
      <c r="J330" s="356">
        <v>0</v>
      </c>
      <c r="K330" s="356">
        <f t="shared" si="88"/>
        <v>-580.5359897123732</v>
      </c>
      <c r="L330" s="356">
        <f t="shared" si="84"/>
        <v>579955.4537226608</v>
      </c>
      <c r="N330" s="356">
        <f t="shared" si="89"/>
        <v>307</v>
      </c>
      <c r="O330" s="357">
        <f t="shared" si="96"/>
        <v>25</v>
      </c>
      <c r="P330" s="357">
        <f t="shared" si="97"/>
        <v>7</v>
      </c>
      <c r="Q330" s="357">
        <f t="shared" si="98"/>
        <v>25</v>
      </c>
      <c r="R330" s="356">
        <f t="shared" si="90"/>
        <v>9124342.43080633</v>
      </c>
      <c r="S330" s="356">
        <f>+IF($G$4="mensual",S324,IF($G$4="trimestral",S324,IF($G$4="semestral",S324,0)))</f>
        <v>10000</v>
      </c>
      <c r="U330" s="356">
        <f t="shared" si="99"/>
        <v>72838.52926894384</v>
      </c>
      <c r="V330" s="359">
        <f t="shared" si="101"/>
        <v>-203.1367284593416</v>
      </c>
      <c r="X330" s="359">
        <f t="shared" si="100"/>
        <v>-9207.180960075275</v>
      </c>
      <c r="Y330" s="356">
        <f t="shared" si="85"/>
        <v>9197770.642386738</v>
      </c>
      <c r="AA330" s="357">
        <f>+Bono!J330</f>
        <v>311567.5282245669</v>
      </c>
      <c r="AC330" s="378">
        <f t="shared" si="91"/>
        <v>25.583333333333332</v>
      </c>
      <c r="AD330" s="356">
        <f t="shared" si="92"/>
        <v>10089293.624333967</v>
      </c>
    </row>
    <row r="331" spans="2:30" x14ac:dyDescent="0.25">
      <c r="B331" s="356">
        <f t="shared" si="86"/>
        <v>308</v>
      </c>
      <c r="C331" s="357">
        <f t="shared" si="93"/>
        <v>25</v>
      </c>
      <c r="D331" s="357">
        <f t="shared" si="94"/>
        <v>8</v>
      </c>
      <c r="E331" s="357">
        <f t="shared" si="95"/>
        <v>54</v>
      </c>
      <c r="F331" s="356">
        <f t="shared" si="87"/>
        <v>579955.4537226608</v>
      </c>
      <c r="H331" s="356">
        <f t="shared" si="83"/>
        <v>4624.646230493096</v>
      </c>
      <c r="I331" s="356">
        <v>0</v>
      </c>
      <c r="J331" s="356">
        <v>0</v>
      </c>
      <c r="K331" s="356">
        <f t="shared" si="88"/>
        <v>-584.5800999531539</v>
      </c>
      <c r="L331" s="356">
        <f t="shared" si="84"/>
        <v>583995.5198532008</v>
      </c>
      <c r="N331" s="356">
        <f t="shared" si="89"/>
        <v>308</v>
      </c>
      <c r="O331" s="357">
        <f t="shared" si="96"/>
        <v>25</v>
      </c>
      <c r="P331" s="357">
        <f t="shared" si="97"/>
        <v>8</v>
      </c>
      <c r="Q331" s="357">
        <f t="shared" si="98"/>
        <v>25</v>
      </c>
      <c r="R331" s="356">
        <f t="shared" si="90"/>
        <v>9197770.642386738</v>
      </c>
      <c r="S331" s="356">
        <f>IF($G$4="mensual",S330,0)</f>
        <v>10000</v>
      </c>
      <c r="U331" s="356">
        <f t="shared" si="99"/>
        <v>73424.05613952928</v>
      </c>
      <c r="V331" s="359">
        <f t="shared" si="101"/>
        <v>-203.1367284593416</v>
      </c>
      <c r="X331" s="359">
        <f t="shared" si="100"/>
        <v>-9281.194698526268</v>
      </c>
      <c r="Y331" s="356">
        <f t="shared" si="85"/>
        <v>9271710.367099281</v>
      </c>
      <c r="AA331" s="357">
        <f>+Bono!J331</f>
        <v>313499.28303915565</v>
      </c>
      <c r="AC331" s="378">
        <f t="shared" si="91"/>
        <v>25.666666666666668</v>
      </c>
      <c r="AD331" s="356">
        <f t="shared" si="92"/>
        <v>10169205.169991639</v>
      </c>
    </row>
    <row r="332" spans="2:30" x14ac:dyDescent="0.25">
      <c r="B332" s="356">
        <f t="shared" si="86"/>
        <v>309</v>
      </c>
      <c r="C332" s="357">
        <f t="shared" si="93"/>
        <v>25</v>
      </c>
      <c r="D332" s="357">
        <f t="shared" si="94"/>
        <v>9</v>
      </c>
      <c r="E332" s="357">
        <f t="shared" si="95"/>
        <v>54</v>
      </c>
      <c r="F332" s="356">
        <f t="shared" si="87"/>
        <v>583995.5198532008</v>
      </c>
      <c r="H332" s="356">
        <f t="shared" si="83"/>
        <v>4656.862285160079</v>
      </c>
      <c r="I332" s="356">
        <v>0</v>
      </c>
      <c r="J332" s="360">
        <f>-SUM(F332:H332)*$J$21</f>
        <v>-5297.871439245248</v>
      </c>
      <c r="K332" s="356">
        <f t="shared" si="88"/>
        <v>-583.3545106991156</v>
      </c>
      <c r="L332" s="356">
        <f t="shared" si="84"/>
        <v>582771.1561884164</v>
      </c>
      <c r="N332" s="356">
        <f t="shared" si="89"/>
        <v>309</v>
      </c>
      <c r="O332" s="357">
        <f t="shared" si="96"/>
        <v>25</v>
      </c>
      <c r="P332" s="357">
        <f t="shared" si="97"/>
        <v>9</v>
      </c>
      <c r="Q332" s="357">
        <f t="shared" si="98"/>
        <v>25</v>
      </c>
      <c r="R332" s="356">
        <f t="shared" si="90"/>
        <v>9271710.367099281</v>
      </c>
      <c r="S332" s="356">
        <f>IF($G$4="mensual",S331,0)</f>
        <v>10000</v>
      </c>
      <c r="U332" s="356">
        <f t="shared" si="99"/>
        <v>74013.66188766158</v>
      </c>
      <c r="V332" s="359">
        <f t="shared" si="101"/>
        <v>-203.1367284593416</v>
      </c>
      <c r="X332" s="359">
        <f t="shared" si="100"/>
        <v>-9355.724028986944</v>
      </c>
      <c r="Y332" s="356">
        <f t="shared" si="85"/>
        <v>9346165.168229496</v>
      </c>
      <c r="AA332" s="357">
        <f>+Bono!J332</f>
        <v>312601.1859940819</v>
      </c>
      <c r="AC332" s="378">
        <f t="shared" si="91"/>
        <v>25.75</v>
      </c>
      <c r="AD332" s="356">
        <f t="shared" si="92"/>
        <v>10241537.510411995</v>
      </c>
    </row>
    <row r="333" spans="2:30" x14ac:dyDescent="0.25">
      <c r="B333" s="356">
        <f t="shared" si="86"/>
        <v>310</v>
      </c>
      <c r="C333" s="357">
        <f t="shared" si="93"/>
        <v>25</v>
      </c>
      <c r="D333" s="357">
        <f t="shared" si="94"/>
        <v>10</v>
      </c>
      <c r="E333" s="357">
        <f t="shared" si="95"/>
        <v>54</v>
      </c>
      <c r="F333" s="356">
        <f t="shared" si="87"/>
        <v>582771.1561884164</v>
      </c>
      <c r="H333" s="356">
        <f t="shared" si="83"/>
        <v>4647.099037361041</v>
      </c>
      <c r="I333" s="356">
        <v>0</v>
      </c>
      <c r="J333" s="356">
        <v>0</v>
      </c>
      <c r="K333" s="356">
        <f t="shared" si="88"/>
        <v>-587.4182552257776</v>
      </c>
      <c r="L333" s="356">
        <f t="shared" si="84"/>
        <v>586830.8369705518</v>
      </c>
      <c r="N333" s="356">
        <f t="shared" si="89"/>
        <v>310</v>
      </c>
      <c r="O333" s="357">
        <f t="shared" si="96"/>
        <v>25</v>
      </c>
      <c r="P333" s="357">
        <f t="shared" si="97"/>
        <v>10</v>
      </c>
      <c r="Q333" s="357">
        <f t="shared" si="98"/>
        <v>25</v>
      </c>
      <c r="R333" s="356">
        <f t="shared" si="90"/>
        <v>9346165.168229496</v>
      </c>
      <c r="S333" s="356">
        <f>IF($G$4="mensual",S324,IF($G$4="trimestral",S324,0))</f>
        <v>10000</v>
      </c>
      <c r="U333" s="356">
        <f t="shared" si="99"/>
        <v>74607.37492748002</v>
      </c>
      <c r="V333" s="359">
        <f t="shared" si="101"/>
        <v>-203.1367284593416</v>
      </c>
      <c r="X333" s="359">
        <f t="shared" si="100"/>
        <v>-9430.772543156976</v>
      </c>
      <c r="Y333" s="356">
        <f t="shared" si="85"/>
        <v>9421138.63388536</v>
      </c>
      <c r="AA333" s="357">
        <f>+Bono!J333</f>
        <v>314539.3496067385</v>
      </c>
      <c r="AC333" s="378">
        <f t="shared" si="91"/>
        <v>25.833333333333332</v>
      </c>
      <c r="AD333" s="356">
        <f t="shared" si="92"/>
        <v>10322508.82046265</v>
      </c>
    </row>
    <row r="334" spans="2:30" x14ac:dyDescent="0.25">
      <c r="B334" s="356">
        <f t="shared" si="86"/>
        <v>311</v>
      </c>
      <c r="C334" s="357">
        <f t="shared" si="93"/>
        <v>25</v>
      </c>
      <c r="D334" s="357">
        <f t="shared" si="94"/>
        <v>11</v>
      </c>
      <c r="E334" s="357">
        <f t="shared" si="95"/>
        <v>54</v>
      </c>
      <c r="F334" s="356">
        <f t="shared" si="87"/>
        <v>586830.8369705518</v>
      </c>
      <c r="H334" s="356">
        <f t="shared" si="83"/>
        <v>4679.47150201431</v>
      </c>
      <c r="I334" s="356">
        <v>0</v>
      </c>
      <c r="J334" s="356">
        <v>0</v>
      </c>
      <c r="K334" s="356">
        <f t="shared" si="88"/>
        <v>-591.5103084725661</v>
      </c>
      <c r="L334" s="356">
        <f t="shared" si="84"/>
        <v>590918.7981640935</v>
      </c>
      <c r="N334" s="356">
        <f t="shared" si="89"/>
        <v>311</v>
      </c>
      <c r="O334" s="357">
        <f t="shared" si="96"/>
        <v>25</v>
      </c>
      <c r="P334" s="357">
        <f t="shared" si="97"/>
        <v>11</v>
      </c>
      <c r="Q334" s="357">
        <f t="shared" si="98"/>
        <v>25</v>
      </c>
      <c r="R334" s="356">
        <f t="shared" si="90"/>
        <v>9421138.63388536</v>
      </c>
      <c r="S334" s="356">
        <f>IF($G$17="si",S322*(1+$G$20),S322)</f>
        <v>10000</v>
      </c>
      <c r="U334" s="356">
        <f t="shared" si="99"/>
        <v>75205.22387106146</v>
      </c>
      <c r="V334" s="359">
        <f t="shared" si="101"/>
        <v>-203.1367284593416</v>
      </c>
      <c r="X334" s="359">
        <f t="shared" si="100"/>
        <v>-9506.343857756421</v>
      </c>
      <c r="Y334" s="356">
        <f t="shared" si="85"/>
        <v>9496634.377170205</v>
      </c>
      <c r="AA334" s="357">
        <f>+Bono!J334</f>
        <v>316489.53005860664</v>
      </c>
      <c r="AC334" s="378">
        <f t="shared" si="91"/>
        <v>25.916666666666668</v>
      </c>
      <c r="AD334" s="356">
        <f t="shared" si="92"/>
        <v>10404042.705392906</v>
      </c>
    </row>
    <row r="335" spans="2:30" x14ac:dyDescent="0.25">
      <c r="B335" s="356">
        <f t="shared" si="86"/>
        <v>312</v>
      </c>
      <c r="C335" s="357">
        <f t="shared" si="93"/>
        <v>25</v>
      </c>
      <c r="D335" s="357">
        <f t="shared" si="94"/>
        <v>12</v>
      </c>
      <c r="E335" s="357">
        <f t="shared" si="95"/>
        <v>54</v>
      </c>
      <c r="F335" s="356">
        <f t="shared" si="87"/>
        <v>590918.7981640935</v>
      </c>
      <c r="H335" s="356">
        <f t="shared" si="83"/>
        <v>4712.069478639522</v>
      </c>
      <c r="I335" s="356">
        <v>0</v>
      </c>
      <c r="J335" s="360">
        <f>-SUM(F335:H335)*$J$21</f>
        <v>-5360.677808784598</v>
      </c>
      <c r="K335" s="356">
        <f t="shared" si="88"/>
        <v>-590.2701898339484</v>
      </c>
      <c r="L335" s="356">
        <f t="shared" si="84"/>
        <v>589679.9196441144</v>
      </c>
      <c r="N335" s="356">
        <f t="shared" si="89"/>
        <v>312</v>
      </c>
      <c r="O335" s="357">
        <f t="shared" si="96"/>
        <v>25</v>
      </c>
      <c r="P335" s="357">
        <f t="shared" si="97"/>
        <v>12</v>
      </c>
      <c r="Q335" s="357">
        <f t="shared" si="98"/>
        <v>25</v>
      </c>
      <c r="R335" s="356">
        <f t="shared" si="90"/>
        <v>9496634.377170205</v>
      </c>
      <c r="S335" s="356">
        <f>IF($G$4="mensual",S334,0)</f>
        <v>10000</v>
      </c>
      <c r="U335" s="356">
        <f t="shared" si="99"/>
        <v>75807.23752979928</v>
      </c>
      <c r="V335" s="359">
        <f t="shared" si="101"/>
        <v>-203.1367284593416</v>
      </c>
      <c r="X335" s="359">
        <f t="shared" si="100"/>
        <v>-9582.441614700005</v>
      </c>
      <c r="Y335" s="356">
        <f t="shared" si="85"/>
        <v>9572656.036356844</v>
      </c>
      <c r="AA335" s="357">
        <f>+Bono!J335</f>
        <v>315582.8667036321</v>
      </c>
      <c r="AC335" s="378">
        <f t="shared" si="91"/>
        <v>26</v>
      </c>
      <c r="AD335" s="356">
        <f t="shared" si="92"/>
        <v>10477918.822704589</v>
      </c>
    </row>
    <row r="336" spans="2:30" x14ac:dyDescent="0.25">
      <c r="B336" s="356">
        <f t="shared" si="86"/>
        <v>313</v>
      </c>
      <c r="C336" s="357">
        <f t="shared" si="93"/>
        <v>26</v>
      </c>
      <c r="D336" s="357">
        <f t="shared" si="94"/>
        <v>1</v>
      </c>
      <c r="E336" s="357">
        <f t="shared" si="95"/>
        <v>55</v>
      </c>
      <c r="F336" s="356">
        <f t="shared" si="87"/>
        <v>589679.9196441144</v>
      </c>
      <c r="H336" s="356">
        <f t="shared" si="83"/>
        <v>4702.190487346856</v>
      </c>
      <c r="I336" s="356">
        <v>0</v>
      </c>
      <c r="J336" s="356">
        <v>0</v>
      </c>
      <c r="K336" s="356">
        <f t="shared" si="88"/>
        <v>-594.3821101314613</v>
      </c>
      <c r="L336" s="356">
        <f t="shared" si="84"/>
        <v>593787.7280213299</v>
      </c>
      <c r="N336" s="356">
        <f t="shared" si="89"/>
        <v>313</v>
      </c>
      <c r="O336" s="357">
        <f t="shared" si="96"/>
        <v>26</v>
      </c>
      <c r="P336" s="357">
        <f t="shared" si="97"/>
        <v>1</v>
      </c>
      <c r="Q336" s="357">
        <f t="shared" si="98"/>
        <v>26</v>
      </c>
      <c r="R336" s="356">
        <f t="shared" si="90"/>
        <v>9572656.036356844</v>
      </c>
      <c r="S336" s="356">
        <f>IF($G$17="si",S324*(1+$G$20),S324)</f>
        <v>10000</v>
      </c>
      <c r="U336" s="356">
        <f t="shared" si="99"/>
        <v>76413.44491579181</v>
      </c>
      <c r="V336" s="359">
        <f>(V335*(1+$G$18))</f>
        <v>-211.26219759771527</v>
      </c>
      <c r="X336" s="359">
        <f t="shared" si="100"/>
        <v>-9659.069481272636</v>
      </c>
      <c r="Y336" s="356">
        <f t="shared" si="85"/>
        <v>9649199.149593767</v>
      </c>
      <c r="AA336" s="357">
        <f>+Bono!J336</f>
        <v>317539.5170825415</v>
      </c>
      <c r="AC336" s="378">
        <f t="shared" si="91"/>
        <v>26.083333333333332</v>
      </c>
      <c r="AD336" s="356">
        <f t="shared" si="92"/>
        <v>10560526.394697638</v>
      </c>
    </row>
    <row r="337" spans="2:30" x14ac:dyDescent="0.25">
      <c r="B337" s="356">
        <f t="shared" si="86"/>
        <v>314</v>
      </c>
      <c r="C337" s="357">
        <f t="shared" si="93"/>
        <v>26</v>
      </c>
      <c r="D337" s="357">
        <f t="shared" si="94"/>
        <v>2</v>
      </c>
      <c r="E337" s="357">
        <f t="shared" si="95"/>
        <v>55</v>
      </c>
      <c r="F337" s="356">
        <f t="shared" si="87"/>
        <v>593787.7280213299</v>
      </c>
      <c r="H337" s="356">
        <f t="shared" si="83"/>
        <v>4734.946728201799</v>
      </c>
      <c r="I337" s="356">
        <v>0</v>
      </c>
      <c r="J337" s="356">
        <v>0</v>
      </c>
      <c r="K337" s="356">
        <f t="shared" si="88"/>
        <v>-598.5226747495317</v>
      </c>
      <c r="L337" s="356">
        <f t="shared" si="84"/>
        <v>597924.1520747822</v>
      </c>
      <c r="N337" s="356">
        <f t="shared" si="89"/>
        <v>314</v>
      </c>
      <c r="O337" s="357">
        <f t="shared" si="96"/>
        <v>26</v>
      </c>
      <c r="P337" s="357">
        <f t="shared" si="97"/>
        <v>2</v>
      </c>
      <c r="Q337" s="357">
        <f t="shared" si="98"/>
        <v>26</v>
      </c>
      <c r="R337" s="356">
        <f t="shared" si="90"/>
        <v>9649199.149593767</v>
      </c>
      <c r="S337" s="356">
        <f>IF($G$4="mensual",S336,0)</f>
        <v>10000</v>
      </c>
      <c r="U337" s="356">
        <f t="shared" si="99"/>
        <v>77023.81044960851</v>
      </c>
      <c r="V337" s="359">
        <f t="shared" si="101"/>
        <v>-211.26219759771527</v>
      </c>
      <c r="X337" s="359">
        <f t="shared" si="100"/>
        <v>-9736.222960043375</v>
      </c>
      <c r="Y337" s="356">
        <f t="shared" si="85"/>
        <v>9726275.474885734</v>
      </c>
      <c r="AA337" s="357">
        <f>+Bono!J337</f>
        <v>319508.2989207575</v>
      </c>
      <c r="AC337" s="378">
        <f t="shared" si="91"/>
        <v>26.166666666666668</v>
      </c>
      <c r="AD337" s="356">
        <f t="shared" si="92"/>
        <v>10643707.925881274</v>
      </c>
    </row>
    <row r="338" spans="2:30" x14ac:dyDescent="0.25">
      <c r="B338" s="356">
        <f t="shared" si="86"/>
        <v>315</v>
      </c>
      <c r="C338" s="357">
        <f t="shared" si="93"/>
        <v>26</v>
      </c>
      <c r="D338" s="357">
        <f t="shared" si="94"/>
        <v>3</v>
      </c>
      <c r="E338" s="357">
        <f t="shared" si="95"/>
        <v>55</v>
      </c>
      <c r="F338" s="356">
        <f t="shared" si="87"/>
        <v>597924.1520747822</v>
      </c>
      <c r="H338" s="356">
        <f t="shared" si="83"/>
        <v>4767.931154477523</v>
      </c>
      <c r="I338" s="356">
        <v>0</v>
      </c>
      <c r="J338" s="360">
        <f>-SUM(F338:H338)*$J$21</f>
        <v>-5424.228749063338</v>
      </c>
      <c r="K338" s="356">
        <f t="shared" si="88"/>
        <v>-597.2678544801964</v>
      </c>
      <c r="L338" s="356">
        <f t="shared" si="84"/>
        <v>596670.5866257162</v>
      </c>
      <c r="N338" s="356">
        <f t="shared" si="89"/>
        <v>315</v>
      </c>
      <c r="O338" s="357">
        <f t="shared" si="96"/>
        <v>26</v>
      </c>
      <c r="P338" s="357">
        <f t="shared" si="97"/>
        <v>3</v>
      </c>
      <c r="Q338" s="357">
        <f t="shared" si="98"/>
        <v>26</v>
      </c>
      <c r="R338" s="356">
        <f t="shared" si="90"/>
        <v>9726275.474885734</v>
      </c>
      <c r="S338" s="356">
        <f>IF($G$4="mensual",S337,0)</f>
        <v>10000</v>
      </c>
      <c r="U338" s="356">
        <f t="shared" si="99"/>
        <v>77638.42789123053</v>
      </c>
      <c r="V338" s="359">
        <f t="shared" si="101"/>
        <v>-211.26219759771527</v>
      </c>
      <c r="X338" s="359">
        <f t="shared" si="100"/>
        <v>-9813.913902776963</v>
      </c>
      <c r="Y338" s="356">
        <f t="shared" si="85"/>
        <v>9803888.72667659</v>
      </c>
      <c r="AA338" s="357">
        <f>+Bono!J338</f>
        <v>318592.98754793557</v>
      </c>
      <c r="AC338" s="378">
        <f t="shared" si="91"/>
        <v>26.25</v>
      </c>
      <c r="AD338" s="356">
        <f t="shared" si="92"/>
        <v>10719152.300850242</v>
      </c>
    </row>
    <row r="339" spans="2:30" x14ac:dyDescent="0.25">
      <c r="B339" s="356">
        <f t="shared" si="86"/>
        <v>316</v>
      </c>
      <c r="C339" s="357">
        <f t="shared" si="93"/>
        <v>26</v>
      </c>
      <c r="D339" s="357">
        <f t="shared" si="94"/>
        <v>4</v>
      </c>
      <c r="E339" s="357">
        <f t="shared" si="95"/>
        <v>55</v>
      </c>
      <c r="F339" s="356">
        <f t="shared" si="87"/>
        <v>596670.5866257162</v>
      </c>
      <c r="H339" s="356">
        <f t="shared" si="83"/>
        <v>4757.9350475498495</v>
      </c>
      <c r="I339" s="356">
        <v>0</v>
      </c>
      <c r="J339" s="356">
        <v>0</v>
      </c>
      <c r="K339" s="356">
        <f t="shared" si="88"/>
        <v>-601.4285216732661</v>
      </c>
      <c r="L339" s="356">
        <f t="shared" si="84"/>
        <v>600827.0931515928</v>
      </c>
      <c r="N339" s="356">
        <f t="shared" si="89"/>
        <v>316</v>
      </c>
      <c r="O339" s="357">
        <f t="shared" si="96"/>
        <v>26</v>
      </c>
      <c r="P339" s="357">
        <f t="shared" si="97"/>
        <v>4</v>
      </c>
      <c r="Q339" s="357">
        <f t="shared" si="98"/>
        <v>26</v>
      </c>
      <c r="R339" s="356">
        <f t="shared" si="90"/>
        <v>9803888.72667659</v>
      </c>
      <c r="S339" s="356">
        <f>IF($G$4="mensual",S336,IF($G$4="trimestral",S336,0))</f>
        <v>10000</v>
      </c>
      <c r="U339" s="356">
        <f t="shared" si="99"/>
        <v>78257.32686015469</v>
      </c>
      <c r="V339" s="359">
        <f t="shared" si="101"/>
        <v>-211.26219759771527</v>
      </c>
      <c r="X339" s="359">
        <f t="shared" si="100"/>
        <v>-9892.146053536744</v>
      </c>
      <c r="Y339" s="356">
        <f t="shared" si="85"/>
        <v>9882042.645285612</v>
      </c>
      <c r="AA339" s="357">
        <f>+Bono!J339</f>
        <v>320568.301025232</v>
      </c>
      <c r="AC339" s="378">
        <f t="shared" si="91"/>
        <v>26.333333333333332</v>
      </c>
      <c r="AD339" s="356">
        <f t="shared" si="92"/>
        <v>10803438.039462438</v>
      </c>
    </row>
    <row r="340" spans="2:30" x14ac:dyDescent="0.25">
      <c r="B340" s="356">
        <f t="shared" si="86"/>
        <v>317</v>
      </c>
      <c r="C340" s="357">
        <f t="shared" si="93"/>
        <v>26</v>
      </c>
      <c r="D340" s="357">
        <f t="shared" si="94"/>
        <v>5</v>
      </c>
      <c r="E340" s="357">
        <f t="shared" si="95"/>
        <v>55</v>
      </c>
      <c r="F340" s="356">
        <f t="shared" si="87"/>
        <v>600827.0931515928</v>
      </c>
      <c r="H340" s="356">
        <f t="shared" si="83"/>
        <v>4791.079614280844</v>
      </c>
      <c r="I340" s="356">
        <v>0</v>
      </c>
      <c r="J340" s="356">
        <v>0</v>
      </c>
      <c r="K340" s="356">
        <f t="shared" si="88"/>
        <v>-605.6181727658736</v>
      </c>
      <c r="L340" s="356">
        <f t="shared" si="84"/>
        <v>605012.5545931078</v>
      </c>
      <c r="N340" s="356">
        <f t="shared" si="89"/>
        <v>317</v>
      </c>
      <c r="O340" s="357">
        <f t="shared" si="96"/>
        <v>26</v>
      </c>
      <c r="P340" s="357">
        <f t="shared" si="97"/>
        <v>5</v>
      </c>
      <c r="Q340" s="357">
        <f t="shared" si="98"/>
        <v>26</v>
      </c>
      <c r="R340" s="356">
        <f t="shared" si="90"/>
        <v>9882042.645285612</v>
      </c>
      <c r="S340" s="356">
        <f>IF($G$4="mensual",S339,0)</f>
        <v>10000</v>
      </c>
      <c r="U340" s="356">
        <f t="shared" si="99"/>
        <v>78880.53718221214</v>
      </c>
      <c r="V340" s="359">
        <f t="shared" si="101"/>
        <v>-211.26219759771527</v>
      </c>
      <c r="X340" s="359">
        <f t="shared" si="100"/>
        <v>-9970.923182467825</v>
      </c>
      <c r="Y340" s="356">
        <f t="shared" si="85"/>
        <v>9960740.99708776</v>
      </c>
      <c r="AA340" s="357">
        <f>+Bono!J340</f>
        <v>322555.8616752099</v>
      </c>
      <c r="AC340" s="378">
        <f t="shared" si="91"/>
        <v>26.416666666666668</v>
      </c>
      <c r="AD340" s="356">
        <f t="shared" si="92"/>
        <v>10888309.413356079</v>
      </c>
    </row>
    <row r="341" spans="2:30" x14ac:dyDescent="0.25">
      <c r="B341" s="356">
        <f t="shared" si="86"/>
        <v>318</v>
      </c>
      <c r="C341" s="357">
        <f t="shared" si="93"/>
        <v>26</v>
      </c>
      <c r="D341" s="357">
        <f t="shared" si="94"/>
        <v>6</v>
      </c>
      <c r="E341" s="357">
        <f t="shared" si="95"/>
        <v>55</v>
      </c>
      <c r="F341" s="356">
        <f t="shared" si="87"/>
        <v>605012.5545931078</v>
      </c>
      <c r="H341" s="356">
        <f t="shared" si="83"/>
        <v>4824.455071575247</v>
      </c>
      <c r="I341" s="356">
        <v>0</v>
      </c>
      <c r="J341" s="360">
        <f>-SUM(F341:H341)*$J$21</f>
        <v>-5488.533086982148</v>
      </c>
      <c r="K341" s="356">
        <f t="shared" si="88"/>
        <v>-604.3484765777008</v>
      </c>
      <c r="L341" s="356">
        <f t="shared" si="84"/>
        <v>603744.1281011231</v>
      </c>
      <c r="N341" s="356">
        <f t="shared" si="89"/>
        <v>318</v>
      </c>
      <c r="O341" s="357">
        <f t="shared" si="96"/>
        <v>26</v>
      </c>
      <c r="P341" s="357">
        <f t="shared" si="97"/>
        <v>6</v>
      </c>
      <c r="Q341" s="357">
        <f t="shared" si="98"/>
        <v>26</v>
      </c>
      <c r="R341" s="356">
        <f t="shared" si="90"/>
        <v>9960740.99708776</v>
      </c>
      <c r="S341" s="356">
        <f>IF($G$4="mensual",S340,0)</f>
        <v>10000</v>
      </c>
      <c r="U341" s="356">
        <f t="shared" si="99"/>
        <v>79508.08889100574</v>
      </c>
      <c r="V341" s="359">
        <f t="shared" si="101"/>
        <v>-211.26219759771527</v>
      </c>
      <c r="X341" s="359">
        <f t="shared" si="100"/>
        <v>-10050.249085978765</v>
      </c>
      <c r="Y341" s="356">
        <f t="shared" si="85"/>
        <v>10039987.574695189</v>
      </c>
      <c r="AA341" s="357">
        <f>+Bono!J341</f>
        <v>321631.81979724</v>
      </c>
      <c r="AC341" s="378">
        <f t="shared" si="91"/>
        <v>26.5</v>
      </c>
      <c r="AD341" s="356">
        <f t="shared" si="92"/>
        <v>10965363.522593552</v>
      </c>
    </row>
    <row r="342" spans="2:30" x14ac:dyDescent="0.25">
      <c r="B342" s="356">
        <f t="shared" si="86"/>
        <v>319</v>
      </c>
      <c r="C342" s="357">
        <f t="shared" si="93"/>
        <v>26</v>
      </c>
      <c r="D342" s="357">
        <f t="shared" si="94"/>
        <v>7</v>
      </c>
      <c r="E342" s="357">
        <f t="shared" si="95"/>
        <v>55</v>
      </c>
      <c r="F342" s="356">
        <f t="shared" si="87"/>
        <v>603744.1281011231</v>
      </c>
      <c r="H342" s="356">
        <f t="shared" si="83"/>
        <v>4814.34046060442</v>
      </c>
      <c r="I342" s="356">
        <v>0</v>
      </c>
      <c r="J342" s="356">
        <v>0</v>
      </c>
      <c r="K342" s="356">
        <f t="shared" si="88"/>
        <v>-608.5584685617275</v>
      </c>
      <c r="L342" s="356">
        <f t="shared" si="84"/>
        <v>607949.9100931658</v>
      </c>
      <c r="N342" s="356">
        <f t="shared" si="89"/>
        <v>319</v>
      </c>
      <c r="O342" s="357">
        <f t="shared" si="96"/>
        <v>26</v>
      </c>
      <c r="P342" s="357">
        <f t="shared" si="97"/>
        <v>7</v>
      </c>
      <c r="Q342" s="357">
        <f t="shared" si="98"/>
        <v>26</v>
      </c>
      <c r="R342" s="356">
        <f t="shared" si="90"/>
        <v>10039987.574695189</v>
      </c>
      <c r="S342" s="356">
        <f>+IF($G$4="mensual",S336,IF($G$4="trimestral",S336,IF($G$4="semestral",S336,0)))</f>
        <v>10000</v>
      </c>
      <c r="U342" s="356">
        <f t="shared" si="99"/>
        <v>80140.0122293574</v>
      </c>
      <c r="V342" s="359">
        <f t="shared" si="101"/>
        <v>-211.26219759771527</v>
      </c>
      <c r="X342" s="359">
        <f t="shared" si="100"/>
        <v>-10130.127586924546</v>
      </c>
      <c r="Y342" s="356">
        <f t="shared" si="85"/>
        <v>10119786.197140023</v>
      </c>
      <c r="AA342" s="357">
        <f>+Bono!J342</f>
        <v>323625.9743869649</v>
      </c>
      <c r="AC342" s="378">
        <f t="shared" si="91"/>
        <v>26.583333333333332</v>
      </c>
      <c r="AD342" s="356">
        <f t="shared" si="92"/>
        <v>11051362.081620153</v>
      </c>
    </row>
    <row r="343" spans="2:30" x14ac:dyDescent="0.25">
      <c r="B343" s="356">
        <f t="shared" si="86"/>
        <v>320</v>
      </c>
      <c r="C343" s="357">
        <f t="shared" si="93"/>
        <v>26</v>
      </c>
      <c r="D343" s="357">
        <f t="shared" si="94"/>
        <v>8</v>
      </c>
      <c r="E343" s="357">
        <f t="shared" si="95"/>
        <v>55</v>
      </c>
      <c r="F343" s="356">
        <f t="shared" si="87"/>
        <v>607949.9100931658</v>
      </c>
      <c r="H343" s="356">
        <f t="shared" si="83"/>
        <v>4847.877956822323</v>
      </c>
      <c r="I343" s="356">
        <v>0</v>
      </c>
      <c r="J343" s="356">
        <v>0</v>
      </c>
      <c r="K343" s="356">
        <f t="shared" si="88"/>
        <v>-612.7977880499881</v>
      </c>
      <c r="L343" s="356">
        <f t="shared" si="84"/>
        <v>612184.9902619381</v>
      </c>
      <c r="N343" s="356">
        <f t="shared" si="89"/>
        <v>320</v>
      </c>
      <c r="O343" s="357">
        <f t="shared" si="96"/>
        <v>26</v>
      </c>
      <c r="P343" s="357">
        <f t="shared" si="97"/>
        <v>8</v>
      </c>
      <c r="Q343" s="357">
        <f t="shared" si="98"/>
        <v>26</v>
      </c>
      <c r="R343" s="356">
        <f t="shared" si="90"/>
        <v>10119786.197140023</v>
      </c>
      <c r="S343" s="356">
        <f>IF($G$4="mensual",S342,0)</f>
        <v>10000</v>
      </c>
      <c r="U343" s="356">
        <f t="shared" si="99"/>
        <v>80776.33765076558</v>
      </c>
      <c r="V343" s="359">
        <f t="shared" si="101"/>
        <v>-211.26219759771527</v>
      </c>
      <c r="X343" s="359">
        <f t="shared" si="100"/>
        <v>-10210.562534790788</v>
      </c>
      <c r="Y343" s="356">
        <f t="shared" si="85"/>
        <v>10200140.7100584</v>
      </c>
      <c r="AA343" s="357">
        <f>+Bono!J343</f>
        <v>325632.4929664537</v>
      </c>
      <c r="AC343" s="378">
        <f t="shared" si="91"/>
        <v>26.666666666666668</v>
      </c>
      <c r="AD343" s="356">
        <f t="shared" si="92"/>
        <v>11137958.193286793</v>
      </c>
    </row>
    <row r="344" spans="2:30" x14ac:dyDescent="0.25">
      <c r="B344" s="356">
        <f t="shared" si="86"/>
        <v>321</v>
      </c>
      <c r="C344" s="357">
        <f t="shared" si="93"/>
        <v>26</v>
      </c>
      <c r="D344" s="357">
        <f t="shared" si="94"/>
        <v>9</v>
      </c>
      <c r="E344" s="357">
        <f t="shared" si="95"/>
        <v>55</v>
      </c>
      <c r="F344" s="356">
        <f t="shared" si="87"/>
        <v>612184.9902619381</v>
      </c>
      <c r="H344" s="356">
        <f t="shared" ref="H344:H407" si="102">SUM(F344:G344)*$G$8</f>
        <v>4881.649080815778</v>
      </c>
      <c r="I344" s="356">
        <v>0</v>
      </c>
      <c r="J344" s="360">
        <f>-SUM(F344:H344)*$J$21</f>
        <v>-5553.599754084785</v>
      </c>
      <c r="K344" s="356">
        <f t="shared" si="88"/>
        <v>-611.513039588669</v>
      </c>
      <c r="L344" s="356">
        <f t="shared" ref="L344:L407" si="103">SUM(F344:K344)</f>
        <v>610901.5265490803</v>
      </c>
      <c r="N344" s="356">
        <f t="shared" si="89"/>
        <v>321</v>
      </c>
      <c r="O344" s="357">
        <f t="shared" si="96"/>
        <v>26</v>
      </c>
      <c r="P344" s="357">
        <f t="shared" si="97"/>
        <v>9</v>
      </c>
      <c r="Q344" s="357">
        <f t="shared" si="98"/>
        <v>26</v>
      </c>
      <c r="R344" s="356">
        <f t="shared" si="90"/>
        <v>10200140.7100584</v>
      </c>
      <c r="S344" s="356">
        <f>IF($G$4="mensual",S343,0)</f>
        <v>10000</v>
      </c>
      <c r="U344" s="356">
        <f t="shared" si="99"/>
        <v>81417.09582087288</v>
      </c>
      <c r="V344" s="359">
        <f t="shared" si="101"/>
        <v>-211.26219759771527</v>
      </c>
      <c r="X344" s="359">
        <f t="shared" si="100"/>
        <v>-10291.557805879273</v>
      </c>
      <c r="Y344" s="356">
        <f t="shared" ref="Y344:Y407" si="104">SUM(R344:X344)</f>
        <v>10281054.985875797</v>
      </c>
      <c r="AA344" s="357">
        <f>+Bono!J344</f>
        <v>324699.63730924757</v>
      </c>
      <c r="AC344" s="378">
        <f t="shared" si="91"/>
        <v>26.75</v>
      </c>
      <c r="AD344" s="356">
        <f t="shared" si="92"/>
        <v>11216656.149734125</v>
      </c>
    </row>
    <row r="345" spans="2:30" x14ac:dyDescent="0.25">
      <c r="B345" s="356">
        <f t="shared" ref="B345:B408" si="105">+B344+1</f>
        <v>322</v>
      </c>
      <c r="C345" s="357">
        <f t="shared" si="93"/>
        <v>26</v>
      </c>
      <c r="D345" s="357">
        <f t="shared" si="94"/>
        <v>10</v>
      </c>
      <c r="E345" s="357">
        <f t="shared" si="95"/>
        <v>55</v>
      </c>
      <c r="F345" s="356">
        <f t="shared" ref="F345:F408" si="106">L344</f>
        <v>610901.5265490803</v>
      </c>
      <c r="H345" s="356">
        <f t="shared" si="102"/>
        <v>4871.414560934048</v>
      </c>
      <c r="I345" s="356">
        <v>0</v>
      </c>
      <c r="J345" s="356">
        <v>0</v>
      </c>
      <c r="K345" s="356">
        <f t="shared" ref="K345:K408" si="107">-SUM(F345:J345)*0.1%</f>
        <v>-615.7729411100144</v>
      </c>
      <c r="L345" s="356">
        <f t="shared" si="103"/>
        <v>615157.1681689044</v>
      </c>
      <c r="N345" s="356">
        <f t="shared" ref="N345:N408" si="108">+N344+1</f>
        <v>322</v>
      </c>
      <c r="O345" s="357">
        <f t="shared" si="96"/>
        <v>26</v>
      </c>
      <c r="P345" s="357">
        <f t="shared" si="97"/>
        <v>10</v>
      </c>
      <c r="Q345" s="357">
        <f t="shared" si="98"/>
        <v>26</v>
      </c>
      <c r="R345" s="356">
        <f t="shared" ref="R345:R408" si="109">Y344</f>
        <v>10281054.985875797</v>
      </c>
      <c r="S345" s="356">
        <f>IF($G$4="mensual",S336,IF($G$4="trimestral",S336,0))</f>
        <v>10000</v>
      </c>
      <c r="U345" s="356">
        <f t="shared" si="99"/>
        <v>82062.31761894385</v>
      </c>
      <c r="V345" s="359">
        <f t="shared" si="101"/>
        <v>-211.26219759771527</v>
      </c>
      <c r="X345" s="359">
        <f t="shared" si="100"/>
        <v>-10373.11730349474</v>
      </c>
      <c r="Y345" s="356">
        <f t="shared" si="104"/>
        <v>10362532.923993649</v>
      </c>
      <c r="AA345" s="357">
        <f>+Bono!J345</f>
        <v>326712.8127233917</v>
      </c>
      <c r="AC345" s="378">
        <f t="shared" ref="AC345:AC408" si="110">+B345/12</f>
        <v>26.833333333333332</v>
      </c>
      <c r="AD345" s="356">
        <f t="shared" ref="AD345:AD408" si="111">+AA345+Y345+L345</f>
        <v>11304402.904885946</v>
      </c>
    </row>
    <row r="346" spans="2:30" x14ac:dyDescent="0.25">
      <c r="B346" s="356">
        <f t="shared" si="105"/>
        <v>323</v>
      </c>
      <c r="C346" s="357">
        <f t="shared" si="93"/>
        <v>26</v>
      </c>
      <c r="D346" s="357">
        <f t="shared" si="94"/>
        <v>11</v>
      </c>
      <c r="E346" s="357">
        <f t="shared" si="95"/>
        <v>55</v>
      </c>
      <c r="F346" s="356">
        <f t="shared" si="106"/>
        <v>615157.1681689044</v>
      </c>
      <c r="H346" s="356">
        <f t="shared" si="102"/>
        <v>4905.349644825612</v>
      </c>
      <c r="I346" s="356">
        <v>0</v>
      </c>
      <c r="J346" s="356">
        <v>0</v>
      </c>
      <c r="K346" s="356">
        <f t="shared" si="107"/>
        <v>-620.06251781373</v>
      </c>
      <c r="L346" s="356">
        <f t="shared" si="103"/>
        <v>619442.4552959162</v>
      </c>
      <c r="N346" s="356">
        <f t="shared" si="108"/>
        <v>323</v>
      </c>
      <c r="O346" s="357">
        <f t="shared" si="96"/>
        <v>26</v>
      </c>
      <c r="P346" s="357">
        <f t="shared" si="97"/>
        <v>11</v>
      </c>
      <c r="Q346" s="357">
        <f t="shared" si="98"/>
        <v>26</v>
      </c>
      <c r="R346" s="356">
        <f t="shared" si="109"/>
        <v>10362532.923993649</v>
      </c>
      <c r="S346" s="356">
        <f>IF($G$17="si",S334*(1+$G$20),S334)</f>
        <v>10000</v>
      </c>
      <c r="U346" s="356">
        <f t="shared" si="99"/>
        <v>82712.03413935313</v>
      </c>
      <c r="V346" s="359">
        <f t="shared" si="101"/>
        <v>-211.26219759771527</v>
      </c>
      <c r="X346" s="359">
        <f t="shared" si="100"/>
        <v>-10455.244958133004</v>
      </c>
      <c r="Y346" s="356">
        <f t="shared" si="104"/>
        <v>10444578.450977273</v>
      </c>
      <c r="AA346" s="357">
        <f>+Bono!J346</f>
        <v>328738.47005861736</v>
      </c>
      <c r="AC346" s="378">
        <f t="shared" si="110"/>
        <v>26.916666666666668</v>
      </c>
      <c r="AD346" s="356">
        <f t="shared" si="111"/>
        <v>11392759.376331808</v>
      </c>
    </row>
    <row r="347" spans="2:30" x14ac:dyDescent="0.25">
      <c r="B347" s="356">
        <f t="shared" si="105"/>
        <v>324</v>
      </c>
      <c r="C347" s="357">
        <f t="shared" si="93"/>
        <v>26</v>
      </c>
      <c r="D347" s="357">
        <f t="shared" si="94"/>
        <v>12</v>
      </c>
      <c r="E347" s="357">
        <f t="shared" si="95"/>
        <v>55</v>
      </c>
      <c r="F347" s="356">
        <f t="shared" si="106"/>
        <v>619442.4552959162</v>
      </c>
      <c r="H347" s="356">
        <f t="shared" si="102"/>
        <v>4939.521126154578</v>
      </c>
      <c r="I347" s="356">
        <v>0</v>
      </c>
      <c r="J347" s="360">
        <f>-SUM(F347:H347)*$J$21</f>
        <v>-5619.437787798637</v>
      </c>
      <c r="K347" s="356">
        <f t="shared" si="107"/>
        <v>-618.7625386342722</v>
      </c>
      <c r="L347" s="356">
        <f t="shared" si="103"/>
        <v>618143.7760956379</v>
      </c>
      <c r="N347" s="356">
        <f t="shared" si="108"/>
        <v>324</v>
      </c>
      <c r="O347" s="357">
        <f t="shared" si="96"/>
        <v>26</v>
      </c>
      <c r="P347" s="357">
        <f t="shared" si="97"/>
        <v>12</v>
      </c>
      <c r="Q347" s="357">
        <f t="shared" si="98"/>
        <v>26</v>
      </c>
      <c r="R347" s="356">
        <f t="shared" si="109"/>
        <v>10444578.450977273</v>
      </c>
      <c r="S347" s="356">
        <f>IF($G$4="mensual",S346,0)</f>
        <v>10000</v>
      </c>
      <c r="U347" s="356">
        <f t="shared" si="99"/>
        <v>83366.27669308397</v>
      </c>
      <c r="V347" s="359">
        <f t="shared" si="101"/>
        <v>-211.26219759771527</v>
      </c>
      <c r="X347" s="359">
        <f t="shared" si="100"/>
        <v>-10537.944727670358</v>
      </c>
      <c r="Y347" s="356">
        <f t="shared" si="104"/>
        <v>10527195.52074509</v>
      </c>
      <c r="AA347" s="357">
        <f>+Bono!J347</f>
        <v>327796.71655379416</v>
      </c>
      <c r="AC347" s="378">
        <f t="shared" si="110"/>
        <v>27</v>
      </c>
      <c r="AD347" s="356">
        <f t="shared" si="111"/>
        <v>11473136.013394522</v>
      </c>
    </row>
    <row r="348" spans="2:30" x14ac:dyDescent="0.25">
      <c r="B348" s="356">
        <f t="shared" si="105"/>
        <v>325</v>
      </c>
      <c r="C348" s="357">
        <f t="shared" si="93"/>
        <v>27</v>
      </c>
      <c r="D348" s="357">
        <f t="shared" si="94"/>
        <v>1</v>
      </c>
      <c r="E348" s="357">
        <f t="shared" si="95"/>
        <v>56</v>
      </c>
      <c r="F348" s="356">
        <f t="shared" si="106"/>
        <v>618143.7760956379</v>
      </c>
      <c r="H348" s="356">
        <f t="shared" si="102"/>
        <v>4929.165275839463</v>
      </c>
      <c r="I348" s="356">
        <v>0</v>
      </c>
      <c r="J348" s="356">
        <v>0</v>
      </c>
      <c r="K348" s="356">
        <f t="shared" si="107"/>
        <v>-623.0729413714774</v>
      </c>
      <c r="L348" s="356">
        <f t="shared" si="103"/>
        <v>622449.868430106</v>
      </c>
      <c r="N348" s="356">
        <f t="shared" si="108"/>
        <v>325</v>
      </c>
      <c r="O348" s="357">
        <f t="shared" si="96"/>
        <v>27</v>
      </c>
      <c r="P348" s="357">
        <f t="shared" si="97"/>
        <v>1</v>
      </c>
      <c r="Q348" s="357">
        <f t="shared" si="98"/>
        <v>27</v>
      </c>
      <c r="R348" s="356">
        <f t="shared" si="109"/>
        <v>10527195.52074509</v>
      </c>
      <c r="S348" s="356">
        <f>IF($G$17="si",S336*(1+$G$20),S336)</f>
        <v>10000</v>
      </c>
      <c r="U348" s="356">
        <f t="shared" si="99"/>
        <v>84025.07680923707</v>
      </c>
      <c r="V348" s="359">
        <f>(V347*(1+$G$18))</f>
        <v>-219.7126855016239</v>
      </c>
      <c r="X348" s="359">
        <f t="shared" si="100"/>
        <v>-10621.220597554326</v>
      </c>
      <c r="Y348" s="356">
        <f t="shared" si="104"/>
        <v>10610379.66427127</v>
      </c>
      <c r="AA348" s="357">
        <f>+Bono!J348</f>
        <v>329829.09421849344</v>
      </c>
      <c r="AC348" s="378">
        <f t="shared" si="110"/>
        <v>27.083333333333332</v>
      </c>
      <c r="AD348" s="356">
        <f t="shared" si="111"/>
        <v>11562658.626919871</v>
      </c>
    </row>
    <row r="349" spans="2:30" x14ac:dyDescent="0.25">
      <c r="B349" s="356">
        <f t="shared" si="105"/>
        <v>326</v>
      </c>
      <c r="C349" s="357">
        <f t="shared" si="93"/>
        <v>27</v>
      </c>
      <c r="D349" s="357">
        <f t="shared" si="94"/>
        <v>2</v>
      </c>
      <c r="E349" s="357">
        <f t="shared" si="95"/>
        <v>56</v>
      </c>
      <c r="F349" s="356">
        <f t="shared" si="106"/>
        <v>622449.868430106</v>
      </c>
      <c r="H349" s="356">
        <f t="shared" si="102"/>
        <v>4963.502660814337</v>
      </c>
      <c r="I349" s="356">
        <v>0</v>
      </c>
      <c r="J349" s="356">
        <v>0</v>
      </c>
      <c r="K349" s="356">
        <f t="shared" si="107"/>
        <v>-627.4133710909204</v>
      </c>
      <c r="L349" s="356">
        <f t="shared" si="103"/>
        <v>626785.9577198294</v>
      </c>
      <c r="N349" s="356">
        <f t="shared" si="108"/>
        <v>326</v>
      </c>
      <c r="O349" s="357">
        <f t="shared" si="96"/>
        <v>27</v>
      </c>
      <c r="P349" s="357">
        <f t="shared" si="97"/>
        <v>2</v>
      </c>
      <c r="Q349" s="357">
        <f t="shared" si="98"/>
        <v>27</v>
      </c>
      <c r="R349" s="356">
        <f t="shared" si="109"/>
        <v>10610379.66427127</v>
      </c>
      <c r="S349" s="356">
        <f>IF($G$4="mensual",S348,0)</f>
        <v>10000</v>
      </c>
      <c r="U349" s="356">
        <f t="shared" si="99"/>
        <v>84688.39885117293</v>
      </c>
      <c r="V349" s="359">
        <f t="shared" si="101"/>
        <v>-219.7126855016239</v>
      </c>
      <c r="X349" s="359">
        <f t="shared" si="100"/>
        <v>-10705.068063122444</v>
      </c>
      <c r="Y349" s="356">
        <f t="shared" si="104"/>
        <v>10694143.28237382</v>
      </c>
      <c r="AA349" s="357">
        <f>+Bono!J349</f>
        <v>331874.072860455</v>
      </c>
      <c r="AC349" s="378">
        <f t="shared" si="110"/>
        <v>27.166666666666668</v>
      </c>
      <c r="AD349" s="356">
        <f t="shared" si="111"/>
        <v>11652803.312954104</v>
      </c>
    </row>
    <row r="350" spans="2:30" x14ac:dyDescent="0.25">
      <c r="B350" s="356">
        <f t="shared" si="105"/>
        <v>327</v>
      </c>
      <c r="C350" s="357">
        <f t="shared" si="93"/>
        <v>27</v>
      </c>
      <c r="D350" s="357">
        <f t="shared" si="94"/>
        <v>3</v>
      </c>
      <c r="E350" s="357">
        <f t="shared" si="95"/>
        <v>56</v>
      </c>
      <c r="F350" s="356">
        <f t="shared" si="106"/>
        <v>626785.9577198294</v>
      </c>
      <c r="H350" s="356">
        <f t="shared" si="102"/>
        <v>4998.079245722857</v>
      </c>
      <c r="I350" s="356">
        <v>0</v>
      </c>
      <c r="J350" s="360">
        <f>-SUM(F350:H350)*$J$21</f>
        <v>-5686.056332689971</v>
      </c>
      <c r="K350" s="356">
        <f t="shared" si="107"/>
        <v>-626.0979806328623</v>
      </c>
      <c r="L350" s="356">
        <f t="shared" si="103"/>
        <v>625471.8826522294</v>
      </c>
      <c r="N350" s="356">
        <f t="shared" si="108"/>
        <v>327</v>
      </c>
      <c r="O350" s="357">
        <f t="shared" si="96"/>
        <v>27</v>
      </c>
      <c r="P350" s="357">
        <f t="shared" si="97"/>
        <v>3</v>
      </c>
      <c r="Q350" s="357">
        <f t="shared" si="98"/>
        <v>27</v>
      </c>
      <c r="R350" s="356">
        <f t="shared" si="109"/>
        <v>10694143.28237382</v>
      </c>
      <c r="S350" s="356">
        <f>IF($G$4="mensual",S349,0)</f>
        <v>10000</v>
      </c>
      <c r="U350" s="356">
        <f t="shared" si="99"/>
        <v>85356.34170475572</v>
      </c>
      <c r="V350" s="359">
        <f t="shared" si="101"/>
        <v>-219.7126855016239</v>
      </c>
      <c r="X350" s="359">
        <f t="shared" si="100"/>
        <v>-10789.499624078575</v>
      </c>
      <c r="Y350" s="356">
        <f t="shared" si="104"/>
        <v>10778490.411768995</v>
      </c>
      <c r="AA350" s="357">
        <f>+Bono!J350</f>
        <v>330923.33663776534</v>
      </c>
      <c r="AC350" s="378">
        <f t="shared" si="110"/>
        <v>27.25</v>
      </c>
      <c r="AD350" s="356">
        <f t="shared" si="111"/>
        <v>11734885.63105899</v>
      </c>
    </row>
    <row r="351" spans="2:30" x14ac:dyDescent="0.25">
      <c r="B351" s="356">
        <f t="shared" si="105"/>
        <v>328</v>
      </c>
      <c r="C351" s="357">
        <f t="shared" si="93"/>
        <v>27</v>
      </c>
      <c r="D351" s="357">
        <f t="shared" si="94"/>
        <v>4</v>
      </c>
      <c r="E351" s="357">
        <f t="shared" si="95"/>
        <v>56</v>
      </c>
      <c r="F351" s="356">
        <f t="shared" si="106"/>
        <v>625471.8826522294</v>
      </c>
      <c r="H351" s="356">
        <f t="shared" si="102"/>
        <v>4987.600626599694</v>
      </c>
      <c r="I351" s="356">
        <v>0</v>
      </c>
      <c r="J351" s="356">
        <v>0</v>
      </c>
      <c r="K351" s="356">
        <f t="shared" si="107"/>
        <v>-630.4594832788291</v>
      </c>
      <c r="L351" s="356">
        <f t="shared" si="103"/>
        <v>629829.0237955503</v>
      </c>
      <c r="N351" s="356">
        <f t="shared" si="108"/>
        <v>328</v>
      </c>
      <c r="O351" s="357">
        <f t="shared" si="96"/>
        <v>27</v>
      </c>
      <c r="P351" s="357">
        <f t="shared" si="97"/>
        <v>4</v>
      </c>
      <c r="Q351" s="357">
        <f t="shared" si="98"/>
        <v>27</v>
      </c>
      <c r="R351" s="356">
        <f t="shared" si="109"/>
        <v>10778490.411768995</v>
      </c>
      <c r="S351" s="356">
        <f>IF($G$4="mensual",S348,IF($G$4="trimestral",S348,0))</f>
        <v>10000</v>
      </c>
      <c r="U351" s="356">
        <f t="shared" si="99"/>
        <v>86028.93755932777</v>
      </c>
      <c r="V351" s="359">
        <f t="shared" si="101"/>
        <v>-219.7126855016239</v>
      </c>
      <c r="X351" s="359">
        <f t="shared" si="100"/>
        <v>-10874.519349328322</v>
      </c>
      <c r="Y351" s="356">
        <f t="shared" si="104"/>
        <v>10863425.117293492</v>
      </c>
      <c r="AA351" s="357">
        <f>+Bono!J351</f>
        <v>332975.0997096507</v>
      </c>
      <c r="AC351" s="378">
        <f t="shared" si="110"/>
        <v>27.333333333333332</v>
      </c>
      <c r="AD351" s="356">
        <f t="shared" si="111"/>
        <v>11826229.240798693</v>
      </c>
    </row>
    <row r="352" spans="2:30" x14ac:dyDescent="0.25">
      <c r="B352" s="356">
        <f t="shared" si="105"/>
        <v>329</v>
      </c>
      <c r="C352" s="357">
        <f t="shared" si="93"/>
        <v>27</v>
      </c>
      <c r="D352" s="357">
        <f t="shared" si="94"/>
        <v>5</v>
      </c>
      <c r="E352" s="357">
        <f t="shared" si="95"/>
        <v>56</v>
      </c>
      <c r="F352" s="356">
        <f t="shared" si="106"/>
        <v>629829.0237955503</v>
      </c>
      <c r="H352" s="356">
        <f t="shared" si="102"/>
        <v>5022.345081945089</v>
      </c>
      <c r="I352" s="356">
        <v>0</v>
      </c>
      <c r="J352" s="356">
        <v>0</v>
      </c>
      <c r="K352" s="356">
        <f t="shared" si="107"/>
        <v>-634.8513688774955</v>
      </c>
      <c r="L352" s="356">
        <f t="shared" si="103"/>
        <v>634216.517508618</v>
      </c>
      <c r="N352" s="356">
        <f t="shared" si="108"/>
        <v>329</v>
      </c>
      <c r="O352" s="357">
        <f t="shared" si="96"/>
        <v>27</v>
      </c>
      <c r="P352" s="357">
        <f t="shared" si="97"/>
        <v>5</v>
      </c>
      <c r="Q352" s="357">
        <f t="shared" si="98"/>
        <v>27</v>
      </c>
      <c r="R352" s="356">
        <f t="shared" si="109"/>
        <v>10863425.117293492</v>
      </c>
      <c r="S352" s="356">
        <f>IF($G$4="mensual",S351,0)</f>
        <v>10000</v>
      </c>
      <c r="U352" s="356">
        <f t="shared" si="99"/>
        <v>86706.2188284677</v>
      </c>
      <c r="V352" s="359">
        <f t="shared" si="101"/>
        <v>-219.7126855016239</v>
      </c>
      <c r="X352" s="359">
        <f t="shared" si="100"/>
        <v>-10960.13133612196</v>
      </c>
      <c r="Y352" s="356">
        <f t="shared" si="104"/>
        <v>10948951.492100336</v>
      </c>
      <c r="AA352" s="357">
        <f>+Bono!J352</f>
        <v>335039.58395057154</v>
      </c>
      <c r="AC352" s="378">
        <f t="shared" si="110"/>
        <v>27.416666666666668</v>
      </c>
      <c r="AD352" s="356">
        <f t="shared" si="111"/>
        <v>11918207.593559526</v>
      </c>
    </row>
    <row r="353" spans="2:30" x14ac:dyDescent="0.25">
      <c r="B353" s="356">
        <f t="shared" si="105"/>
        <v>330</v>
      </c>
      <c r="C353" s="357">
        <f t="shared" si="93"/>
        <v>27</v>
      </c>
      <c r="D353" s="357">
        <f t="shared" si="94"/>
        <v>6</v>
      </c>
      <c r="E353" s="357">
        <f t="shared" si="95"/>
        <v>56</v>
      </c>
      <c r="F353" s="356">
        <f t="shared" si="106"/>
        <v>634216.517508618</v>
      </c>
      <c r="H353" s="356">
        <f t="shared" si="102"/>
        <v>5057.331572944023</v>
      </c>
      <c r="I353" s="356">
        <v>0</v>
      </c>
      <c r="J353" s="360">
        <f>-SUM(F353:H353)*$J$21</f>
        <v>-5753.464641734059</v>
      </c>
      <c r="K353" s="356">
        <f t="shared" si="107"/>
        <v>-633.520384439828</v>
      </c>
      <c r="L353" s="356">
        <f t="shared" si="103"/>
        <v>632886.8640553881</v>
      </c>
      <c r="N353" s="356">
        <f t="shared" si="108"/>
        <v>330</v>
      </c>
      <c r="O353" s="357">
        <f t="shared" si="96"/>
        <v>27</v>
      </c>
      <c r="P353" s="357">
        <f t="shared" si="97"/>
        <v>6</v>
      </c>
      <c r="Q353" s="357">
        <f t="shared" si="98"/>
        <v>27</v>
      </c>
      <c r="R353" s="356">
        <f t="shared" si="109"/>
        <v>10948951.492100336</v>
      </c>
      <c r="S353" s="356">
        <f>IF($G$4="mensual",S352,0)</f>
        <v>10000</v>
      </c>
      <c r="U353" s="356">
        <f t="shared" si="99"/>
        <v>87388.21815155252</v>
      </c>
      <c r="V353" s="359">
        <f t="shared" si="101"/>
        <v>-219.7126855016239</v>
      </c>
      <c r="X353" s="359">
        <f t="shared" si="100"/>
        <v>-11046.339710251888</v>
      </c>
      <c r="Y353" s="356">
        <f t="shared" si="104"/>
        <v>11035073.657856135</v>
      </c>
      <c r="AA353" s="357">
        <f>+Bono!J353</f>
        <v>334079.7793302492</v>
      </c>
      <c r="AC353" s="378">
        <f t="shared" si="110"/>
        <v>27.5</v>
      </c>
      <c r="AD353" s="356">
        <f t="shared" si="111"/>
        <v>12002040.301241772</v>
      </c>
    </row>
    <row r="354" spans="2:30" x14ac:dyDescent="0.25">
      <c r="B354" s="356">
        <f t="shared" si="105"/>
        <v>331</v>
      </c>
      <c r="C354" s="357">
        <f t="shared" si="93"/>
        <v>27</v>
      </c>
      <c r="D354" s="357">
        <f t="shared" si="94"/>
        <v>7</v>
      </c>
      <c r="E354" s="357">
        <f t="shared" si="95"/>
        <v>56</v>
      </c>
      <c r="F354" s="356">
        <f t="shared" si="106"/>
        <v>632886.8640553881</v>
      </c>
      <c r="H354" s="356">
        <f t="shared" si="102"/>
        <v>5046.728729586192</v>
      </c>
      <c r="I354" s="356">
        <v>0</v>
      </c>
      <c r="J354" s="356">
        <v>0</v>
      </c>
      <c r="K354" s="356">
        <f t="shared" si="107"/>
        <v>-637.9335927849744</v>
      </c>
      <c r="L354" s="356">
        <f t="shared" si="103"/>
        <v>637295.6591921895</v>
      </c>
      <c r="N354" s="356">
        <f t="shared" si="108"/>
        <v>331</v>
      </c>
      <c r="O354" s="357">
        <f t="shared" si="96"/>
        <v>27</v>
      </c>
      <c r="P354" s="357">
        <f t="shared" si="97"/>
        <v>7</v>
      </c>
      <c r="Q354" s="357">
        <f t="shared" si="98"/>
        <v>27</v>
      </c>
      <c r="R354" s="356">
        <f t="shared" si="109"/>
        <v>11035073.657856135</v>
      </c>
      <c r="S354" s="356">
        <f>+IF($G$4="mensual",S348,IF($G$4="trimestral",S348,IF($G$4="semestral",S348,0)))</f>
        <v>10000</v>
      </c>
      <c r="U354" s="356">
        <f t="shared" si="99"/>
        <v>88074.96839533058</v>
      </c>
      <c r="V354" s="359">
        <f t="shared" si="101"/>
        <v>-219.7126855016239</v>
      </c>
      <c r="X354" s="359">
        <f t="shared" si="100"/>
        <v>-11133.148626251465</v>
      </c>
      <c r="Y354" s="356">
        <f t="shared" si="104"/>
        <v>11121795.764939712</v>
      </c>
      <c r="AA354" s="357">
        <f>+Bono!J354</f>
        <v>336151.1127129526</v>
      </c>
      <c r="AC354" s="378">
        <f t="shared" si="110"/>
        <v>27.583333333333332</v>
      </c>
      <c r="AD354" s="356">
        <f t="shared" si="111"/>
        <v>12095242.536844855</v>
      </c>
    </row>
    <row r="355" spans="2:30" x14ac:dyDescent="0.25">
      <c r="B355" s="356">
        <f t="shared" si="105"/>
        <v>332</v>
      </c>
      <c r="C355" s="357">
        <f t="shared" si="93"/>
        <v>27</v>
      </c>
      <c r="D355" s="357">
        <f t="shared" si="94"/>
        <v>8</v>
      </c>
      <c r="E355" s="357">
        <f t="shared" si="95"/>
        <v>56</v>
      </c>
      <c r="F355" s="356">
        <f t="shared" si="106"/>
        <v>637295.6591921895</v>
      </c>
      <c r="H355" s="356">
        <f t="shared" si="102"/>
        <v>5081.885081129313</v>
      </c>
      <c r="I355" s="356">
        <v>0</v>
      </c>
      <c r="J355" s="356">
        <v>0</v>
      </c>
      <c r="K355" s="356">
        <f t="shared" si="107"/>
        <v>-642.3775442733188</v>
      </c>
      <c r="L355" s="356">
        <f t="shared" si="103"/>
        <v>641735.1667290454</v>
      </c>
      <c r="N355" s="356">
        <f t="shared" si="108"/>
        <v>332</v>
      </c>
      <c r="O355" s="357">
        <f t="shared" si="96"/>
        <v>27</v>
      </c>
      <c r="P355" s="357">
        <f t="shared" si="97"/>
        <v>8</v>
      </c>
      <c r="Q355" s="357">
        <f t="shared" si="98"/>
        <v>27</v>
      </c>
      <c r="R355" s="356">
        <f t="shared" si="109"/>
        <v>11121795.764939712</v>
      </c>
      <c r="S355" s="356">
        <f>IF($G$4="mensual",S354,0)</f>
        <v>10000</v>
      </c>
      <c r="U355" s="356">
        <f t="shared" si="99"/>
        <v>88766.50265550546</v>
      </c>
      <c r="V355" s="359">
        <f t="shared" si="101"/>
        <v>-219.7126855016239</v>
      </c>
      <c r="X355" s="359">
        <f t="shared" si="100"/>
        <v>-11220.562267595218</v>
      </c>
      <c r="Y355" s="356">
        <f t="shared" si="104"/>
        <v>11209121.992642121</v>
      </c>
      <c r="AA355" s="357">
        <f>+Bono!J355</f>
        <v>338235.28860288864</v>
      </c>
      <c r="AC355" s="378">
        <f t="shared" si="110"/>
        <v>27.666666666666668</v>
      </c>
      <c r="AD355" s="356">
        <f t="shared" si="111"/>
        <v>12189092.447974056</v>
      </c>
    </row>
    <row r="356" spans="2:30" x14ac:dyDescent="0.25">
      <c r="B356" s="356">
        <f t="shared" si="105"/>
        <v>333</v>
      </c>
      <c r="C356" s="357">
        <f t="shared" ref="C356:C419" si="112">C344+1</f>
        <v>27</v>
      </c>
      <c r="D356" s="357">
        <f t="shared" ref="D356:D419" si="113">D344</f>
        <v>9</v>
      </c>
      <c r="E356" s="357">
        <f t="shared" ref="E356:E419" si="114">E344+1</f>
        <v>56</v>
      </c>
      <c r="F356" s="356">
        <f t="shared" si="106"/>
        <v>641735.1667290454</v>
      </c>
      <c r="H356" s="356">
        <f t="shared" si="102"/>
        <v>5117.2863376633795</v>
      </c>
      <c r="I356" s="356">
        <v>0</v>
      </c>
      <c r="J356" s="360">
        <f>-SUM(F356:H356)*$J$21</f>
        <v>-5821.67207760038</v>
      </c>
      <c r="K356" s="356">
        <f t="shared" si="107"/>
        <v>-641.0307809891085</v>
      </c>
      <c r="L356" s="356">
        <f t="shared" si="103"/>
        <v>640389.7502081194</v>
      </c>
      <c r="N356" s="356">
        <f t="shared" si="108"/>
        <v>333</v>
      </c>
      <c r="O356" s="357">
        <f t="shared" ref="O356:O419" si="115">O344+1</f>
        <v>27</v>
      </c>
      <c r="P356" s="357">
        <f t="shared" ref="P356:P419" si="116">P344</f>
        <v>9</v>
      </c>
      <c r="Q356" s="357">
        <f t="shared" ref="Q356:Q419" si="117">Q344+1</f>
        <v>27</v>
      </c>
      <c r="R356" s="356">
        <f t="shared" si="109"/>
        <v>11209121.992642121</v>
      </c>
      <c r="S356" s="356">
        <f>IF($G$4="mensual",S355,0)</f>
        <v>10000</v>
      </c>
      <c r="U356" s="356">
        <f t="shared" ref="U356:U419" si="118">SUM(R356:T356)*$G$8</f>
        <v>89462.8542583309</v>
      </c>
      <c r="V356" s="359">
        <f t="shared" si="101"/>
        <v>-219.7126855016239</v>
      </c>
      <c r="X356" s="359">
        <f t="shared" si="100"/>
        <v>-11308.584846900452</v>
      </c>
      <c r="Y356" s="356">
        <f t="shared" si="104"/>
        <v>11297056.54936805</v>
      </c>
      <c r="AA356" s="357">
        <f>+Bono!J356</f>
        <v>337266.32908792875</v>
      </c>
      <c r="AC356" s="378">
        <f t="shared" si="110"/>
        <v>27.75</v>
      </c>
      <c r="AD356" s="356">
        <f t="shared" si="111"/>
        <v>12274712.628664097</v>
      </c>
    </row>
    <row r="357" spans="2:30" x14ac:dyDescent="0.25">
      <c r="B357" s="356">
        <f t="shared" si="105"/>
        <v>334</v>
      </c>
      <c r="C357" s="357">
        <f t="shared" si="112"/>
        <v>27</v>
      </c>
      <c r="D357" s="357">
        <f t="shared" si="113"/>
        <v>10</v>
      </c>
      <c r="E357" s="357">
        <f t="shared" si="114"/>
        <v>56</v>
      </c>
      <c r="F357" s="356">
        <f t="shared" si="106"/>
        <v>640389.7502081194</v>
      </c>
      <c r="H357" s="356">
        <f t="shared" si="102"/>
        <v>5106.557797390147</v>
      </c>
      <c r="I357" s="356">
        <v>0</v>
      </c>
      <c r="J357" s="356">
        <v>0</v>
      </c>
      <c r="K357" s="356">
        <f t="shared" si="107"/>
        <v>-645.4963080055096</v>
      </c>
      <c r="L357" s="356">
        <f t="shared" si="103"/>
        <v>644850.811697504</v>
      </c>
      <c r="N357" s="356">
        <f t="shared" si="108"/>
        <v>334</v>
      </c>
      <c r="O357" s="357">
        <f t="shared" si="115"/>
        <v>27</v>
      </c>
      <c r="P357" s="357">
        <f t="shared" si="116"/>
        <v>10</v>
      </c>
      <c r="Q357" s="357">
        <f t="shared" si="117"/>
        <v>27</v>
      </c>
      <c r="R357" s="356">
        <f t="shared" si="109"/>
        <v>11297056.54936805</v>
      </c>
      <c r="S357" s="356">
        <f>IF($G$4="mensual",S348,IF($G$4="trimestral",S348,0))</f>
        <v>10000</v>
      </c>
      <c r="U357" s="356">
        <f t="shared" si="118"/>
        <v>90164.05676221686</v>
      </c>
      <c r="V357" s="359">
        <f t="shared" si="101"/>
        <v>-219.7126855016239</v>
      </c>
      <c r="X357" s="359">
        <f t="shared" si="100"/>
        <v>-11397.220606130268</v>
      </c>
      <c r="Y357" s="356">
        <f t="shared" si="104"/>
        <v>11385603.672838636</v>
      </c>
      <c r="AA357" s="357">
        <f>+Bono!J357</f>
        <v>339357.4194487467</v>
      </c>
      <c r="AC357" s="378">
        <f t="shared" si="110"/>
        <v>27.833333333333332</v>
      </c>
      <c r="AD357" s="356">
        <f t="shared" si="111"/>
        <v>12369811.903984886</v>
      </c>
    </row>
    <row r="358" spans="2:30" x14ac:dyDescent="0.25">
      <c r="B358" s="356">
        <f t="shared" si="105"/>
        <v>335</v>
      </c>
      <c r="C358" s="357">
        <f t="shared" si="112"/>
        <v>27</v>
      </c>
      <c r="D358" s="357">
        <f t="shared" si="113"/>
        <v>11</v>
      </c>
      <c r="E358" s="357">
        <f t="shared" si="114"/>
        <v>56</v>
      </c>
      <c r="F358" s="356">
        <f t="shared" si="106"/>
        <v>644850.811697504</v>
      </c>
      <c r="H358" s="356">
        <f t="shared" si="102"/>
        <v>5142.130928168475</v>
      </c>
      <c r="I358" s="356">
        <v>0</v>
      </c>
      <c r="J358" s="356">
        <v>0</v>
      </c>
      <c r="K358" s="356">
        <f t="shared" si="107"/>
        <v>-649.9929426256724</v>
      </c>
      <c r="L358" s="356">
        <f t="shared" si="103"/>
        <v>649342.9496830468</v>
      </c>
      <c r="N358" s="356">
        <f t="shared" si="108"/>
        <v>335</v>
      </c>
      <c r="O358" s="357">
        <f t="shared" si="115"/>
        <v>27</v>
      </c>
      <c r="P358" s="357">
        <f t="shared" si="116"/>
        <v>11</v>
      </c>
      <c r="Q358" s="357">
        <f t="shared" si="117"/>
        <v>27</v>
      </c>
      <c r="R358" s="356">
        <f t="shared" si="109"/>
        <v>11385603.672838636</v>
      </c>
      <c r="S358" s="356">
        <f>IF($G$17="si",S346*(1+$G$20),S346)</f>
        <v>10000</v>
      </c>
      <c r="U358" s="356">
        <f t="shared" si="118"/>
        <v>90870.1439593468</v>
      </c>
      <c r="V358" s="359">
        <f t="shared" si="101"/>
        <v>-219.7126855016239</v>
      </c>
      <c r="X358" s="359">
        <f t="shared" si="100"/>
        <v>-11486.473816797983</v>
      </c>
      <c r="Y358" s="356">
        <f t="shared" si="104"/>
        <v>11474767.630295685</v>
      </c>
      <c r="AA358" s="357">
        <f>+Bono!J358</f>
        <v>341461.4748123532</v>
      </c>
      <c r="AC358" s="378">
        <f t="shared" si="110"/>
        <v>27.916666666666668</v>
      </c>
      <c r="AD358" s="356">
        <f t="shared" si="111"/>
        <v>12465572.054791084</v>
      </c>
    </row>
    <row r="359" spans="2:30" x14ac:dyDescent="0.25">
      <c r="B359" s="356">
        <f t="shared" si="105"/>
        <v>336</v>
      </c>
      <c r="C359" s="357">
        <f t="shared" si="112"/>
        <v>27</v>
      </c>
      <c r="D359" s="357">
        <f t="shared" si="113"/>
        <v>12</v>
      </c>
      <c r="E359" s="357">
        <f t="shared" si="114"/>
        <v>56</v>
      </c>
      <c r="F359" s="356">
        <f t="shared" si="106"/>
        <v>649342.9496830468</v>
      </c>
      <c r="H359" s="356">
        <f t="shared" si="102"/>
        <v>5177.951867291206</v>
      </c>
      <c r="I359" s="356">
        <v>0</v>
      </c>
      <c r="J359" s="360">
        <f>-SUM(F359:H359)*$J$21</f>
        <v>-5890.688113953043</v>
      </c>
      <c r="K359" s="356">
        <f t="shared" si="107"/>
        <v>-648.630213436385</v>
      </c>
      <c r="L359" s="356">
        <f t="shared" si="103"/>
        <v>647981.5832229486</v>
      </c>
      <c r="N359" s="356">
        <f t="shared" si="108"/>
        <v>336</v>
      </c>
      <c r="O359" s="357">
        <f t="shared" si="115"/>
        <v>27</v>
      </c>
      <c r="P359" s="357">
        <f t="shared" si="116"/>
        <v>12</v>
      </c>
      <c r="Q359" s="357">
        <f t="shared" si="117"/>
        <v>27</v>
      </c>
      <c r="R359" s="356">
        <f t="shared" si="109"/>
        <v>11474767.630295685</v>
      </c>
      <c r="S359" s="356">
        <f>IF($G$4="mensual",S358,0)</f>
        <v>10000</v>
      </c>
      <c r="U359" s="356">
        <f t="shared" si="118"/>
        <v>91581.1498773061</v>
      </c>
      <c r="V359" s="359">
        <f t="shared" si="101"/>
        <v>-219.7126855016239</v>
      </c>
      <c r="X359" s="359">
        <f t="shared" si="100"/>
        <v>-11576.348780172992</v>
      </c>
      <c r="Y359" s="356">
        <f t="shared" si="104"/>
        <v>11564552.718707316</v>
      </c>
      <c r="AA359" s="357">
        <f>+Bono!J359</f>
        <v>340483.2730807174</v>
      </c>
      <c r="AC359" s="378">
        <f t="shared" si="110"/>
        <v>28</v>
      </c>
      <c r="AD359" s="356">
        <f t="shared" si="111"/>
        <v>12553017.575010981</v>
      </c>
    </row>
    <row r="360" spans="2:30" x14ac:dyDescent="0.25">
      <c r="B360" s="356">
        <f t="shared" si="105"/>
        <v>337</v>
      </c>
      <c r="C360" s="357">
        <f t="shared" si="112"/>
        <v>28</v>
      </c>
      <c r="D360" s="357">
        <f t="shared" si="113"/>
        <v>1</v>
      </c>
      <c r="E360" s="357">
        <f t="shared" si="114"/>
        <v>57</v>
      </c>
      <c r="F360" s="356">
        <f t="shared" si="106"/>
        <v>647981.5832229486</v>
      </c>
      <c r="H360" s="356">
        <f t="shared" si="102"/>
        <v>5167.096139963183</v>
      </c>
      <c r="I360" s="356">
        <v>0</v>
      </c>
      <c r="J360" s="356">
        <v>0</v>
      </c>
      <c r="K360" s="356">
        <f t="shared" si="107"/>
        <v>-653.1486793629117</v>
      </c>
      <c r="L360" s="356">
        <f t="shared" si="103"/>
        <v>652495.5306835488</v>
      </c>
      <c r="N360" s="356">
        <f t="shared" si="108"/>
        <v>337</v>
      </c>
      <c r="O360" s="357">
        <f t="shared" si="115"/>
        <v>28</v>
      </c>
      <c r="P360" s="357">
        <f t="shared" si="116"/>
        <v>1</v>
      </c>
      <c r="Q360" s="357">
        <f t="shared" si="117"/>
        <v>28</v>
      </c>
      <c r="R360" s="356">
        <f t="shared" si="109"/>
        <v>11564552.718707316</v>
      </c>
      <c r="S360" s="356">
        <f>IF($G$17="si",S348*(1+$G$20),S348)</f>
        <v>10000</v>
      </c>
      <c r="U360" s="356">
        <f t="shared" si="118"/>
        <v>92297.10878072199</v>
      </c>
      <c r="V360" s="359">
        <f>(V359*(1+$G$18))</f>
        <v>-228.50119292168887</v>
      </c>
      <c r="X360" s="359">
        <f t="shared" si="100"/>
        <v>-11666.849827488037</v>
      </c>
      <c r="Y360" s="356">
        <f t="shared" si="104"/>
        <v>11654954.476467626</v>
      </c>
      <c r="AA360" s="357">
        <f>+Bono!J360</f>
        <v>342594.30886743305</v>
      </c>
      <c r="AC360" s="378">
        <f t="shared" si="110"/>
        <v>28.083333333333332</v>
      </c>
      <c r="AD360" s="356">
        <f t="shared" si="111"/>
        <v>12650044.316018607</v>
      </c>
    </row>
    <row r="361" spans="2:30" x14ac:dyDescent="0.25">
      <c r="B361" s="356">
        <f t="shared" si="105"/>
        <v>338</v>
      </c>
      <c r="C361" s="357">
        <f t="shared" si="112"/>
        <v>28</v>
      </c>
      <c r="D361" s="357">
        <f t="shared" si="113"/>
        <v>2</v>
      </c>
      <c r="E361" s="357">
        <f t="shared" si="114"/>
        <v>57</v>
      </c>
      <c r="F361" s="356">
        <f t="shared" si="106"/>
        <v>652495.5306835488</v>
      </c>
      <c r="H361" s="356">
        <f t="shared" si="102"/>
        <v>5203.090990902703</v>
      </c>
      <c r="I361" s="356">
        <v>0</v>
      </c>
      <c r="J361" s="356">
        <v>0</v>
      </c>
      <c r="K361" s="356">
        <f t="shared" si="107"/>
        <v>-657.6986216744515</v>
      </c>
      <c r="L361" s="356">
        <f t="shared" si="103"/>
        <v>657040.9230527771</v>
      </c>
      <c r="N361" s="356">
        <f t="shared" si="108"/>
        <v>338</v>
      </c>
      <c r="O361" s="357">
        <f t="shared" si="115"/>
        <v>28</v>
      </c>
      <c r="P361" s="357">
        <f t="shared" si="116"/>
        <v>2</v>
      </c>
      <c r="Q361" s="357">
        <f t="shared" si="117"/>
        <v>28</v>
      </c>
      <c r="R361" s="356">
        <f t="shared" si="109"/>
        <v>11654954.476467626</v>
      </c>
      <c r="S361" s="356">
        <f>IF($G$4="mensual",S360,0)</f>
        <v>10000</v>
      </c>
      <c r="U361" s="356">
        <f t="shared" si="118"/>
        <v>93017.98509212244</v>
      </c>
      <c r="V361" s="359">
        <f t="shared" si="101"/>
        <v>-228.50119292168887</v>
      </c>
      <c r="X361" s="359">
        <f t="shared" si="100"/>
        <v>-11757.972461559748</v>
      </c>
      <c r="Y361" s="356">
        <f t="shared" si="104"/>
        <v>11745985.987905268</v>
      </c>
      <c r="AA361" s="357">
        <f>+Bono!J361</f>
        <v>344718.43332089134</v>
      </c>
      <c r="AC361" s="378">
        <f t="shared" si="110"/>
        <v>28.166666666666668</v>
      </c>
      <c r="AD361" s="356">
        <f t="shared" si="111"/>
        <v>12747745.344278935</v>
      </c>
    </row>
    <row r="362" spans="2:30" x14ac:dyDescent="0.25">
      <c r="B362" s="356">
        <f t="shared" si="105"/>
        <v>339</v>
      </c>
      <c r="C362" s="357">
        <f t="shared" si="112"/>
        <v>28</v>
      </c>
      <c r="D362" s="357">
        <f t="shared" si="113"/>
        <v>3</v>
      </c>
      <c r="E362" s="357">
        <f t="shared" si="114"/>
        <v>57</v>
      </c>
      <c r="F362" s="356">
        <f t="shared" si="106"/>
        <v>657040.9230527771</v>
      </c>
      <c r="H362" s="356">
        <f t="shared" si="102"/>
        <v>5239.336587959397</v>
      </c>
      <c r="I362" s="356">
        <v>0</v>
      </c>
      <c r="J362" s="360">
        <f>-SUM(F362:H362)*$J$21</f>
        <v>-5960.522336766629</v>
      </c>
      <c r="K362" s="356">
        <f t="shared" si="107"/>
        <v>-656.3197373039699</v>
      </c>
      <c r="L362" s="356">
        <f t="shared" si="103"/>
        <v>655663.4175666659</v>
      </c>
      <c r="N362" s="356">
        <f t="shared" si="108"/>
        <v>339</v>
      </c>
      <c r="O362" s="357">
        <f t="shared" si="115"/>
        <v>28</v>
      </c>
      <c r="P362" s="357">
        <f t="shared" si="116"/>
        <v>3</v>
      </c>
      <c r="Q362" s="357">
        <f t="shared" si="117"/>
        <v>28</v>
      </c>
      <c r="R362" s="356">
        <f t="shared" si="109"/>
        <v>11745985.987905268</v>
      </c>
      <c r="S362" s="356">
        <f>IF($G$4="mensual",S361,0)</f>
        <v>10000</v>
      </c>
      <c r="U362" s="356">
        <f t="shared" si="118"/>
        <v>93743.88314778155</v>
      </c>
      <c r="V362" s="359">
        <f t="shared" si="101"/>
        <v>-228.50119292168887</v>
      </c>
      <c r="X362" s="359">
        <f t="shared" si="100"/>
        <v>-11849.72987105305</v>
      </c>
      <c r="Y362" s="356">
        <f t="shared" si="104"/>
        <v>11837651.639989074</v>
      </c>
      <c r="AA362" s="357">
        <f>+Bono!J362</f>
        <v>343730.90121763846</v>
      </c>
      <c r="AC362" s="378">
        <f t="shared" si="110"/>
        <v>28.25</v>
      </c>
      <c r="AD362" s="356">
        <f t="shared" si="111"/>
        <v>12837045.958773378</v>
      </c>
    </row>
    <row r="363" spans="2:30" x14ac:dyDescent="0.25">
      <c r="B363" s="356">
        <f t="shared" si="105"/>
        <v>340</v>
      </c>
      <c r="C363" s="357">
        <f t="shared" si="112"/>
        <v>28</v>
      </c>
      <c r="D363" s="357">
        <f t="shared" si="113"/>
        <v>4</v>
      </c>
      <c r="E363" s="357">
        <f t="shared" si="114"/>
        <v>57</v>
      </c>
      <c r="F363" s="356">
        <f t="shared" si="106"/>
        <v>655663.4175666659</v>
      </c>
      <c r="H363" s="356">
        <f t="shared" si="102"/>
        <v>5228.352165771561</v>
      </c>
      <c r="I363" s="356">
        <v>0</v>
      </c>
      <c r="J363" s="356">
        <v>0</v>
      </c>
      <c r="K363" s="356">
        <f t="shared" si="107"/>
        <v>-660.8917697324374</v>
      </c>
      <c r="L363" s="356">
        <f t="shared" si="103"/>
        <v>660230.877962705</v>
      </c>
      <c r="N363" s="356">
        <f t="shared" si="108"/>
        <v>340</v>
      </c>
      <c r="O363" s="357">
        <f t="shared" si="115"/>
        <v>28</v>
      </c>
      <c r="P363" s="357">
        <f t="shared" si="116"/>
        <v>4</v>
      </c>
      <c r="Q363" s="357">
        <f t="shared" si="117"/>
        <v>28</v>
      </c>
      <c r="R363" s="356">
        <f t="shared" si="109"/>
        <v>11837651.639989074</v>
      </c>
      <c r="S363" s="356">
        <f>IF($G$4="mensual",S360,IF($G$4="trimestral",S360,0))</f>
        <v>10000</v>
      </c>
      <c r="U363" s="356">
        <f t="shared" si="118"/>
        <v>94474.83793000487</v>
      </c>
      <c r="V363" s="359">
        <f t="shared" si="101"/>
        <v>-228.50119292168887</v>
      </c>
      <c r="X363" s="359">
        <f t="shared" ref="X363:X426" si="119">-SUM(R363:U363)*0.1%</f>
        <v>-11942.126477919079</v>
      </c>
      <c r="Y363" s="356">
        <f t="shared" si="104"/>
        <v>11929955.850248238</v>
      </c>
      <c r="AA363" s="357">
        <f>+Bono!J363</f>
        <v>345862.07267550455</v>
      </c>
      <c r="AC363" s="378">
        <f t="shared" si="110"/>
        <v>28.333333333333332</v>
      </c>
      <c r="AD363" s="356">
        <f t="shared" si="111"/>
        <v>12936048.800886447</v>
      </c>
    </row>
    <row r="364" spans="2:30" x14ac:dyDescent="0.25">
      <c r="B364" s="356">
        <f t="shared" si="105"/>
        <v>341</v>
      </c>
      <c r="C364" s="357">
        <f t="shared" si="112"/>
        <v>28</v>
      </c>
      <c r="D364" s="357">
        <f t="shared" si="113"/>
        <v>5</v>
      </c>
      <c r="E364" s="357">
        <f t="shared" si="114"/>
        <v>57</v>
      </c>
      <c r="F364" s="356">
        <f t="shared" si="106"/>
        <v>660230.877962705</v>
      </c>
      <c r="H364" s="356">
        <f t="shared" si="102"/>
        <v>5264.773736373033</v>
      </c>
      <c r="I364" s="356">
        <v>0</v>
      </c>
      <c r="J364" s="356">
        <v>0</v>
      </c>
      <c r="K364" s="356">
        <f t="shared" si="107"/>
        <v>-665.495651699078</v>
      </c>
      <c r="L364" s="356">
        <f t="shared" si="103"/>
        <v>664830.156047379</v>
      </c>
      <c r="N364" s="356">
        <f t="shared" si="108"/>
        <v>341</v>
      </c>
      <c r="O364" s="357">
        <f t="shared" si="115"/>
        <v>28</v>
      </c>
      <c r="P364" s="357">
        <f t="shared" si="116"/>
        <v>5</v>
      </c>
      <c r="Q364" s="357">
        <f t="shared" si="117"/>
        <v>28</v>
      </c>
      <c r="R364" s="356">
        <f t="shared" si="109"/>
        <v>11929955.850248238</v>
      </c>
      <c r="S364" s="356">
        <f>IF($G$4="mensual",S363,0)</f>
        <v>10000</v>
      </c>
      <c r="U364" s="356">
        <f t="shared" si="118"/>
        <v>95210.8846647905</v>
      </c>
      <c r="V364" s="359">
        <f t="shared" si="101"/>
        <v>-228.50119292168887</v>
      </c>
      <c r="X364" s="359">
        <f t="shared" si="119"/>
        <v>-12035.16673491303</v>
      </c>
      <c r="Y364" s="356">
        <f t="shared" si="104"/>
        <v>12022903.066985194</v>
      </c>
      <c r="AA364" s="357">
        <f>+Bono!J364</f>
        <v>348006.45764361</v>
      </c>
      <c r="AC364" s="378">
        <f t="shared" si="110"/>
        <v>28.416666666666668</v>
      </c>
      <c r="AD364" s="356">
        <f t="shared" si="111"/>
        <v>13035739.680676183</v>
      </c>
    </row>
    <row r="365" spans="2:30" x14ac:dyDescent="0.25">
      <c r="B365" s="356">
        <f t="shared" si="105"/>
        <v>342</v>
      </c>
      <c r="C365" s="357">
        <f t="shared" si="112"/>
        <v>28</v>
      </c>
      <c r="D365" s="357">
        <f t="shared" si="113"/>
        <v>6</v>
      </c>
      <c r="E365" s="357">
        <f t="shared" si="114"/>
        <v>57</v>
      </c>
      <c r="F365" s="356">
        <f t="shared" si="106"/>
        <v>664830.156047379</v>
      </c>
      <c r="H365" s="356">
        <f t="shared" si="102"/>
        <v>5301.449025691803</v>
      </c>
      <c r="I365" s="356">
        <v>0</v>
      </c>
      <c r="J365" s="360">
        <f>-SUM(F365:H365)*$J$21</f>
        <v>-6031.184445657638</v>
      </c>
      <c r="K365" s="356">
        <f t="shared" si="107"/>
        <v>-664.1004206274132</v>
      </c>
      <c r="L365" s="356">
        <f t="shared" si="103"/>
        <v>663436.3202067858</v>
      </c>
      <c r="N365" s="356">
        <f t="shared" si="108"/>
        <v>342</v>
      </c>
      <c r="O365" s="357">
        <f t="shared" si="115"/>
        <v>28</v>
      </c>
      <c r="P365" s="357">
        <f t="shared" si="116"/>
        <v>6</v>
      </c>
      <c r="Q365" s="357">
        <f t="shared" si="117"/>
        <v>28</v>
      </c>
      <c r="R365" s="356">
        <f t="shared" si="109"/>
        <v>12022903.066985194</v>
      </c>
      <c r="S365" s="356">
        <f>IF($G$4="mensual",S364,0)</f>
        <v>10000</v>
      </c>
      <c r="U365" s="356">
        <f t="shared" si="118"/>
        <v>95952.05882352674</v>
      </c>
      <c r="V365" s="359">
        <f t="shared" si="101"/>
        <v>-228.50119292168887</v>
      </c>
      <c r="X365" s="359">
        <f t="shared" si="119"/>
        <v>-12128.85512580872</v>
      </c>
      <c r="Y365" s="356">
        <f t="shared" si="104"/>
        <v>12116497.769489989</v>
      </c>
      <c r="AA365" s="357">
        <f>+Bono!J365</f>
        <v>347009.5061729515</v>
      </c>
      <c r="AC365" s="378">
        <f t="shared" si="110"/>
        <v>28.5</v>
      </c>
      <c r="AD365" s="356">
        <f t="shared" si="111"/>
        <v>13126943.595869726</v>
      </c>
    </row>
    <row r="366" spans="2:30" x14ac:dyDescent="0.25">
      <c r="B366" s="356">
        <f t="shared" si="105"/>
        <v>343</v>
      </c>
      <c r="C366" s="357">
        <f t="shared" si="112"/>
        <v>28</v>
      </c>
      <c r="D366" s="357">
        <f t="shared" si="113"/>
        <v>7</v>
      </c>
      <c r="E366" s="357">
        <f t="shared" si="114"/>
        <v>57</v>
      </c>
      <c r="F366" s="356">
        <f t="shared" si="106"/>
        <v>663436.3202067858</v>
      </c>
      <c r="H366" s="356">
        <f t="shared" si="102"/>
        <v>5290.334382964074</v>
      </c>
      <c r="I366" s="356">
        <v>0</v>
      </c>
      <c r="J366" s="356">
        <v>0</v>
      </c>
      <c r="K366" s="356">
        <f t="shared" si="107"/>
        <v>-668.7266545897498</v>
      </c>
      <c r="L366" s="356">
        <f t="shared" si="103"/>
        <v>668057.9279351601</v>
      </c>
      <c r="N366" s="356">
        <f t="shared" si="108"/>
        <v>343</v>
      </c>
      <c r="O366" s="357">
        <f t="shared" si="115"/>
        <v>28</v>
      </c>
      <c r="P366" s="357">
        <f t="shared" si="116"/>
        <v>7</v>
      </c>
      <c r="Q366" s="357">
        <f t="shared" si="117"/>
        <v>28</v>
      </c>
      <c r="R366" s="356">
        <f t="shared" si="109"/>
        <v>12116497.769489989</v>
      </c>
      <c r="S366" s="356">
        <f>+IF($G$4="mensual",S360,IF($G$4="trimestral",S360,IF($G$4="semestral",S360,0)))</f>
        <v>10000</v>
      </c>
      <c r="U366" s="356">
        <f t="shared" si="118"/>
        <v>96698.39612470144</v>
      </c>
      <c r="V366" s="359">
        <f t="shared" si="101"/>
        <v>-228.50119292168887</v>
      </c>
      <c r="X366" s="359">
        <f t="shared" si="119"/>
        <v>-12223.19616561469</v>
      </c>
      <c r="Y366" s="356">
        <f t="shared" si="104"/>
        <v>12210744.468256155</v>
      </c>
      <c r="AA366" s="357">
        <f>+Bono!J366</f>
        <v>349161.0053618352</v>
      </c>
      <c r="AC366" s="378">
        <f t="shared" si="110"/>
        <v>28.583333333333332</v>
      </c>
      <c r="AD366" s="356">
        <f t="shared" si="111"/>
        <v>13227963.40155315</v>
      </c>
    </row>
    <row r="367" spans="2:30" x14ac:dyDescent="0.25">
      <c r="B367" s="356">
        <f t="shared" si="105"/>
        <v>344</v>
      </c>
      <c r="C367" s="357">
        <f t="shared" si="112"/>
        <v>28</v>
      </c>
      <c r="D367" s="357">
        <f t="shared" si="113"/>
        <v>8</v>
      </c>
      <c r="E367" s="357">
        <f t="shared" si="114"/>
        <v>57</v>
      </c>
      <c r="F367" s="356">
        <f t="shared" si="106"/>
        <v>668057.9279351601</v>
      </c>
      <c r="H367" s="356">
        <f t="shared" si="102"/>
        <v>5327.187731997437</v>
      </c>
      <c r="I367" s="356">
        <v>0</v>
      </c>
      <c r="J367" s="356">
        <v>0</v>
      </c>
      <c r="K367" s="356">
        <f t="shared" si="107"/>
        <v>-673.3851156671576</v>
      </c>
      <c r="L367" s="356">
        <f t="shared" si="103"/>
        <v>672711.7305514904</v>
      </c>
      <c r="N367" s="356">
        <f t="shared" si="108"/>
        <v>344</v>
      </c>
      <c r="O367" s="357">
        <f t="shared" si="115"/>
        <v>28</v>
      </c>
      <c r="P367" s="357">
        <f t="shared" si="116"/>
        <v>8</v>
      </c>
      <c r="Q367" s="357">
        <f t="shared" si="117"/>
        <v>28</v>
      </c>
      <c r="R367" s="356">
        <f t="shared" si="109"/>
        <v>12210744.468256155</v>
      </c>
      <c r="S367" s="356">
        <f>IF($G$4="mensual",S366,0)</f>
        <v>10000</v>
      </c>
      <c r="U367" s="356">
        <f t="shared" si="118"/>
        <v>97449.93253562345</v>
      </c>
      <c r="V367" s="359">
        <f t="shared" si="101"/>
        <v>-228.50119292168887</v>
      </c>
      <c r="X367" s="359">
        <f t="shared" si="119"/>
        <v>-12318.19440079178</v>
      </c>
      <c r="Y367" s="356">
        <f t="shared" si="104"/>
        <v>12305647.705198066</v>
      </c>
      <c r="AA367" s="357">
        <f>+Bono!J367</f>
        <v>351325.84409524844</v>
      </c>
      <c r="AC367" s="378">
        <f t="shared" si="110"/>
        <v>28.666666666666668</v>
      </c>
      <c r="AD367" s="356">
        <f t="shared" si="111"/>
        <v>13329685.279844806</v>
      </c>
    </row>
    <row r="368" spans="2:30" x14ac:dyDescent="0.25">
      <c r="B368" s="356">
        <f t="shared" si="105"/>
        <v>345</v>
      </c>
      <c r="C368" s="357">
        <f t="shared" si="112"/>
        <v>28</v>
      </c>
      <c r="D368" s="357">
        <f t="shared" si="113"/>
        <v>9</v>
      </c>
      <c r="E368" s="357">
        <f t="shared" si="114"/>
        <v>57</v>
      </c>
      <c r="F368" s="356">
        <f t="shared" si="106"/>
        <v>672711.7305514904</v>
      </c>
      <c r="H368" s="356">
        <f t="shared" si="102"/>
        <v>5364.297807588456</v>
      </c>
      <c r="I368" s="356">
        <v>0</v>
      </c>
      <c r="J368" s="360">
        <f>-SUM(F368:H368)*$J$21</f>
        <v>-6102.684255231711</v>
      </c>
      <c r="K368" s="356">
        <f t="shared" si="107"/>
        <v>-671.9733441038471</v>
      </c>
      <c r="L368" s="356">
        <f t="shared" si="103"/>
        <v>671301.3707597433</v>
      </c>
      <c r="N368" s="356">
        <f t="shared" si="108"/>
        <v>345</v>
      </c>
      <c r="O368" s="357">
        <f t="shared" si="115"/>
        <v>28</v>
      </c>
      <c r="P368" s="357">
        <f t="shared" si="116"/>
        <v>9</v>
      </c>
      <c r="Q368" s="357">
        <f t="shared" si="117"/>
        <v>28</v>
      </c>
      <c r="R368" s="356">
        <f t="shared" si="109"/>
        <v>12305647.705198066</v>
      </c>
      <c r="S368" s="356">
        <f>IF($G$4="mensual",S367,0)</f>
        <v>10000</v>
      </c>
      <c r="U368" s="356">
        <f t="shared" si="118"/>
        <v>98206.70427415577</v>
      </c>
      <c r="V368" s="359">
        <f t="shared" si="101"/>
        <v>-228.50119292168887</v>
      </c>
      <c r="X368" s="359">
        <f t="shared" si="119"/>
        <v>-12413.854409472222</v>
      </c>
      <c r="Y368" s="356">
        <f t="shared" si="104"/>
        <v>12401212.053869827</v>
      </c>
      <c r="AA368" s="357">
        <f>+Bono!J368</f>
        <v>350319.38341252797</v>
      </c>
      <c r="AC368" s="378">
        <f t="shared" si="110"/>
        <v>28.75</v>
      </c>
      <c r="AD368" s="356">
        <f t="shared" si="111"/>
        <v>13422832.808042098</v>
      </c>
    </row>
    <row r="369" spans="2:30" x14ac:dyDescent="0.25">
      <c r="B369" s="356">
        <f t="shared" si="105"/>
        <v>346</v>
      </c>
      <c r="C369" s="357">
        <f t="shared" si="112"/>
        <v>28</v>
      </c>
      <c r="D369" s="357">
        <f t="shared" si="113"/>
        <v>10</v>
      </c>
      <c r="E369" s="357">
        <f t="shared" si="114"/>
        <v>57</v>
      </c>
      <c r="F369" s="356">
        <f t="shared" si="106"/>
        <v>671301.3707597433</v>
      </c>
      <c r="H369" s="356">
        <f t="shared" si="102"/>
        <v>5353.051400553784</v>
      </c>
      <c r="I369" s="356">
        <v>0</v>
      </c>
      <c r="J369" s="356">
        <v>0</v>
      </c>
      <c r="K369" s="356">
        <f t="shared" si="107"/>
        <v>-676.654422160297</v>
      </c>
      <c r="L369" s="356">
        <f t="shared" si="103"/>
        <v>675977.7677381367</v>
      </c>
      <c r="N369" s="356">
        <f t="shared" si="108"/>
        <v>346</v>
      </c>
      <c r="O369" s="357">
        <f t="shared" si="115"/>
        <v>28</v>
      </c>
      <c r="P369" s="357">
        <f t="shared" si="116"/>
        <v>10</v>
      </c>
      <c r="Q369" s="357">
        <f t="shared" si="117"/>
        <v>28</v>
      </c>
      <c r="R369" s="356">
        <f t="shared" si="109"/>
        <v>12401212.053869827</v>
      </c>
      <c r="S369" s="356">
        <f>IF($G$4="mensual",S360,IF($G$4="trimestral",S360,0))</f>
        <v>10000</v>
      </c>
      <c r="U369" s="356">
        <f t="shared" si="118"/>
        <v>98968.74781046111</v>
      </c>
      <c r="V369" s="359">
        <f t="shared" ref="V369:V431" si="120">V368</f>
        <v>-228.50119292168887</v>
      </c>
      <c r="X369" s="359">
        <f t="shared" si="119"/>
        <v>-12510.180801680288</v>
      </c>
      <c r="Y369" s="356">
        <f t="shared" si="104"/>
        <v>12497442.119685685</v>
      </c>
      <c r="AA369" s="357">
        <f>+Bono!J369</f>
        <v>352491.40422421903</v>
      </c>
      <c r="AC369" s="378">
        <f t="shared" si="110"/>
        <v>28.833333333333332</v>
      </c>
      <c r="AD369" s="356">
        <f t="shared" si="111"/>
        <v>13525911.291648041</v>
      </c>
    </row>
    <row r="370" spans="2:30" x14ac:dyDescent="0.25">
      <c r="B370" s="356">
        <f t="shared" si="105"/>
        <v>347</v>
      </c>
      <c r="C370" s="357">
        <f t="shared" si="112"/>
        <v>28</v>
      </c>
      <c r="D370" s="357">
        <f t="shared" si="113"/>
        <v>11</v>
      </c>
      <c r="E370" s="357">
        <f t="shared" si="114"/>
        <v>57</v>
      </c>
      <c r="F370" s="356">
        <f t="shared" si="106"/>
        <v>675977.7677381367</v>
      </c>
      <c r="H370" s="356">
        <f t="shared" si="102"/>
        <v>5390.341646760795</v>
      </c>
      <c r="I370" s="356">
        <v>0</v>
      </c>
      <c r="J370" s="356">
        <v>0</v>
      </c>
      <c r="K370" s="356">
        <f t="shared" si="107"/>
        <v>-681.3681093848975</v>
      </c>
      <c r="L370" s="356">
        <f t="shared" si="103"/>
        <v>680686.7412755126</v>
      </c>
      <c r="N370" s="356">
        <f t="shared" si="108"/>
        <v>347</v>
      </c>
      <c r="O370" s="357">
        <f t="shared" si="115"/>
        <v>28</v>
      </c>
      <c r="P370" s="357">
        <f t="shared" si="116"/>
        <v>11</v>
      </c>
      <c r="Q370" s="357">
        <f t="shared" si="117"/>
        <v>28</v>
      </c>
      <c r="R370" s="356">
        <f t="shared" si="109"/>
        <v>12497442.119685685</v>
      </c>
      <c r="S370" s="356">
        <f>IF($G$17="si",S358*(1+$G$20),S358)</f>
        <v>10000</v>
      </c>
      <c r="U370" s="356">
        <f t="shared" si="118"/>
        <v>99736.09986875941</v>
      </c>
      <c r="V370" s="359">
        <f t="shared" si="120"/>
        <v>-228.50119292168887</v>
      </c>
      <c r="X370" s="359">
        <f t="shared" si="119"/>
        <v>-12607.178219554446</v>
      </c>
      <c r="Y370" s="356">
        <f t="shared" si="104"/>
        <v>12594342.540141968</v>
      </c>
      <c r="AA370" s="357">
        <f>+Bono!J370</f>
        <v>354676.89181688137</v>
      </c>
      <c r="AC370" s="378">
        <f t="shared" si="110"/>
        <v>28.916666666666668</v>
      </c>
      <c r="AD370" s="356">
        <f t="shared" si="111"/>
        <v>13629706.173234362</v>
      </c>
    </row>
    <row r="371" spans="2:30" x14ac:dyDescent="0.25">
      <c r="B371" s="356">
        <f t="shared" si="105"/>
        <v>348</v>
      </c>
      <c r="C371" s="357">
        <f t="shared" si="112"/>
        <v>28</v>
      </c>
      <c r="D371" s="357">
        <f t="shared" si="113"/>
        <v>12</v>
      </c>
      <c r="E371" s="357">
        <f t="shared" si="114"/>
        <v>57</v>
      </c>
      <c r="F371" s="356">
        <f t="shared" si="106"/>
        <v>680686.7412755126</v>
      </c>
      <c r="H371" s="356">
        <f t="shared" si="102"/>
        <v>5427.891663023822</v>
      </c>
      <c r="I371" s="356">
        <v>0</v>
      </c>
      <c r="J371" s="360">
        <f>-SUM(F371:H371)*$J$21</f>
        <v>-6175.031696446829</v>
      </c>
      <c r="K371" s="356">
        <f t="shared" si="107"/>
        <v>-679.9396012420897</v>
      </c>
      <c r="L371" s="356">
        <f t="shared" si="103"/>
        <v>679259.6616408476</v>
      </c>
      <c r="N371" s="356">
        <f t="shared" si="108"/>
        <v>348</v>
      </c>
      <c r="O371" s="357">
        <f t="shared" si="115"/>
        <v>28</v>
      </c>
      <c r="P371" s="357">
        <f t="shared" si="116"/>
        <v>12</v>
      </c>
      <c r="Q371" s="357">
        <f t="shared" si="117"/>
        <v>28</v>
      </c>
      <c r="R371" s="356">
        <f t="shared" si="109"/>
        <v>12594342.540141968</v>
      </c>
      <c r="S371" s="356">
        <f>IF($G$4="mensual",S370,0)</f>
        <v>10000</v>
      </c>
      <c r="U371" s="356">
        <f t="shared" si="118"/>
        <v>100508.79742909764</v>
      </c>
      <c r="V371" s="359">
        <f t="shared" si="120"/>
        <v>-228.50119292168887</v>
      </c>
      <c r="X371" s="359">
        <f t="shared" si="119"/>
        <v>-12704.851337571066</v>
      </c>
      <c r="Y371" s="356">
        <f t="shared" si="104"/>
        <v>12691917.985040573</v>
      </c>
      <c r="AA371" s="357">
        <f>+Bono!J371</f>
        <v>353660.83122047834</v>
      </c>
      <c r="AC371" s="378">
        <f t="shared" si="110"/>
        <v>29</v>
      </c>
      <c r="AD371" s="356">
        <f t="shared" si="111"/>
        <v>13724838.477901898</v>
      </c>
    </row>
    <row r="372" spans="2:30" x14ac:dyDescent="0.25">
      <c r="B372" s="356">
        <f t="shared" si="105"/>
        <v>349</v>
      </c>
      <c r="C372" s="357">
        <f t="shared" si="112"/>
        <v>29</v>
      </c>
      <c r="D372" s="357">
        <f t="shared" si="113"/>
        <v>1</v>
      </c>
      <c r="E372" s="357">
        <f t="shared" si="114"/>
        <v>58</v>
      </c>
      <c r="F372" s="356">
        <f t="shared" si="106"/>
        <v>679259.6616408476</v>
      </c>
      <c r="H372" s="356">
        <f t="shared" si="102"/>
        <v>5416.511929613774</v>
      </c>
      <c r="I372" s="356">
        <v>0</v>
      </c>
      <c r="J372" s="356">
        <v>0</v>
      </c>
      <c r="K372" s="356">
        <f t="shared" si="107"/>
        <v>-684.6761735704614</v>
      </c>
      <c r="L372" s="356">
        <f t="shared" si="103"/>
        <v>683991.4973968909</v>
      </c>
      <c r="N372" s="356">
        <f t="shared" si="108"/>
        <v>349</v>
      </c>
      <c r="O372" s="357">
        <f t="shared" si="115"/>
        <v>29</v>
      </c>
      <c r="P372" s="357">
        <f t="shared" si="116"/>
        <v>1</v>
      </c>
      <c r="Q372" s="357">
        <f t="shared" si="117"/>
        <v>29</v>
      </c>
      <c r="R372" s="356">
        <f t="shared" si="109"/>
        <v>12691917.985040573</v>
      </c>
      <c r="S372" s="356">
        <f>IF($G$17="si",S360*(1+$G$20),S360)</f>
        <v>10000</v>
      </c>
      <c r="U372" s="356">
        <f t="shared" si="118"/>
        <v>101286.87772913187</v>
      </c>
      <c r="V372" s="359">
        <f>(V371*(1+$G$18))</f>
        <v>-237.64124063855644</v>
      </c>
      <c r="X372" s="359">
        <f t="shared" si="119"/>
        <v>-12803.204862769706</v>
      </c>
      <c r="Y372" s="356">
        <f t="shared" si="104"/>
        <v>12790164.016666299</v>
      </c>
      <c r="AA372" s="357">
        <f>+Bono!J372</f>
        <v>355853.56939616264</v>
      </c>
      <c r="AC372" s="378">
        <f t="shared" si="110"/>
        <v>29.083333333333332</v>
      </c>
      <c r="AD372" s="356">
        <f t="shared" si="111"/>
        <v>13830009.083459351</v>
      </c>
    </row>
    <row r="373" spans="2:30" x14ac:dyDescent="0.25">
      <c r="B373" s="356">
        <f t="shared" si="105"/>
        <v>350</v>
      </c>
      <c r="C373" s="357">
        <f t="shared" si="112"/>
        <v>29</v>
      </c>
      <c r="D373" s="357">
        <f t="shared" si="113"/>
        <v>2</v>
      </c>
      <c r="E373" s="357">
        <f t="shared" si="114"/>
        <v>58</v>
      </c>
      <c r="F373" s="356">
        <f t="shared" si="106"/>
        <v>683991.4973968909</v>
      </c>
      <c r="H373" s="356">
        <f t="shared" si="102"/>
        <v>5454.244252418972</v>
      </c>
      <c r="I373" s="356">
        <v>0</v>
      </c>
      <c r="J373" s="356">
        <v>0</v>
      </c>
      <c r="K373" s="356">
        <f t="shared" si="107"/>
        <v>-689.4457416493099</v>
      </c>
      <c r="L373" s="356">
        <f t="shared" si="103"/>
        <v>688756.2959076605</v>
      </c>
      <c r="N373" s="356">
        <f t="shared" si="108"/>
        <v>350</v>
      </c>
      <c r="O373" s="357">
        <f t="shared" si="115"/>
        <v>29</v>
      </c>
      <c r="P373" s="357">
        <f t="shared" si="116"/>
        <v>2</v>
      </c>
      <c r="Q373" s="357">
        <f t="shared" si="117"/>
        <v>29</v>
      </c>
      <c r="R373" s="356">
        <f t="shared" si="109"/>
        <v>12790164.016666299</v>
      </c>
      <c r="S373" s="356">
        <f>IF($G$4="mensual",S372,0)</f>
        <v>10000</v>
      </c>
      <c r="U373" s="356">
        <f t="shared" si="118"/>
        <v>102070.30538189792</v>
      </c>
      <c r="V373" s="359">
        <f t="shared" si="120"/>
        <v>-237.64124063855644</v>
      </c>
      <c r="X373" s="359">
        <f t="shared" si="119"/>
        <v>-12902.234322048196</v>
      </c>
      <c r="Y373" s="356">
        <f t="shared" si="104"/>
        <v>12889094.44648551</v>
      </c>
      <c r="AA373" s="357">
        <f>+Bono!J373</f>
        <v>358059.9028028781</v>
      </c>
      <c r="AC373" s="378">
        <f t="shared" si="110"/>
        <v>29.166666666666668</v>
      </c>
      <c r="AD373" s="356">
        <f t="shared" si="111"/>
        <v>13935910.64519605</v>
      </c>
    </row>
    <row r="374" spans="2:30" x14ac:dyDescent="0.25">
      <c r="B374" s="356">
        <f t="shared" si="105"/>
        <v>351</v>
      </c>
      <c r="C374" s="357">
        <f t="shared" si="112"/>
        <v>29</v>
      </c>
      <c r="D374" s="357">
        <f t="shared" si="113"/>
        <v>3</v>
      </c>
      <c r="E374" s="357">
        <f t="shared" si="114"/>
        <v>58</v>
      </c>
      <c r="F374" s="356">
        <f t="shared" si="106"/>
        <v>688756.2959076605</v>
      </c>
      <c r="H374" s="356">
        <f t="shared" si="102"/>
        <v>5492.23942485928</v>
      </c>
      <c r="I374" s="356">
        <v>0</v>
      </c>
      <c r="J374" s="360">
        <f>-SUM(F374:H374)*$J$21</f>
        <v>-6248.236817992679</v>
      </c>
      <c r="K374" s="356">
        <f t="shared" si="107"/>
        <v>-688.0002985145271</v>
      </c>
      <c r="L374" s="356">
        <f t="shared" si="103"/>
        <v>687312.2982160127</v>
      </c>
      <c r="N374" s="356">
        <f t="shared" si="108"/>
        <v>351</v>
      </c>
      <c r="O374" s="357">
        <f t="shared" si="115"/>
        <v>29</v>
      </c>
      <c r="P374" s="357">
        <f t="shared" si="116"/>
        <v>3</v>
      </c>
      <c r="Q374" s="357">
        <f t="shared" si="117"/>
        <v>29</v>
      </c>
      <c r="R374" s="356">
        <f t="shared" si="109"/>
        <v>12889094.44648551</v>
      </c>
      <c r="S374" s="356">
        <f>IF($G$4="mensual",S373,0)</f>
        <v>10000</v>
      </c>
      <c r="U374" s="356">
        <f t="shared" si="118"/>
        <v>102859.19052196814</v>
      </c>
      <c r="V374" s="359">
        <f t="shared" si="120"/>
        <v>-237.64124063855644</v>
      </c>
      <c r="X374" s="359">
        <f t="shared" si="119"/>
        <v>-13001.953637007478</v>
      </c>
      <c r="Y374" s="356">
        <f t="shared" si="104"/>
        <v>12988714.042129833</v>
      </c>
      <c r="AA374" s="357">
        <f>+Bono!J374</f>
        <v>357034.1507260337</v>
      </c>
      <c r="AC374" s="378">
        <f t="shared" si="110"/>
        <v>29.25</v>
      </c>
      <c r="AD374" s="356">
        <f t="shared" si="111"/>
        <v>14033060.49107188</v>
      </c>
    </row>
    <row r="375" spans="2:30" x14ac:dyDescent="0.25">
      <c r="B375" s="356">
        <f t="shared" si="105"/>
        <v>352</v>
      </c>
      <c r="C375" s="357">
        <f t="shared" si="112"/>
        <v>29</v>
      </c>
      <c r="D375" s="357">
        <f t="shared" si="113"/>
        <v>4</v>
      </c>
      <c r="E375" s="357">
        <f t="shared" si="114"/>
        <v>58</v>
      </c>
      <c r="F375" s="356">
        <f t="shared" si="106"/>
        <v>687312.2982160127</v>
      </c>
      <c r="H375" s="356">
        <f t="shared" si="102"/>
        <v>5480.724784487067</v>
      </c>
      <c r="I375" s="356">
        <v>0</v>
      </c>
      <c r="J375" s="356">
        <v>0</v>
      </c>
      <c r="K375" s="356">
        <f t="shared" si="107"/>
        <v>-692.7930230004997</v>
      </c>
      <c r="L375" s="356">
        <f t="shared" si="103"/>
        <v>692100.2299774992</v>
      </c>
      <c r="N375" s="356">
        <f t="shared" si="108"/>
        <v>352</v>
      </c>
      <c r="O375" s="357">
        <f t="shared" si="115"/>
        <v>29</v>
      </c>
      <c r="P375" s="357">
        <f t="shared" si="116"/>
        <v>4</v>
      </c>
      <c r="Q375" s="357">
        <f t="shared" si="117"/>
        <v>29</v>
      </c>
      <c r="R375" s="356">
        <f t="shared" si="109"/>
        <v>12988714.042129833</v>
      </c>
      <c r="S375" s="356">
        <f>IF($G$4="mensual",S372,IF($G$4="trimestral",S372,0))</f>
        <v>10000</v>
      </c>
      <c r="U375" s="356">
        <f t="shared" si="118"/>
        <v>103653.57116710657</v>
      </c>
      <c r="V375" s="359">
        <f t="shared" si="120"/>
        <v>-237.64124063855644</v>
      </c>
      <c r="X375" s="359">
        <f t="shared" si="119"/>
        <v>-13102.36761329694</v>
      </c>
      <c r="Y375" s="356">
        <f t="shared" si="104"/>
        <v>13089027.604443004</v>
      </c>
      <c r="AA375" s="357">
        <f>+Bono!J375</f>
        <v>359247.8038739333</v>
      </c>
      <c r="AC375" s="378">
        <f t="shared" si="110"/>
        <v>29.333333333333332</v>
      </c>
      <c r="AD375" s="356">
        <f t="shared" si="111"/>
        <v>14140375.638294438</v>
      </c>
    </row>
    <row r="376" spans="2:30" x14ac:dyDescent="0.25">
      <c r="B376" s="356">
        <f t="shared" si="105"/>
        <v>353</v>
      </c>
      <c r="C376" s="357">
        <f t="shared" si="112"/>
        <v>29</v>
      </c>
      <c r="D376" s="357">
        <f t="shared" si="113"/>
        <v>5</v>
      </c>
      <c r="E376" s="357">
        <f t="shared" si="114"/>
        <v>58</v>
      </c>
      <c r="F376" s="356">
        <f t="shared" si="106"/>
        <v>692100.2299774992</v>
      </c>
      <c r="H376" s="356">
        <f t="shared" si="102"/>
        <v>5518.90442471717</v>
      </c>
      <c r="I376" s="356">
        <v>0</v>
      </c>
      <c r="J376" s="356">
        <v>0</v>
      </c>
      <c r="K376" s="356">
        <f t="shared" si="107"/>
        <v>-697.6191344022164</v>
      </c>
      <c r="L376" s="356">
        <f t="shared" si="103"/>
        <v>696921.5152678142</v>
      </c>
      <c r="N376" s="356">
        <f t="shared" si="108"/>
        <v>353</v>
      </c>
      <c r="O376" s="357">
        <f t="shared" si="115"/>
        <v>29</v>
      </c>
      <c r="P376" s="357">
        <f t="shared" si="116"/>
        <v>5</v>
      </c>
      <c r="Q376" s="357">
        <f t="shared" si="117"/>
        <v>29</v>
      </c>
      <c r="R376" s="356">
        <f t="shared" si="109"/>
        <v>13089027.604443004</v>
      </c>
      <c r="S376" s="356">
        <f>IF($G$4="mensual",S375,0)</f>
        <v>10000</v>
      </c>
      <c r="U376" s="356">
        <f t="shared" si="118"/>
        <v>104453.48559991538</v>
      </c>
      <c r="V376" s="359">
        <f t="shared" si="120"/>
        <v>-237.64124063855644</v>
      </c>
      <c r="X376" s="359">
        <f t="shared" si="119"/>
        <v>-13203.481090042918</v>
      </c>
      <c r="Y376" s="356">
        <f t="shared" si="104"/>
        <v>13190039.967712238</v>
      </c>
      <c r="AA376" s="357">
        <f>+Bono!J376</f>
        <v>361475.18192811776</v>
      </c>
      <c r="AC376" s="378">
        <f t="shared" si="110"/>
        <v>29.416666666666668</v>
      </c>
      <c r="AD376" s="356">
        <f t="shared" si="111"/>
        <v>14248436.664908169</v>
      </c>
    </row>
    <row r="377" spans="2:30" x14ac:dyDescent="0.25">
      <c r="B377" s="356">
        <f t="shared" si="105"/>
        <v>354</v>
      </c>
      <c r="C377" s="357">
        <f t="shared" si="112"/>
        <v>29</v>
      </c>
      <c r="D377" s="357">
        <f t="shared" si="113"/>
        <v>6</v>
      </c>
      <c r="E377" s="357">
        <f t="shared" si="114"/>
        <v>58</v>
      </c>
      <c r="F377" s="356">
        <f t="shared" si="106"/>
        <v>696921.5152678142</v>
      </c>
      <c r="H377" s="356">
        <f t="shared" si="102"/>
        <v>5557.350030669949</v>
      </c>
      <c r="I377" s="356">
        <v>0</v>
      </c>
      <c r="J377" s="360">
        <f>-SUM(F377:H377)*$J$21</f>
        <v>-6322.309787686358</v>
      </c>
      <c r="K377" s="356">
        <f t="shared" si="107"/>
        <v>-696.1565555107978</v>
      </c>
      <c r="L377" s="356">
        <f t="shared" si="103"/>
        <v>695460.398955287</v>
      </c>
      <c r="N377" s="356">
        <f t="shared" si="108"/>
        <v>354</v>
      </c>
      <c r="O377" s="357">
        <f t="shared" si="115"/>
        <v>29</v>
      </c>
      <c r="P377" s="357">
        <f t="shared" si="116"/>
        <v>6</v>
      </c>
      <c r="Q377" s="357">
        <f t="shared" si="117"/>
        <v>29</v>
      </c>
      <c r="R377" s="356">
        <f t="shared" si="109"/>
        <v>13190039.967712238</v>
      </c>
      <c r="S377" s="356">
        <f>IF($G$4="mensual",S376,0)</f>
        <v>10000</v>
      </c>
      <c r="U377" s="356">
        <f t="shared" si="118"/>
        <v>105258.9723696797</v>
      </c>
      <c r="V377" s="359">
        <f t="shared" si="120"/>
        <v>-237.64124063855644</v>
      </c>
      <c r="X377" s="359">
        <f t="shared" si="119"/>
        <v>-13305.298940081919</v>
      </c>
      <c r="Y377" s="356">
        <f t="shared" si="104"/>
        <v>13291755.9999012</v>
      </c>
      <c r="AA377" s="357">
        <f>+Bono!J377</f>
        <v>360439.6459306827</v>
      </c>
      <c r="AC377" s="378">
        <f t="shared" si="110"/>
        <v>29.5</v>
      </c>
      <c r="AD377" s="356">
        <f t="shared" si="111"/>
        <v>14347656.04478717</v>
      </c>
    </row>
    <row r="378" spans="2:30" x14ac:dyDescent="0.25">
      <c r="B378" s="356">
        <f t="shared" si="105"/>
        <v>355</v>
      </c>
      <c r="C378" s="357">
        <f t="shared" si="112"/>
        <v>29</v>
      </c>
      <c r="D378" s="357">
        <f t="shared" si="113"/>
        <v>7</v>
      </c>
      <c r="E378" s="357">
        <f t="shared" si="114"/>
        <v>58</v>
      </c>
      <c r="F378" s="356">
        <f t="shared" si="106"/>
        <v>695460.398955287</v>
      </c>
      <c r="H378" s="356">
        <f t="shared" si="102"/>
        <v>5545.698884010895</v>
      </c>
      <c r="I378" s="356">
        <v>0</v>
      </c>
      <c r="J378" s="356">
        <v>0</v>
      </c>
      <c r="K378" s="356">
        <f t="shared" si="107"/>
        <v>-701.0060978392978</v>
      </c>
      <c r="L378" s="356">
        <f t="shared" si="103"/>
        <v>700305.0917414585</v>
      </c>
      <c r="N378" s="356">
        <f t="shared" si="108"/>
        <v>355</v>
      </c>
      <c r="O378" s="357">
        <f t="shared" si="115"/>
        <v>29</v>
      </c>
      <c r="P378" s="357">
        <f t="shared" si="116"/>
        <v>7</v>
      </c>
      <c r="Q378" s="357">
        <f t="shared" si="117"/>
        <v>29</v>
      </c>
      <c r="R378" s="356">
        <f t="shared" si="109"/>
        <v>13291755.9999012</v>
      </c>
      <c r="S378" s="356">
        <f>+IF($G$4="mensual",S372,IF($G$4="trimestral",S372,IF($G$4="semestral",S372,0)))</f>
        <v>10000</v>
      </c>
      <c r="U378" s="356">
        <f t="shared" si="118"/>
        <v>106070.07029422537</v>
      </c>
      <c r="V378" s="359">
        <f t="shared" si="120"/>
        <v>-237.64124063855644</v>
      </c>
      <c r="X378" s="359">
        <f t="shared" si="119"/>
        <v>-13407.826070195426</v>
      </c>
      <c r="Y378" s="356">
        <f t="shared" si="104"/>
        <v>13394180.602884592</v>
      </c>
      <c r="AA378" s="357">
        <f>+Bono!J378</f>
        <v>362674.41354386415</v>
      </c>
      <c r="AC378" s="378">
        <f t="shared" si="110"/>
        <v>29.583333333333332</v>
      </c>
      <c r="AD378" s="356">
        <f t="shared" si="111"/>
        <v>14457160.108169913</v>
      </c>
    </row>
    <row r="379" spans="2:30" x14ac:dyDescent="0.25">
      <c r="B379" s="356">
        <f t="shared" si="105"/>
        <v>356</v>
      </c>
      <c r="C379" s="357">
        <f t="shared" si="112"/>
        <v>29</v>
      </c>
      <c r="D379" s="357">
        <f t="shared" si="113"/>
        <v>8</v>
      </c>
      <c r="E379" s="357">
        <f t="shared" si="114"/>
        <v>58</v>
      </c>
      <c r="F379" s="356">
        <f t="shared" si="106"/>
        <v>700305.0917414585</v>
      </c>
      <c r="H379" s="356">
        <f t="shared" si="102"/>
        <v>5584.331144622724</v>
      </c>
      <c r="I379" s="356">
        <v>0</v>
      </c>
      <c r="J379" s="356">
        <v>0</v>
      </c>
      <c r="K379" s="356">
        <f t="shared" si="107"/>
        <v>-705.8894228860813</v>
      </c>
      <c r="L379" s="356">
        <f t="shared" si="103"/>
        <v>705183.5334631952</v>
      </c>
      <c r="N379" s="356">
        <f t="shared" si="108"/>
        <v>356</v>
      </c>
      <c r="O379" s="357">
        <f t="shared" si="115"/>
        <v>29</v>
      </c>
      <c r="P379" s="357">
        <f t="shared" si="116"/>
        <v>8</v>
      </c>
      <c r="Q379" s="357">
        <f t="shared" si="117"/>
        <v>29</v>
      </c>
      <c r="R379" s="356">
        <f t="shared" si="109"/>
        <v>13394180.602884592</v>
      </c>
      <c r="S379" s="356">
        <f>IF($G$4="mensual",S378,0)</f>
        <v>10000</v>
      </c>
      <c r="U379" s="356">
        <f t="shared" si="118"/>
        <v>106886.81846178966</v>
      </c>
      <c r="V379" s="359">
        <f t="shared" si="120"/>
        <v>-237.64124063855644</v>
      </c>
      <c r="X379" s="359">
        <f t="shared" si="119"/>
        <v>-13511.06742134638</v>
      </c>
      <c r="Y379" s="356">
        <f t="shared" si="104"/>
        <v>13497318.712684397</v>
      </c>
      <c r="AA379" s="357">
        <f>+Bono!J379</f>
        <v>364923.03697546426</v>
      </c>
      <c r="AC379" s="378">
        <f t="shared" si="110"/>
        <v>29.666666666666668</v>
      </c>
      <c r="AD379" s="356">
        <f t="shared" si="111"/>
        <v>14567425.283123055</v>
      </c>
    </row>
    <row r="380" spans="2:30" x14ac:dyDescent="0.25">
      <c r="B380" s="356">
        <f t="shared" si="105"/>
        <v>357</v>
      </c>
      <c r="C380" s="357">
        <f t="shared" si="112"/>
        <v>29</v>
      </c>
      <c r="D380" s="357">
        <f t="shared" si="113"/>
        <v>9</v>
      </c>
      <c r="E380" s="357">
        <f t="shared" si="114"/>
        <v>58</v>
      </c>
      <c r="F380" s="356">
        <f t="shared" si="106"/>
        <v>705183.5334631952</v>
      </c>
      <c r="H380" s="356">
        <f t="shared" si="102"/>
        <v>5623.232523986076</v>
      </c>
      <c r="I380" s="356">
        <v>0</v>
      </c>
      <c r="J380" s="360">
        <f>-SUM(F380:H380)*$J$21</f>
        <v>-6397.2608938846315</v>
      </c>
      <c r="K380" s="356">
        <f t="shared" si="107"/>
        <v>-704.4095050932966</v>
      </c>
      <c r="L380" s="356">
        <f t="shared" si="103"/>
        <v>703705.0955882033</v>
      </c>
      <c r="N380" s="356">
        <f t="shared" si="108"/>
        <v>357</v>
      </c>
      <c r="O380" s="357">
        <f t="shared" si="115"/>
        <v>29</v>
      </c>
      <c r="P380" s="357">
        <f t="shared" si="116"/>
        <v>9</v>
      </c>
      <c r="Q380" s="357">
        <f t="shared" si="117"/>
        <v>29</v>
      </c>
      <c r="R380" s="356">
        <f t="shared" si="109"/>
        <v>13497318.712684397</v>
      </c>
      <c r="S380" s="356">
        <f>IF($G$4="mensual",S379,0)</f>
        <v>10000</v>
      </c>
      <c r="U380" s="356">
        <f t="shared" si="118"/>
        <v>107709.256232905</v>
      </c>
      <c r="V380" s="359">
        <f t="shared" si="120"/>
        <v>-237.64124063855644</v>
      </c>
      <c r="X380" s="359">
        <f t="shared" si="119"/>
        <v>-13615.0279689173</v>
      </c>
      <c r="Y380" s="356">
        <f t="shared" si="104"/>
        <v>13601175.299707746</v>
      </c>
      <c r="AA380" s="357">
        <f>+Bono!J380</f>
        <v>363877.62373556837</v>
      </c>
      <c r="AC380" s="378">
        <f t="shared" si="110"/>
        <v>29.75</v>
      </c>
      <c r="AD380" s="356">
        <f t="shared" si="111"/>
        <v>14668758.019031517</v>
      </c>
    </row>
    <row r="381" spans="2:30" x14ac:dyDescent="0.25">
      <c r="B381" s="356">
        <f t="shared" si="105"/>
        <v>358</v>
      </c>
      <c r="C381" s="357">
        <f t="shared" si="112"/>
        <v>29</v>
      </c>
      <c r="D381" s="357">
        <f t="shared" si="113"/>
        <v>10</v>
      </c>
      <c r="E381" s="357">
        <f t="shared" si="114"/>
        <v>58</v>
      </c>
      <c r="F381" s="356">
        <f t="shared" si="106"/>
        <v>703705.0955882033</v>
      </c>
      <c r="H381" s="356">
        <f t="shared" si="102"/>
        <v>5611.44325275548</v>
      </c>
      <c r="I381" s="356">
        <v>0</v>
      </c>
      <c r="J381" s="356">
        <v>0</v>
      </c>
      <c r="K381" s="356">
        <f t="shared" si="107"/>
        <v>-709.3165388409587</v>
      </c>
      <c r="L381" s="356">
        <f t="shared" si="103"/>
        <v>708607.2223021177</v>
      </c>
      <c r="N381" s="356">
        <f t="shared" si="108"/>
        <v>358</v>
      </c>
      <c r="O381" s="357">
        <f t="shared" si="115"/>
        <v>29</v>
      </c>
      <c r="P381" s="357">
        <f t="shared" si="116"/>
        <v>10</v>
      </c>
      <c r="Q381" s="357">
        <f t="shared" si="117"/>
        <v>29</v>
      </c>
      <c r="R381" s="356">
        <f t="shared" si="109"/>
        <v>13601175.299707746</v>
      </c>
      <c r="S381" s="356">
        <f>IF($G$4="mensual",S372,IF($G$4="trimestral",S372,0))</f>
        <v>10000</v>
      </c>
      <c r="U381" s="356">
        <f t="shared" si="118"/>
        <v>108537.42324229584</v>
      </c>
      <c r="V381" s="359">
        <f t="shared" si="120"/>
        <v>-237.64124063855644</v>
      </c>
      <c r="X381" s="359">
        <f t="shared" si="119"/>
        <v>-13719.712722950042</v>
      </c>
      <c r="Y381" s="356">
        <f t="shared" si="104"/>
        <v>13705755.368986454</v>
      </c>
      <c r="AA381" s="357">
        <f>+Bono!J381</f>
        <v>366133.7072099208</v>
      </c>
      <c r="AC381" s="378">
        <f t="shared" si="110"/>
        <v>29.833333333333332</v>
      </c>
      <c r="AD381" s="356">
        <f t="shared" si="111"/>
        <v>14780496.298498493</v>
      </c>
    </row>
    <row r="382" spans="2:30" x14ac:dyDescent="0.25">
      <c r="B382" s="356">
        <f t="shared" si="105"/>
        <v>359</v>
      </c>
      <c r="C382" s="357">
        <f t="shared" si="112"/>
        <v>29</v>
      </c>
      <c r="D382" s="357">
        <f t="shared" si="113"/>
        <v>11</v>
      </c>
      <c r="E382" s="357">
        <f t="shared" si="114"/>
        <v>58</v>
      </c>
      <c r="F382" s="356">
        <f t="shared" si="106"/>
        <v>708607.2223021177</v>
      </c>
      <c r="H382" s="356">
        <f t="shared" si="102"/>
        <v>5650.533499572514</v>
      </c>
      <c r="I382" s="356">
        <v>0</v>
      </c>
      <c r="J382" s="356">
        <v>0</v>
      </c>
      <c r="K382" s="356">
        <f t="shared" si="107"/>
        <v>-714.2577558016903</v>
      </c>
      <c r="L382" s="356">
        <f t="shared" si="103"/>
        <v>713543.4980458886</v>
      </c>
      <c r="N382" s="356">
        <f t="shared" si="108"/>
        <v>359</v>
      </c>
      <c r="O382" s="357">
        <f t="shared" si="115"/>
        <v>29</v>
      </c>
      <c r="P382" s="357">
        <f t="shared" si="116"/>
        <v>11</v>
      </c>
      <c r="Q382" s="357">
        <f t="shared" si="117"/>
        <v>29</v>
      </c>
      <c r="R382" s="356">
        <f t="shared" si="109"/>
        <v>13705755.368986454</v>
      </c>
      <c r="S382" s="356">
        <f>IF($G$17="si",S370*(1+$G$20),S370)</f>
        <v>10000</v>
      </c>
      <c r="U382" s="356">
        <f t="shared" si="118"/>
        <v>109371.35940078874</v>
      </c>
      <c r="V382" s="359">
        <f t="shared" si="120"/>
        <v>-237.64124063855644</v>
      </c>
      <c r="X382" s="359">
        <f t="shared" si="119"/>
        <v>-13825.126728387242</v>
      </c>
      <c r="Y382" s="356">
        <f t="shared" si="104"/>
        <v>13811063.960418217</v>
      </c>
      <c r="AA382" s="357">
        <f>+Bono!J382</f>
        <v>368403.7786635037</v>
      </c>
      <c r="AC382" s="378">
        <f t="shared" si="110"/>
        <v>29.916666666666668</v>
      </c>
      <c r="AD382" s="356">
        <f t="shared" si="111"/>
        <v>14893011.237127608</v>
      </c>
    </row>
    <row r="383" spans="2:30" x14ac:dyDescent="0.25">
      <c r="B383" s="356">
        <f t="shared" si="105"/>
        <v>360</v>
      </c>
      <c r="C383" s="357">
        <f t="shared" si="112"/>
        <v>29</v>
      </c>
      <c r="D383" s="357">
        <f t="shared" si="113"/>
        <v>12</v>
      </c>
      <c r="E383" s="357">
        <f t="shared" si="114"/>
        <v>58</v>
      </c>
      <c r="F383" s="356">
        <f t="shared" si="106"/>
        <v>713543.4980458886</v>
      </c>
      <c r="H383" s="356">
        <f t="shared" si="102"/>
        <v>5689.896055549135</v>
      </c>
      <c r="I383" s="356">
        <v>0</v>
      </c>
      <c r="J383" s="360">
        <f>-SUM(F383:H383)*$J$21</f>
        <v>-6473.10054691294</v>
      </c>
      <c r="K383" s="356">
        <f t="shared" si="107"/>
        <v>-712.7602935545248</v>
      </c>
      <c r="L383" s="356">
        <f t="shared" si="103"/>
        <v>712047.5332609703</v>
      </c>
      <c r="N383" s="356">
        <f t="shared" si="108"/>
        <v>360</v>
      </c>
      <c r="O383" s="357">
        <f t="shared" si="115"/>
        <v>29</v>
      </c>
      <c r="P383" s="357">
        <f t="shared" si="116"/>
        <v>12</v>
      </c>
      <c r="Q383" s="357">
        <f t="shared" si="117"/>
        <v>29</v>
      </c>
      <c r="R383" s="356">
        <f t="shared" si="109"/>
        <v>13811063.960418217</v>
      </c>
      <c r="S383" s="356">
        <f>IF($G$4="mensual",S382,0)</f>
        <v>10000</v>
      </c>
      <c r="U383" s="356">
        <f t="shared" si="118"/>
        <v>110211.10489723568</v>
      </c>
      <c r="V383" s="359">
        <f t="shared" si="120"/>
        <v>-237.64124063855644</v>
      </c>
      <c r="X383" s="359">
        <f t="shared" si="119"/>
        <v>-13931.275065315454</v>
      </c>
      <c r="Y383" s="356">
        <f t="shared" si="104"/>
        <v>13917106.1490095</v>
      </c>
      <c r="AA383" s="357">
        <f>+Bono!J383</f>
        <v>367348.39396914584</v>
      </c>
      <c r="AC383" s="378">
        <f t="shared" si="110"/>
        <v>30</v>
      </c>
      <c r="AD383" s="356">
        <f t="shared" si="111"/>
        <v>14996502.076239616</v>
      </c>
    </row>
    <row r="384" spans="2:30" x14ac:dyDescent="0.25">
      <c r="B384" s="356">
        <f t="shared" si="105"/>
        <v>361</v>
      </c>
      <c r="C384" s="357">
        <f t="shared" si="112"/>
        <v>30</v>
      </c>
      <c r="D384" s="357">
        <f t="shared" si="113"/>
        <v>1</v>
      </c>
      <c r="E384" s="357">
        <f t="shared" si="114"/>
        <v>59</v>
      </c>
      <c r="F384" s="356">
        <f t="shared" si="106"/>
        <v>712047.5332609703</v>
      </c>
      <c r="H384" s="356">
        <f t="shared" si="102"/>
        <v>5677.967022277501</v>
      </c>
      <c r="I384" s="356">
        <v>0</v>
      </c>
      <c r="J384" s="356">
        <v>0</v>
      </c>
      <c r="K384" s="356">
        <f t="shared" si="107"/>
        <v>-717.7255002832478</v>
      </c>
      <c r="L384" s="356">
        <f t="shared" si="103"/>
        <v>717007.7747829645</v>
      </c>
      <c r="N384" s="356">
        <f t="shared" si="108"/>
        <v>361</v>
      </c>
      <c r="O384" s="357">
        <f t="shared" si="115"/>
        <v>30</v>
      </c>
      <c r="P384" s="357">
        <f t="shared" si="116"/>
        <v>1</v>
      </c>
      <c r="Q384" s="357">
        <f t="shared" si="117"/>
        <v>30</v>
      </c>
      <c r="R384" s="356">
        <f t="shared" si="109"/>
        <v>13917106.1490095</v>
      </c>
      <c r="S384" s="356">
        <f>IF($G$17="si",S372*(1+$G$20),S372)</f>
        <v>10000</v>
      </c>
      <c r="U384" s="356">
        <f t="shared" si="118"/>
        <v>111056.70020045087</v>
      </c>
      <c r="V384" s="359">
        <f>(V383*(1+$G$18))</f>
        <v>-247.14689026409872</v>
      </c>
      <c r="X384" s="359">
        <f t="shared" si="119"/>
        <v>-14038.162849209952</v>
      </c>
      <c r="Y384" s="356">
        <f t="shared" si="104"/>
        <v>14023877.539470477</v>
      </c>
      <c r="AA384" s="357">
        <f>+Bono!J384</f>
        <v>369625.9966215309</v>
      </c>
      <c r="AC384" s="378">
        <f t="shared" si="110"/>
        <v>30.083333333333332</v>
      </c>
      <c r="AD384" s="356">
        <f t="shared" si="111"/>
        <v>15110511.310874972</v>
      </c>
    </row>
    <row r="385" spans="2:30" x14ac:dyDescent="0.25">
      <c r="B385" s="356">
        <f t="shared" si="105"/>
        <v>362</v>
      </c>
      <c r="C385" s="357">
        <f t="shared" si="112"/>
        <v>30</v>
      </c>
      <c r="D385" s="357">
        <f t="shared" si="113"/>
        <v>2</v>
      </c>
      <c r="E385" s="357">
        <f t="shared" si="114"/>
        <v>59</v>
      </c>
      <c r="F385" s="356">
        <f t="shared" si="106"/>
        <v>717007.7747829645</v>
      </c>
      <c r="H385" s="356">
        <f t="shared" si="102"/>
        <v>5717.520684735162</v>
      </c>
      <c r="I385" s="356">
        <v>0</v>
      </c>
      <c r="J385" s="356">
        <v>0</v>
      </c>
      <c r="K385" s="356">
        <f t="shared" si="107"/>
        <v>-722.7252954676997</v>
      </c>
      <c r="L385" s="356">
        <f t="shared" si="103"/>
        <v>722002.570172232</v>
      </c>
      <c r="N385" s="356">
        <f t="shared" si="108"/>
        <v>362</v>
      </c>
      <c r="O385" s="357">
        <f t="shared" si="115"/>
        <v>30</v>
      </c>
      <c r="P385" s="357">
        <f t="shared" si="116"/>
        <v>2</v>
      </c>
      <c r="Q385" s="357">
        <f t="shared" si="117"/>
        <v>30</v>
      </c>
      <c r="R385" s="356">
        <f t="shared" si="109"/>
        <v>14023877.539470477</v>
      </c>
      <c r="S385" s="356">
        <f>IF($G$4="mensual",S384,0)</f>
        <v>10000</v>
      </c>
      <c r="U385" s="356">
        <f t="shared" si="118"/>
        <v>111908.11026177602</v>
      </c>
      <c r="V385" s="359">
        <f t="shared" si="120"/>
        <v>-247.14689026409872</v>
      </c>
      <c r="X385" s="359">
        <f t="shared" si="119"/>
        <v>-14145.785649732254</v>
      </c>
      <c r="Y385" s="356">
        <f t="shared" si="104"/>
        <v>14131392.717192257</v>
      </c>
      <c r="AA385" s="357">
        <f>+Bono!J385</f>
        <v>371917.7206745463</v>
      </c>
      <c r="AC385" s="378">
        <f t="shared" si="110"/>
        <v>30.166666666666668</v>
      </c>
      <c r="AD385" s="356">
        <f t="shared" si="111"/>
        <v>15225313.008039035</v>
      </c>
    </row>
    <row r="386" spans="2:30" x14ac:dyDescent="0.25">
      <c r="B386" s="356">
        <f t="shared" si="105"/>
        <v>363</v>
      </c>
      <c r="C386" s="357">
        <f t="shared" si="112"/>
        <v>30</v>
      </c>
      <c r="D386" s="357">
        <f t="shared" si="113"/>
        <v>3</v>
      </c>
      <c r="E386" s="357">
        <f t="shared" si="114"/>
        <v>59</v>
      </c>
      <c r="F386" s="356">
        <f t="shared" si="106"/>
        <v>722002.570172232</v>
      </c>
      <c r="H386" s="356">
        <f t="shared" si="102"/>
        <v>5757.349884582823</v>
      </c>
      <c r="I386" s="356">
        <v>0</v>
      </c>
      <c r="J386" s="360">
        <f>-SUM(F386:H386)*$J$21</f>
        <v>-6549.8392805113335</v>
      </c>
      <c r="K386" s="356">
        <f t="shared" si="107"/>
        <v>-721.2100807763035</v>
      </c>
      <c r="L386" s="356">
        <f t="shared" si="103"/>
        <v>720488.8706955272</v>
      </c>
      <c r="N386" s="356">
        <f t="shared" si="108"/>
        <v>363</v>
      </c>
      <c r="O386" s="357">
        <f t="shared" si="115"/>
        <v>30</v>
      </c>
      <c r="P386" s="357">
        <f t="shared" si="116"/>
        <v>3</v>
      </c>
      <c r="Q386" s="357">
        <f t="shared" si="117"/>
        <v>30</v>
      </c>
      <c r="R386" s="356">
        <f t="shared" si="109"/>
        <v>14131392.717192257</v>
      </c>
      <c r="S386" s="356">
        <f>IF($G$4="mensual",S385,0)</f>
        <v>10000</v>
      </c>
      <c r="U386" s="356">
        <f t="shared" si="118"/>
        <v>112765.45138716802</v>
      </c>
      <c r="V386" s="359">
        <f t="shared" si="120"/>
        <v>-247.14689026409872</v>
      </c>
      <c r="X386" s="359">
        <f t="shared" si="119"/>
        <v>-14254.158168579426</v>
      </c>
      <c r="Y386" s="356">
        <f t="shared" si="104"/>
        <v>14239656.863520583</v>
      </c>
      <c r="AA386" s="357">
        <f>+Bono!J386</f>
        <v>370852.2694151039</v>
      </c>
      <c r="AC386" s="378">
        <f t="shared" si="110"/>
        <v>30.25</v>
      </c>
      <c r="AD386" s="356">
        <f t="shared" si="111"/>
        <v>15330998.003631216</v>
      </c>
    </row>
    <row r="387" spans="2:30" x14ac:dyDescent="0.25">
      <c r="B387" s="356">
        <f t="shared" si="105"/>
        <v>364</v>
      </c>
      <c r="C387" s="357">
        <f t="shared" si="112"/>
        <v>30</v>
      </c>
      <c r="D387" s="357">
        <f t="shared" si="113"/>
        <v>4</v>
      </c>
      <c r="E387" s="357">
        <f t="shared" si="114"/>
        <v>59</v>
      </c>
      <c r="F387" s="356">
        <f t="shared" si="106"/>
        <v>720488.8706955272</v>
      </c>
      <c r="H387" s="356">
        <f t="shared" si="102"/>
        <v>5745.27943238842</v>
      </c>
      <c r="I387" s="356">
        <v>0</v>
      </c>
      <c r="J387" s="356">
        <v>0</v>
      </c>
      <c r="K387" s="356">
        <f t="shared" si="107"/>
        <v>-726.2341501279155</v>
      </c>
      <c r="L387" s="356">
        <f t="shared" si="103"/>
        <v>725507.9159777876</v>
      </c>
      <c r="N387" s="356">
        <f t="shared" si="108"/>
        <v>364</v>
      </c>
      <c r="O387" s="357">
        <f t="shared" si="115"/>
        <v>30</v>
      </c>
      <c r="P387" s="357">
        <f t="shared" si="116"/>
        <v>4</v>
      </c>
      <c r="Q387" s="357">
        <f t="shared" si="117"/>
        <v>30</v>
      </c>
      <c r="R387" s="356">
        <f t="shared" si="109"/>
        <v>14239656.863520583</v>
      </c>
      <c r="S387" s="356">
        <f>IF($G$4="mensual",S384,IF($G$4="trimestral",S384,0))</f>
        <v>10000</v>
      </c>
      <c r="U387" s="356">
        <f t="shared" si="118"/>
        <v>113628.76489340549</v>
      </c>
      <c r="V387" s="359">
        <f t="shared" si="120"/>
        <v>-247.14689026409872</v>
      </c>
      <c r="X387" s="359">
        <f t="shared" si="119"/>
        <v>-14363.285628413989</v>
      </c>
      <c r="Y387" s="356">
        <f t="shared" si="104"/>
        <v>14348675.19589531</v>
      </c>
      <c r="AA387" s="357">
        <f>+Bono!J387</f>
        <v>373151.5965016783</v>
      </c>
      <c r="AC387" s="378">
        <f t="shared" si="110"/>
        <v>30.333333333333332</v>
      </c>
      <c r="AD387" s="356">
        <f t="shared" si="111"/>
        <v>15447334.708374776</v>
      </c>
    </row>
    <row r="388" spans="2:30" x14ac:dyDescent="0.25">
      <c r="B388" s="356">
        <f t="shared" si="105"/>
        <v>365</v>
      </c>
      <c r="C388" s="357">
        <f t="shared" si="112"/>
        <v>30</v>
      </c>
      <c r="D388" s="357">
        <f t="shared" si="113"/>
        <v>5</v>
      </c>
      <c r="E388" s="357">
        <f t="shared" si="114"/>
        <v>59</v>
      </c>
      <c r="F388" s="356">
        <f t="shared" si="106"/>
        <v>725507.9159777876</v>
      </c>
      <c r="H388" s="356">
        <f t="shared" si="102"/>
        <v>5785.302004288191</v>
      </c>
      <c r="I388" s="356">
        <v>0</v>
      </c>
      <c r="J388" s="356">
        <v>0</v>
      </c>
      <c r="K388" s="356">
        <f t="shared" si="107"/>
        <v>-731.2932179820758</v>
      </c>
      <c r="L388" s="356">
        <f t="shared" si="103"/>
        <v>730561.9247640937</v>
      </c>
      <c r="N388" s="356">
        <f t="shared" si="108"/>
        <v>365</v>
      </c>
      <c r="O388" s="357">
        <f t="shared" si="115"/>
        <v>30</v>
      </c>
      <c r="P388" s="357">
        <f t="shared" si="116"/>
        <v>5</v>
      </c>
      <c r="Q388" s="357">
        <f t="shared" si="117"/>
        <v>30</v>
      </c>
      <c r="R388" s="356">
        <f t="shared" si="109"/>
        <v>14348675.19589531</v>
      </c>
      <c r="S388" s="356">
        <f>IF($G$4="mensual",S387,0)</f>
        <v>10000</v>
      </c>
      <c r="U388" s="356">
        <f t="shared" si="118"/>
        <v>114498.09238508648</v>
      </c>
      <c r="V388" s="359">
        <f t="shared" si="120"/>
        <v>-247.14689026409872</v>
      </c>
      <c r="X388" s="359">
        <f t="shared" si="119"/>
        <v>-14473.173288280397</v>
      </c>
      <c r="Y388" s="356">
        <f t="shared" si="104"/>
        <v>14458452.968101854</v>
      </c>
      <c r="AA388" s="357">
        <f>+Bono!J388</f>
        <v>375465.17968289484</v>
      </c>
      <c r="AC388" s="378">
        <f t="shared" si="110"/>
        <v>30.416666666666668</v>
      </c>
      <c r="AD388" s="356">
        <f t="shared" si="111"/>
        <v>15564480.072548842</v>
      </c>
    </row>
    <row r="389" spans="2:30" x14ac:dyDescent="0.25">
      <c r="B389" s="356">
        <f t="shared" si="105"/>
        <v>366</v>
      </c>
      <c r="C389" s="357">
        <f t="shared" si="112"/>
        <v>30</v>
      </c>
      <c r="D389" s="357">
        <f t="shared" si="113"/>
        <v>6</v>
      </c>
      <c r="E389" s="357">
        <f t="shared" si="114"/>
        <v>59</v>
      </c>
      <c r="F389" s="356">
        <f t="shared" si="106"/>
        <v>730561.9247640937</v>
      </c>
      <c r="H389" s="356">
        <f t="shared" si="102"/>
        <v>5825.60338007911</v>
      </c>
      <c r="I389" s="356">
        <v>0</v>
      </c>
      <c r="J389" s="360">
        <f>-SUM(F389:H389)*$J$21</f>
        <v>-6627.487753297556</v>
      </c>
      <c r="K389" s="356">
        <f t="shared" si="107"/>
        <v>-729.7600403908754</v>
      </c>
      <c r="L389" s="356">
        <f t="shared" si="103"/>
        <v>729030.2803504844</v>
      </c>
      <c r="N389" s="356">
        <f t="shared" si="108"/>
        <v>366</v>
      </c>
      <c r="O389" s="357">
        <f t="shared" si="115"/>
        <v>30</v>
      </c>
      <c r="P389" s="357">
        <f t="shared" si="116"/>
        <v>6</v>
      </c>
      <c r="Q389" s="357">
        <f t="shared" si="117"/>
        <v>30</v>
      </c>
      <c r="R389" s="356">
        <f t="shared" si="109"/>
        <v>14458452.968101854</v>
      </c>
      <c r="S389" s="356">
        <f>IF($G$4="mensual",S388,0)</f>
        <v>10000</v>
      </c>
      <c r="U389" s="356">
        <f t="shared" si="118"/>
        <v>115373.47575663365</v>
      </c>
      <c r="V389" s="359">
        <f t="shared" si="120"/>
        <v>-247.14689026409872</v>
      </c>
      <c r="X389" s="359">
        <f t="shared" si="119"/>
        <v>-14583.826443858488</v>
      </c>
      <c r="Y389" s="356">
        <f t="shared" si="104"/>
        <v>14568995.470524365</v>
      </c>
      <c r="AA389" s="357">
        <f>+Bono!J389</f>
        <v>374389.5658405526</v>
      </c>
      <c r="AC389" s="378">
        <f t="shared" si="110"/>
        <v>30.5</v>
      </c>
      <c r="AD389" s="356">
        <f t="shared" si="111"/>
        <v>15672415.316715403</v>
      </c>
    </row>
    <row r="390" spans="2:30" x14ac:dyDescent="0.25">
      <c r="B390" s="356">
        <f t="shared" si="105"/>
        <v>367</v>
      </c>
      <c r="C390" s="357">
        <f t="shared" si="112"/>
        <v>30</v>
      </c>
      <c r="D390" s="357">
        <f t="shared" si="113"/>
        <v>7</v>
      </c>
      <c r="E390" s="357">
        <f t="shared" si="114"/>
        <v>59</v>
      </c>
      <c r="F390" s="356">
        <f t="shared" si="106"/>
        <v>729030.2803504844</v>
      </c>
      <c r="H390" s="356">
        <f t="shared" si="102"/>
        <v>5813.389832437843</v>
      </c>
      <c r="I390" s="356">
        <v>0</v>
      </c>
      <c r="J390" s="356">
        <v>0</v>
      </c>
      <c r="K390" s="356">
        <f t="shared" si="107"/>
        <v>-734.8436701829223</v>
      </c>
      <c r="L390" s="356">
        <f t="shared" si="103"/>
        <v>734108.8265127393</v>
      </c>
      <c r="N390" s="356">
        <f t="shared" si="108"/>
        <v>367</v>
      </c>
      <c r="O390" s="357">
        <f t="shared" si="115"/>
        <v>30</v>
      </c>
      <c r="P390" s="357">
        <f t="shared" si="116"/>
        <v>7</v>
      </c>
      <c r="Q390" s="357">
        <f t="shared" si="117"/>
        <v>30</v>
      </c>
      <c r="R390" s="356">
        <f t="shared" si="109"/>
        <v>14568995.470524365</v>
      </c>
      <c r="S390" s="356">
        <f>+IF($G$4="mensual",S384,IF($G$4="trimestral",S384,IF($G$4="semestral",S384,0)))</f>
        <v>10000</v>
      </c>
      <c r="U390" s="356">
        <f t="shared" si="118"/>
        <v>116254.9571943132</v>
      </c>
      <c r="V390" s="359">
        <f t="shared" si="120"/>
        <v>-247.14689026409872</v>
      </c>
      <c r="X390" s="359">
        <f t="shared" si="119"/>
        <v>-14695.250427718678</v>
      </c>
      <c r="Y390" s="356">
        <f t="shared" si="104"/>
        <v>14680308.030400695</v>
      </c>
      <c r="AA390" s="357">
        <f>+Bono!J390</f>
        <v>376710.8245752658</v>
      </c>
      <c r="AC390" s="378">
        <f t="shared" si="110"/>
        <v>30.583333333333332</v>
      </c>
      <c r="AD390" s="356">
        <f t="shared" si="111"/>
        <v>15791127.6814887</v>
      </c>
    </row>
    <row r="391" spans="2:30" x14ac:dyDescent="0.25">
      <c r="B391" s="356">
        <f t="shared" si="105"/>
        <v>368</v>
      </c>
      <c r="C391" s="357">
        <f t="shared" si="112"/>
        <v>30</v>
      </c>
      <c r="D391" s="357">
        <f t="shared" si="113"/>
        <v>8</v>
      </c>
      <c r="E391" s="357">
        <f t="shared" si="114"/>
        <v>59</v>
      </c>
      <c r="F391" s="356">
        <f t="shared" si="106"/>
        <v>734108.8265127393</v>
      </c>
      <c r="H391" s="356">
        <f t="shared" si="102"/>
        <v>5853.886872710334</v>
      </c>
      <c r="I391" s="356">
        <v>0</v>
      </c>
      <c r="J391" s="356">
        <v>0</v>
      </c>
      <c r="K391" s="356">
        <f t="shared" si="107"/>
        <v>-739.9627133854497</v>
      </c>
      <c r="L391" s="356">
        <f t="shared" si="103"/>
        <v>739222.7506720641</v>
      </c>
      <c r="N391" s="356">
        <f t="shared" si="108"/>
        <v>368</v>
      </c>
      <c r="O391" s="357">
        <f t="shared" si="115"/>
        <v>30</v>
      </c>
      <c r="P391" s="357">
        <f t="shared" si="116"/>
        <v>8</v>
      </c>
      <c r="Q391" s="357">
        <f t="shared" si="117"/>
        <v>30</v>
      </c>
      <c r="R391" s="356">
        <f t="shared" si="109"/>
        <v>14680308.030400695</v>
      </c>
      <c r="S391" s="356">
        <f>IF($G$4="mensual",S390,0)</f>
        <v>10000</v>
      </c>
      <c r="U391" s="356">
        <f t="shared" si="118"/>
        <v>117142.57917826781</v>
      </c>
      <c r="V391" s="359">
        <f t="shared" si="120"/>
        <v>-247.14689026409872</v>
      </c>
      <c r="X391" s="359">
        <f t="shared" si="119"/>
        <v>-14807.450609578964</v>
      </c>
      <c r="Y391" s="356">
        <f t="shared" si="104"/>
        <v>14792396.01207912</v>
      </c>
      <c r="AA391" s="357">
        <f>+Bono!J391</f>
        <v>379046.4753833835</v>
      </c>
      <c r="AC391" s="378">
        <f t="shared" si="110"/>
        <v>30.666666666666668</v>
      </c>
      <c r="AD391" s="356">
        <f t="shared" si="111"/>
        <v>15910665.238134569</v>
      </c>
    </row>
    <row r="392" spans="2:30" x14ac:dyDescent="0.25">
      <c r="B392" s="356">
        <f t="shared" si="105"/>
        <v>369</v>
      </c>
      <c r="C392" s="357">
        <f t="shared" si="112"/>
        <v>30</v>
      </c>
      <c r="D392" s="357">
        <f t="shared" si="113"/>
        <v>9</v>
      </c>
      <c r="E392" s="357">
        <f t="shared" si="114"/>
        <v>59</v>
      </c>
      <c r="F392" s="356">
        <f t="shared" si="106"/>
        <v>739222.7506720641</v>
      </c>
      <c r="H392" s="356">
        <f t="shared" si="102"/>
        <v>5894.666022099554</v>
      </c>
      <c r="I392" s="356">
        <v>0</v>
      </c>
      <c r="J392" s="360">
        <f>-SUM(F392:H392)*$J$21</f>
        <v>-6706.056750247474</v>
      </c>
      <c r="K392" s="356">
        <f t="shared" si="107"/>
        <v>-738.4113599439162</v>
      </c>
      <c r="L392" s="356">
        <f t="shared" si="103"/>
        <v>737672.9485839723</v>
      </c>
      <c r="N392" s="356">
        <f t="shared" si="108"/>
        <v>369</v>
      </c>
      <c r="O392" s="357">
        <f t="shared" si="115"/>
        <v>30</v>
      </c>
      <c r="P392" s="357">
        <f t="shared" si="116"/>
        <v>9</v>
      </c>
      <c r="Q392" s="357">
        <f t="shared" si="117"/>
        <v>30</v>
      </c>
      <c r="R392" s="356">
        <f t="shared" si="109"/>
        <v>14792396.01207912</v>
      </c>
      <c r="S392" s="356">
        <f>IF($G$4="mensual",S391,0)</f>
        <v>10000</v>
      </c>
      <c r="U392" s="356">
        <f t="shared" si="118"/>
        <v>118036.38448456397</v>
      </c>
      <c r="V392" s="359">
        <f t="shared" si="120"/>
        <v>-247.14689026409872</v>
      </c>
      <c r="X392" s="359">
        <f t="shared" si="119"/>
        <v>-14920.432396563685</v>
      </c>
      <c r="Y392" s="356">
        <f t="shared" si="104"/>
        <v>14905264.817276858</v>
      </c>
      <c r="AA392" s="357">
        <f>+Bono!J392</f>
        <v>377960.60202448047</v>
      </c>
      <c r="AC392" s="378">
        <f t="shared" si="110"/>
        <v>30.75</v>
      </c>
      <c r="AD392" s="356">
        <f t="shared" si="111"/>
        <v>16020898.36788531</v>
      </c>
    </row>
    <row r="393" spans="2:30" x14ac:dyDescent="0.25">
      <c r="B393" s="356">
        <f t="shared" si="105"/>
        <v>370</v>
      </c>
      <c r="C393" s="357">
        <f t="shared" si="112"/>
        <v>30</v>
      </c>
      <c r="D393" s="357">
        <f t="shared" si="113"/>
        <v>10</v>
      </c>
      <c r="E393" s="357">
        <f t="shared" si="114"/>
        <v>59</v>
      </c>
      <c r="F393" s="356">
        <f t="shared" si="106"/>
        <v>737672.9485839723</v>
      </c>
      <c r="H393" s="356">
        <f t="shared" si="102"/>
        <v>5882.307682612101</v>
      </c>
      <c r="I393" s="356">
        <v>0</v>
      </c>
      <c r="J393" s="356">
        <v>0</v>
      </c>
      <c r="K393" s="356">
        <f t="shared" si="107"/>
        <v>-743.5552562665844</v>
      </c>
      <c r="L393" s="356">
        <f t="shared" si="103"/>
        <v>742811.7010103178</v>
      </c>
      <c r="N393" s="356">
        <f t="shared" si="108"/>
        <v>370</v>
      </c>
      <c r="O393" s="357">
        <f t="shared" si="115"/>
        <v>30</v>
      </c>
      <c r="P393" s="357">
        <f t="shared" si="116"/>
        <v>10</v>
      </c>
      <c r="Q393" s="357">
        <f t="shared" si="117"/>
        <v>30</v>
      </c>
      <c r="R393" s="356">
        <f t="shared" si="109"/>
        <v>14905264.817276858</v>
      </c>
      <c r="S393" s="356">
        <f>IF($G$4="mensual",S384,IF($G$4="trimestral",S384,0))</f>
        <v>10000</v>
      </c>
      <c r="U393" s="356">
        <f t="shared" si="118"/>
        <v>118936.41618725332</v>
      </c>
      <c r="V393" s="359">
        <f t="shared" si="120"/>
        <v>-247.14689026409872</v>
      </c>
      <c r="X393" s="359">
        <f t="shared" si="119"/>
        <v>-15034.201233464111</v>
      </c>
      <c r="Y393" s="356">
        <f t="shared" si="104"/>
        <v>15018919.885340383</v>
      </c>
      <c r="AA393" s="357">
        <f>+Bono!J393</f>
        <v>380304.00159774855</v>
      </c>
      <c r="AC393" s="378">
        <f t="shared" si="110"/>
        <v>30.833333333333332</v>
      </c>
      <c r="AD393" s="356">
        <f t="shared" si="111"/>
        <v>16142035.58794845</v>
      </c>
    </row>
    <row r="394" spans="2:30" x14ac:dyDescent="0.25">
      <c r="B394" s="356">
        <f t="shared" si="105"/>
        <v>371</v>
      </c>
      <c r="C394" s="357">
        <f t="shared" si="112"/>
        <v>30</v>
      </c>
      <c r="D394" s="357">
        <f t="shared" si="113"/>
        <v>11</v>
      </c>
      <c r="E394" s="357">
        <f t="shared" si="114"/>
        <v>59</v>
      </c>
      <c r="F394" s="356">
        <f t="shared" si="106"/>
        <v>742811.7010103178</v>
      </c>
      <c r="H394" s="356">
        <f t="shared" si="102"/>
        <v>5923.28481608915</v>
      </c>
      <c r="I394" s="356">
        <v>0</v>
      </c>
      <c r="J394" s="356">
        <v>0</v>
      </c>
      <c r="K394" s="356">
        <f t="shared" si="107"/>
        <v>-748.734985826407</v>
      </c>
      <c r="L394" s="356">
        <f t="shared" si="103"/>
        <v>747986.2508405806</v>
      </c>
      <c r="N394" s="356">
        <f t="shared" si="108"/>
        <v>371</v>
      </c>
      <c r="O394" s="357">
        <f t="shared" si="115"/>
        <v>30</v>
      </c>
      <c r="P394" s="357">
        <f t="shared" si="116"/>
        <v>11</v>
      </c>
      <c r="Q394" s="357">
        <f t="shared" si="117"/>
        <v>30</v>
      </c>
      <c r="R394" s="356">
        <f t="shared" si="109"/>
        <v>15018919.885340383</v>
      </c>
      <c r="S394" s="356">
        <f>IF($G$17="si",S382*(1+$G$20),S382)</f>
        <v>10000</v>
      </c>
      <c r="U394" s="356">
        <f t="shared" si="118"/>
        <v>119842.71766044847</v>
      </c>
      <c r="V394" s="359">
        <f t="shared" si="120"/>
        <v>-247.14689026409872</v>
      </c>
      <c r="X394" s="359">
        <f t="shared" si="119"/>
        <v>-15148.76260300083</v>
      </c>
      <c r="Y394" s="356">
        <f t="shared" si="104"/>
        <v>15133366.693507565</v>
      </c>
      <c r="AA394" s="357">
        <f>+Bono!J394</f>
        <v>382661.9305201884</v>
      </c>
      <c r="AC394" s="378">
        <f t="shared" si="110"/>
        <v>30.916666666666668</v>
      </c>
      <c r="AD394" s="356">
        <f t="shared" si="111"/>
        <v>16264014.874868333</v>
      </c>
    </row>
    <row r="395" spans="2:30" x14ac:dyDescent="0.25">
      <c r="B395" s="356">
        <f t="shared" si="105"/>
        <v>372</v>
      </c>
      <c r="C395" s="357">
        <f t="shared" si="112"/>
        <v>30</v>
      </c>
      <c r="D395" s="357">
        <f t="shared" si="113"/>
        <v>12</v>
      </c>
      <c r="E395" s="357">
        <f t="shared" si="114"/>
        <v>59</v>
      </c>
      <c r="F395" s="356">
        <f t="shared" si="106"/>
        <v>747986.2508405806</v>
      </c>
      <c r="H395" s="356">
        <f t="shared" si="102"/>
        <v>5964.547403092026</v>
      </c>
      <c r="I395" s="356">
        <v>0</v>
      </c>
      <c r="J395" s="360">
        <f>-SUM(F395:H395)*$J$21</f>
        <v>-6785.557184193054</v>
      </c>
      <c r="K395" s="356">
        <f t="shared" si="107"/>
        <v>-747.1652410594795</v>
      </c>
      <c r="L395" s="356">
        <f t="shared" si="103"/>
        <v>746418.07581842</v>
      </c>
      <c r="N395" s="356">
        <f t="shared" si="108"/>
        <v>372</v>
      </c>
      <c r="O395" s="357">
        <f t="shared" si="115"/>
        <v>30</v>
      </c>
      <c r="P395" s="357">
        <f t="shared" si="116"/>
        <v>12</v>
      </c>
      <c r="Q395" s="357">
        <f t="shared" si="117"/>
        <v>30</v>
      </c>
      <c r="R395" s="356">
        <f t="shared" si="109"/>
        <v>15133366.693507565</v>
      </c>
      <c r="S395" s="356">
        <f>IF($G$4="mensual",S394,0)</f>
        <v>10000</v>
      </c>
      <c r="U395" s="356">
        <f t="shared" si="118"/>
        <v>120755.3325804134</v>
      </c>
      <c r="V395" s="359">
        <f t="shared" si="120"/>
        <v>-247.14689026409872</v>
      </c>
      <c r="X395" s="359">
        <f t="shared" si="119"/>
        <v>-15264.12202608798</v>
      </c>
      <c r="Y395" s="356">
        <f t="shared" si="104"/>
        <v>15248610.757171627</v>
      </c>
      <c r="AA395" s="357">
        <f>+Bono!J395</f>
        <v>381565.6997864822</v>
      </c>
      <c r="AC395" s="378">
        <f t="shared" si="110"/>
        <v>31</v>
      </c>
      <c r="AD395" s="356">
        <f t="shared" si="111"/>
        <v>16376594.532776529</v>
      </c>
    </row>
    <row r="396" spans="2:30" x14ac:dyDescent="0.25">
      <c r="B396" s="356">
        <f t="shared" si="105"/>
        <v>373</v>
      </c>
      <c r="C396" s="357">
        <f t="shared" si="112"/>
        <v>31</v>
      </c>
      <c r="D396" s="357">
        <f t="shared" si="113"/>
        <v>1</v>
      </c>
      <c r="E396" s="357">
        <f t="shared" si="114"/>
        <v>60</v>
      </c>
      <c r="F396" s="356">
        <f t="shared" si="106"/>
        <v>746418.07581842</v>
      </c>
      <c r="H396" s="356">
        <f t="shared" si="102"/>
        <v>5952.042555248218</v>
      </c>
      <c r="I396" s="356">
        <v>0</v>
      </c>
      <c r="J396" s="356">
        <v>0</v>
      </c>
      <c r="K396" s="356">
        <f t="shared" si="107"/>
        <v>-752.3701183736683</v>
      </c>
      <c r="L396" s="356">
        <f t="shared" si="103"/>
        <v>751617.7482552946</v>
      </c>
      <c r="N396" s="356">
        <f t="shared" si="108"/>
        <v>373</v>
      </c>
      <c r="O396" s="357">
        <f t="shared" si="115"/>
        <v>31</v>
      </c>
      <c r="P396" s="357">
        <f t="shared" si="116"/>
        <v>1</v>
      </c>
      <c r="Q396" s="357">
        <f t="shared" si="117"/>
        <v>31</v>
      </c>
      <c r="R396" s="356">
        <f t="shared" si="109"/>
        <v>15248610.757171627</v>
      </c>
      <c r="S396" s="356">
        <f>IF($G$17="si",S384*(1+$G$20),S384)</f>
        <v>10000</v>
      </c>
      <c r="U396" s="356">
        <f t="shared" si="118"/>
        <v>121674.30492766816</v>
      </c>
      <c r="V396" s="359">
        <f>(V395*(1+$G$18))</f>
        <v>-257.0327658746627</v>
      </c>
      <c r="X396" s="359">
        <f t="shared" si="119"/>
        <v>-15380.285062099296</v>
      </c>
      <c r="Y396" s="356">
        <f t="shared" si="104"/>
        <v>15364647.744271321</v>
      </c>
      <c r="AA396" s="357">
        <f>+Bono!J396</f>
        <v>383931.4513840402</v>
      </c>
      <c r="AC396" s="378">
        <f t="shared" si="110"/>
        <v>31.083333333333332</v>
      </c>
      <c r="AD396" s="356">
        <f t="shared" si="111"/>
        <v>16500196.943910655</v>
      </c>
    </row>
    <row r="397" spans="2:30" x14ac:dyDescent="0.25">
      <c r="B397" s="356">
        <f t="shared" si="105"/>
        <v>374</v>
      </c>
      <c r="C397" s="357">
        <f t="shared" si="112"/>
        <v>31</v>
      </c>
      <c r="D397" s="357">
        <f t="shared" si="113"/>
        <v>2</v>
      </c>
      <c r="E397" s="357">
        <f t="shared" si="114"/>
        <v>60</v>
      </c>
      <c r="F397" s="356">
        <f t="shared" si="106"/>
        <v>751617.7482552946</v>
      </c>
      <c r="H397" s="356">
        <f t="shared" si="102"/>
        <v>5993.505473444156</v>
      </c>
      <c r="I397" s="356">
        <v>0</v>
      </c>
      <c r="J397" s="356">
        <v>0</v>
      </c>
      <c r="K397" s="356">
        <f t="shared" si="107"/>
        <v>-757.6112537287388</v>
      </c>
      <c r="L397" s="356">
        <f t="shared" si="103"/>
        <v>756853.64247501</v>
      </c>
      <c r="N397" s="356">
        <f t="shared" si="108"/>
        <v>374</v>
      </c>
      <c r="O397" s="357">
        <f t="shared" si="115"/>
        <v>31</v>
      </c>
      <c r="P397" s="357">
        <f t="shared" si="116"/>
        <v>2</v>
      </c>
      <c r="Q397" s="357">
        <f t="shared" si="117"/>
        <v>31</v>
      </c>
      <c r="R397" s="356">
        <f t="shared" si="109"/>
        <v>15364647.744271321</v>
      </c>
      <c r="S397" s="356">
        <f>IF($G$4="mensual",S396,0)</f>
        <v>10000</v>
      </c>
      <c r="U397" s="356">
        <f t="shared" si="118"/>
        <v>122599.600157748</v>
      </c>
      <c r="V397" s="359">
        <f t="shared" si="120"/>
        <v>-257.0327658746627</v>
      </c>
      <c r="X397" s="359">
        <f t="shared" si="119"/>
        <v>-15497.24734442907</v>
      </c>
      <c r="Y397" s="356">
        <f t="shared" si="104"/>
        <v>15481493.064318767</v>
      </c>
      <c r="AA397" s="357">
        <f>+Bono!J397</f>
        <v>386311.8709159132</v>
      </c>
      <c r="AC397" s="378">
        <f t="shared" si="110"/>
        <v>31.166666666666668</v>
      </c>
      <c r="AD397" s="356">
        <f t="shared" si="111"/>
        <v>16624658.577709692</v>
      </c>
    </row>
    <row r="398" spans="2:30" x14ac:dyDescent="0.25">
      <c r="B398" s="356">
        <f t="shared" si="105"/>
        <v>375</v>
      </c>
      <c r="C398" s="357">
        <f t="shared" si="112"/>
        <v>31</v>
      </c>
      <c r="D398" s="357">
        <f t="shared" si="113"/>
        <v>3</v>
      </c>
      <c r="E398" s="357">
        <f t="shared" si="114"/>
        <v>60</v>
      </c>
      <c r="F398" s="356">
        <f t="shared" si="106"/>
        <v>756853.64247501</v>
      </c>
      <c r="H398" s="356">
        <f t="shared" si="102"/>
        <v>6035.2572292230525</v>
      </c>
      <c r="I398" s="356">
        <v>0</v>
      </c>
      <c r="J398" s="360">
        <f>-SUM(F398:H398)*$J$21</f>
        <v>-6866.000097338098</v>
      </c>
      <c r="K398" s="356">
        <f t="shared" si="107"/>
        <v>-756.022899606895</v>
      </c>
      <c r="L398" s="356">
        <f t="shared" si="103"/>
        <v>755266.8767072881</v>
      </c>
      <c r="N398" s="356">
        <f t="shared" si="108"/>
        <v>375</v>
      </c>
      <c r="O398" s="357">
        <f t="shared" si="115"/>
        <v>31</v>
      </c>
      <c r="P398" s="357">
        <f t="shared" si="116"/>
        <v>3</v>
      </c>
      <c r="Q398" s="357">
        <f t="shared" si="117"/>
        <v>31</v>
      </c>
      <c r="R398" s="356">
        <f t="shared" si="109"/>
        <v>15481493.064318767</v>
      </c>
      <c r="S398" s="356">
        <f>IF($G$4="mensual",S397,0)</f>
        <v>10000</v>
      </c>
      <c r="U398" s="356">
        <f t="shared" si="118"/>
        <v>123531.34114826654</v>
      </c>
      <c r="V398" s="359">
        <f t="shared" si="120"/>
        <v>-257.0327658746627</v>
      </c>
      <c r="X398" s="359">
        <f t="shared" si="119"/>
        <v>-15615.024405467033</v>
      </c>
      <c r="Y398" s="356">
        <f t="shared" si="104"/>
        <v>15599152.348295692</v>
      </c>
      <c r="AA398" s="357">
        <f>+Bono!J398</f>
        <v>385205.18401576125</v>
      </c>
      <c r="AC398" s="378">
        <f t="shared" si="110"/>
        <v>31.25</v>
      </c>
      <c r="AD398" s="356">
        <f t="shared" si="111"/>
        <v>16739624.409018742</v>
      </c>
    </row>
    <row r="399" spans="2:30" x14ac:dyDescent="0.25">
      <c r="B399" s="356">
        <f t="shared" si="105"/>
        <v>376</v>
      </c>
      <c r="C399" s="357">
        <f t="shared" si="112"/>
        <v>31</v>
      </c>
      <c r="D399" s="357">
        <f t="shared" si="113"/>
        <v>4</v>
      </c>
      <c r="E399" s="357">
        <f t="shared" si="114"/>
        <v>60</v>
      </c>
      <c r="F399" s="356">
        <f t="shared" si="106"/>
        <v>755266.8767072881</v>
      </c>
      <c r="H399" s="356">
        <f t="shared" si="102"/>
        <v>6022.604136163461</v>
      </c>
      <c r="I399" s="356">
        <v>0</v>
      </c>
      <c r="J399" s="356">
        <v>0</v>
      </c>
      <c r="K399" s="356">
        <f t="shared" si="107"/>
        <v>-761.2894808434515</v>
      </c>
      <c r="L399" s="356">
        <f t="shared" si="103"/>
        <v>760528.1913626081</v>
      </c>
      <c r="N399" s="356">
        <f t="shared" si="108"/>
        <v>376</v>
      </c>
      <c r="O399" s="357">
        <f t="shared" si="115"/>
        <v>31</v>
      </c>
      <c r="P399" s="357">
        <f t="shared" si="116"/>
        <v>4</v>
      </c>
      <c r="Q399" s="357">
        <f t="shared" si="117"/>
        <v>31</v>
      </c>
      <c r="R399" s="356">
        <f t="shared" si="109"/>
        <v>15599152.348295692</v>
      </c>
      <c r="S399" s="356">
        <f>IF($G$4="mensual",S396,IF($G$4="trimestral",S396,0))</f>
        <v>10000</v>
      </c>
      <c r="U399" s="356">
        <f t="shared" si="118"/>
        <v>124469.57280146281</v>
      </c>
      <c r="V399" s="359">
        <f t="shared" si="120"/>
        <v>-257.0327658746627</v>
      </c>
      <c r="X399" s="359">
        <f t="shared" si="119"/>
        <v>-15733.621921097156</v>
      </c>
      <c r="Y399" s="356">
        <f t="shared" si="104"/>
        <v>15717631.266410183</v>
      </c>
      <c r="AA399" s="357">
        <f>+Bono!J399</f>
        <v>387593.5008376948</v>
      </c>
      <c r="AC399" s="378">
        <f t="shared" si="110"/>
        <v>31.333333333333332</v>
      </c>
      <c r="AD399" s="356">
        <f t="shared" si="111"/>
        <v>16865752.958610486</v>
      </c>
    </row>
    <row r="400" spans="2:30" x14ac:dyDescent="0.25">
      <c r="B400" s="356">
        <f t="shared" si="105"/>
        <v>377</v>
      </c>
      <c r="C400" s="357">
        <f t="shared" si="112"/>
        <v>31</v>
      </c>
      <c r="D400" s="357">
        <f t="shared" si="113"/>
        <v>5</v>
      </c>
      <c r="E400" s="357">
        <f t="shared" si="114"/>
        <v>60</v>
      </c>
      <c r="F400" s="356">
        <f t="shared" si="106"/>
        <v>760528.1913626081</v>
      </c>
      <c r="H400" s="356">
        <f t="shared" si="102"/>
        <v>6064.5585980656315</v>
      </c>
      <c r="I400" s="356">
        <v>0</v>
      </c>
      <c r="J400" s="356">
        <v>0</v>
      </c>
      <c r="K400" s="356">
        <f t="shared" si="107"/>
        <v>-766.5927499606737</v>
      </c>
      <c r="L400" s="356">
        <f t="shared" si="103"/>
        <v>765826.157210713</v>
      </c>
      <c r="N400" s="356">
        <f t="shared" si="108"/>
        <v>377</v>
      </c>
      <c r="O400" s="357">
        <f t="shared" si="115"/>
        <v>31</v>
      </c>
      <c r="P400" s="357">
        <f t="shared" si="116"/>
        <v>5</v>
      </c>
      <c r="Q400" s="357">
        <f t="shared" si="117"/>
        <v>31</v>
      </c>
      <c r="R400" s="356">
        <f t="shared" si="109"/>
        <v>15717631.266410183</v>
      </c>
      <c r="S400" s="356">
        <f>IF($G$4="mensual",S399,0)</f>
        <v>10000</v>
      </c>
      <c r="U400" s="356">
        <f t="shared" si="118"/>
        <v>125414.34033237235</v>
      </c>
      <c r="V400" s="359">
        <f t="shared" si="120"/>
        <v>-257.0327658746627</v>
      </c>
      <c r="X400" s="359">
        <f t="shared" si="119"/>
        <v>-15853.045606742555</v>
      </c>
      <c r="Y400" s="356">
        <f t="shared" si="104"/>
        <v>15836935.528369939</v>
      </c>
      <c r="AA400" s="357">
        <f>+Bono!J400</f>
        <v>389996.6255009519</v>
      </c>
      <c r="AC400" s="378">
        <f t="shared" si="110"/>
        <v>31.416666666666668</v>
      </c>
      <c r="AD400" s="356">
        <f t="shared" si="111"/>
        <v>16992758.311081603</v>
      </c>
    </row>
    <row r="401" spans="2:30" x14ac:dyDescent="0.25">
      <c r="B401" s="356">
        <f t="shared" si="105"/>
        <v>378</v>
      </c>
      <c r="C401" s="357">
        <f t="shared" si="112"/>
        <v>31</v>
      </c>
      <c r="D401" s="357">
        <f t="shared" si="113"/>
        <v>6</v>
      </c>
      <c r="E401" s="357">
        <f t="shared" si="114"/>
        <v>60</v>
      </c>
      <c r="F401" s="356">
        <f t="shared" si="106"/>
        <v>765826.157210713</v>
      </c>
      <c r="H401" s="356">
        <f t="shared" si="102"/>
        <v>6106.805321725957</v>
      </c>
      <c r="I401" s="356">
        <v>0</v>
      </c>
      <c r="J401" s="360">
        <f>-SUM(F401:H401)*$J$21</f>
        <v>-6947.396662791951</v>
      </c>
      <c r="K401" s="356">
        <f t="shared" si="107"/>
        <v>-764.985565869647</v>
      </c>
      <c r="L401" s="356">
        <f t="shared" si="103"/>
        <v>764220.5803037774</v>
      </c>
      <c r="N401" s="356">
        <f t="shared" si="108"/>
        <v>378</v>
      </c>
      <c r="O401" s="357">
        <f t="shared" si="115"/>
        <v>31</v>
      </c>
      <c r="P401" s="357">
        <f t="shared" si="116"/>
        <v>6</v>
      </c>
      <c r="Q401" s="357">
        <f t="shared" si="117"/>
        <v>31</v>
      </c>
      <c r="R401" s="356">
        <f t="shared" si="109"/>
        <v>15836935.528369939</v>
      </c>
      <c r="S401" s="356">
        <f>IF($G$4="mensual",S400,0)</f>
        <v>10000</v>
      </c>
      <c r="U401" s="356">
        <f t="shared" si="118"/>
        <v>126365.68927100617</v>
      </c>
      <c r="V401" s="359">
        <f t="shared" si="120"/>
        <v>-257.0327658746627</v>
      </c>
      <c r="X401" s="359">
        <f t="shared" si="119"/>
        <v>-15973.301217640947</v>
      </c>
      <c r="Y401" s="356">
        <f t="shared" si="104"/>
        <v>15957070.88365743</v>
      </c>
      <c r="AA401" s="357">
        <f>+Bono!J401</f>
        <v>388879.38270040817</v>
      </c>
      <c r="AC401" s="378">
        <f t="shared" si="110"/>
        <v>31.5</v>
      </c>
      <c r="AD401" s="356">
        <f t="shared" si="111"/>
        <v>17110170.846661616</v>
      </c>
    </row>
    <row r="402" spans="2:30" x14ac:dyDescent="0.25">
      <c r="B402" s="356">
        <f t="shared" si="105"/>
        <v>379</v>
      </c>
      <c r="C402" s="357">
        <f t="shared" si="112"/>
        <v>31</v>
      </c>
      <c r="D402" s="357">
        <f t="shared" si="113"/>
        <v>7</v>
      </c>
      <c r="E402" s="357">
        <f t="shared" si="114"/>
        <v>60</v>
      </c>
      <c r="F402" s="356">
        <f t="shared" si="106"/>
        <v>764220.5803037774</v>
      </c>
      <c r="H402" s="356">
        <f t="shared" si="102"/>
        <v>6094.002226000647</v>
      </c>
      <c r="I402" s="356">
        <v>0</v>
      </c>
      <c r="J402" s="356">
        <v>0</v>
      </c>
      <c r="K402" s="356">
        <f t="shared" si="107"/>
        <v>-770.314582529778</v>
      </c>
      <c r="L402" s="356">
        <f t="shared" si="103"/>
        <v>769544.2679472482</v>
      </c>
      <c r="N402" s="356">
        <f t="shared" si="108"/>
        <v>379</v>
      </c>
      <c r="O402" s="357">
        <f t="shared" si="115"/>
        <v>31</v>
      </c>
      <c r="P402" s="357">
        <f t="shared" si="116"/>
        <v>7</v>
      </c>
      <c r="Q402" s="357">
        <f t="shared" si="117"/>
        <v>31</v>
      </c>
      <c r="R402" s="356">
        <f t="shared" si="109"/>
        <v>15957070.88365743</v>
      </c>
      <c r="S402" s="356">
        <f>+IF($G$4="mensual",S396,IF($G$4="trimestral",S396,IF($G$4="semestral",S396,0)))</f>
        <v>10000</v>
      </c>
      <c r="U402" s="356">
        <f t="shared" si="118"/>
        <v>127323.66546454486</v>
      </c>
      <c r="V402" s="359">
        <f t="shared" si="120"/>
        <v>-257.0327658746627</v>
      </c>
      <c r="X402" s="359">
        <f t="shared" si="119"/>
        <v>-16094.394549121975</v>
      </c>
      <c r="Y402" s="356">
        <f t="shared" si="104"/>
        <v>16078043.121806977</v>
      </c>
      <c r="AA402" s="357">
        <f>+Bono!J402</f>
        <v>391290.4799803671</v>
      </c>
      <c r="AC402" s="378">
        <f t="shared" si="110"/>
        <v>31.583333333333332</v>
      </c>
      <c r="AD402" s="356">
        <f t="shared" si="111"/>
        <v>17238877.869734593</v>
      </c>
    </row>
    <row r="403" spans="2:30" x14ac:dyDescent="0.25">
      <c r="B403" s="356">
        <f t="shared" si="105"/>
        <v>380</v>
      </c>
      <c r="C403" s="357">
        <f t="shared" si="112"/>
        <v>31</v>
      </c>
      <c r="D403" s="357">
        <f t="shared" si="113"/>
        <v>8</v>
      </c>
      <c r="E403" s="357">
        <f t="shared" si="114"/>
        <v>60</v>
      </c>
      <c r="F403" s="356">
        <f t="shared" si="106"/>
        <v>769544.2679472482</v>
      </c>
      <c r="H403" s="356">
        <f t="shared" si="102"/>
        <v>6136.454058869303</v>
      </c>
      <c r="I403" s="356">
        <v>0</v>
      </c>
      <c r="J403" s="356">
        <v>0</v>
      </c>
      <c r="K403" s="356">
        <f t="shared" si="107"/>
        <v>-775.6807220061174</v>
      </c>
      <c r="L403" s="356">
        <f t="shared" si="103"/>
        <v>774905.0412841113</v>
      </c>
      <c r="N403" s="356">
        <f t="shared" si="108"/>
        <v>380</v>
      </c>
      <c r="O403" s="357">
        <f t="shared" si="115"/>
        <v>31</v>
      </c>
      <c r="P403" s="357">
        <f t="shared" si="116"/>
        <v>8</v>
      </c>
      <c r="Q403" s="357">
        <f t="shared" si="117"/>
        <v>31</v>
      </c>
      <c r="R403" s="356">
        <f t="shared" si="109"/>
        <v>16078043.121806977</v>
      </c>
      <c r="S403" s="356">
        <f>IF($G$4="mensual",S402,0)</f>
        <v>10000</v>
      </c>
      <c r="U403" s="356">
        <f t="shared" si="118"/>
        <v>128288.31507954815</v>
      </c>
      <c r="V403" s="359">
        <f t="shared" si="120"/>
        <v>-257.0327658746627</v>
      </c>
      <c r="X403" s="359">
        <f t="shared" si="119"/>
        <v>-16216.331436886525</v>
      </c>
      <c r="Y403" s="356">
        <f t="shared" si="104"/>
        <v>16199858.072683763</v>
      </c>
      <c r="AA403" s="357">
        <f>+Bono!J403</f>
        <v>393716.52634313185</v>
      </c>
      <c r="AC403" s="378">
        <f t="shared" si="110"/>
        <v>31.666666666666668</v>
      </c>
      <c r="AD403" s="356">
        <f t="shared" si="111"/>
        <v>17368479.640311006</v>
      </c>
    </row>
    <row r="404" spans="2:30" x14ac:dyDescent="0.25">
      <c r="B404" s="356">
        <f t="shared" si="105"/>
        <v>381</v>
      </c>
      <c r="C404" s="357">
        <f t="shared" si="112"/>
        <v>31</v>
      </c>
      <c r="D404" s="357">
        <f t="shared" si="113"/>
        <v>9</v>
      </c>
      <c r="E404" s="357">
        <f t="shared" si="114"/>
        <v>60</v>
      </c>
      <c r="F404" s="356">
        <f t="shared" si="106"/>
        <v>774905.0412841113</v>
      </c>
      <c r="H404" s="356">
        <f t="shared" si="102"/>
        <v>6179.201618264972</v>
      </c>
      <c r="I404" s="356">
        <v>0</v>
      </c>
      <c r="J404" s="360">
        <f>-SUM(F404:H404)*$J$21</f>
        <v>-7029.758186121388</v>
      </c>
      <c r="K404" s="356">
        <f t="shared" si="107"/>
        <v>-774.054484716255</v>
      </c>
      <c r="L404" s="356">
        <f t="shared" si="103"/>
        <v>773280.4302315387</v>
      </c>
      <c r="N404" s="356">
        <f t="shared" si="108"/>
        <v>381</v>
      </c>
      <c r="O404" s="357">
        <f t="shared" si="115"/>
        <v>31</v>
      </c>
      <c r="P404" s="357">
        <f t="shared" si="116"/>
        <v>9</v>
      </c>
      <c r="Q404" s="357">
        <f t="shared" si="117"/>
        <v>31</v>
      </c>
      <c r="R404" s="356">
        <f t="shared" si="109"/>
        <v>16199858.072683763</v>
      </c>
      <c r="S404" s="356">
        <f>IF($G$4="mensual",S403,0)</f>
        <v>10000</v>
      </c>
      <c r="U404" s="356">
        <f t="shared" si="118"/>
        <v>129259.68460417965</v>
      </c>
      <c r="V404" s="359">
        <f t="shared" si="120"/>
        <v>-257.0327658746627</v>
      </c>
      <c r="X404" s="359">
        <f t="shared" si="119"/>
        <v>-16339.117757287942</v>
      </c>
      <c r="Y404" s="356">
        <f t="shared" si="104"/>
        <v>16322521.606764778</v>
      </c>
      <c r="AA404" s="357">
        <f>+Bono!J404</f>
        <v>392588.62695695914</v>
      </c>
      <c r="AC404" s="378">
        <f t="shared" si="110"/>
        <v>31.75</v>
      </c>
      <c r="AD404" s="356">
        <f t="shared" si="111"/>
        <v>17488390.663953274</v>
      </c>
    </row>
    <row r="405" spans="2:30" x14ac:dyDescent="0.25">
      <c r="B405" s="356">
        <f t="shared" si="105"/>
        <v>382</v>
      </c>
      <c r="C405" s="357">
        <f t="shared" si="112"/>
        <v>31</v>
      </c>
      <c r="D405" s="357">
        <f t="shared" si="113"/>
        <v>10</v>
      </c>
      <c r="E405" s="357">
        <f t="shared" si="114"/>
        <v>60</v>
      </c>
      <c r="F405" s="356">
        <f t="shared" si="106"/>
        <v>773280.4302315387</v>
      </c>
      <c r="H405" s="356">
        <f t="shared" si="102"/>
        <v>6166.24674158941</v>
      </c>
      <c r="I405" s="356">
        <v>0</v>
      </c>
      <c r="J405" s="356">
        <v>0</v>
      </c>
      <c r="K405" s="356">
        <f t="shared" si="107"/>
        <v>-779.4466769731281</v>
      </c>
      <c r="L405" s="356">
        <f t="shared" si="103"/>
        <v>778667.230296155</v>
      </c>
      <c r="N405" s="356">
        <f t="shared" si="108"/>
        <v>382</v>
      </c>
      <c r="O405" s="357">
        <f t="shared" si="115"/>
        <v>31</v>
      </c>
      <c r="P405" s="357">
        <f t="shared" si="116"/>
        <v>10</v>
      </c>
      <c r="Q405" s="357">
        <f t="shared" si="117"/>
        <v>31</v>
      </c>
      <c r="R405" s="356">
        <f t="shared" si="109"/>
        <v>16322521.606764778</v>
      </c>
      <c r="S405" s="356">
        <f>IF($G$4="mensual",S396,IF($G$4="trimestral",S396,0))</f>
        <v>10000</v>
      </c>
      <c r="U405" s="356">
        <f t="shared" si="118"/>
        <v>130237.82085044729</v>
      </c>
      <c r="V405" s="359">
        <f t="shared" si="120"/>
        <v>-257.0327658746627</v>
      </c>
      <c r="X405" s="359">
        <f t="shared" si="119"/>
        <v>-16462.759427615227</v>
      </c>
      <c r="Y405" s="356">
        <f t="shared" si="104"/>
        <v>16446039.635421736</v>
      </c>
      <c r="AA405" s="357">
        <f>+Bono!J405</f>
        <v>395022.72198155447</v>
      </c>
      <c r="AC405" s="378">
        <f t="shared" si="110"/>
        <v>31.833333333333332</v>
      </c>
      <c r="AD405" s="356">
        <f t="shared" si="111"/>
        <v>17619729.587699443</v>
      </c>
    </row>
    <row r="406" spans="2:30" x14ac:dyDescent="0.25">
      <c r="B406" s="356">
        <f t="shared" si="105"/>
        <v>383</v>
      </c>
      <c r="C406" s="357">
        <f t="shared" si="112"/>
        <v>31</v>
      </c>
      <c r="D406" s="357">
        <f t="shared" si="113"/>
        <v>11</v>
      </c>
      <c r="E406" s="357">
        <f t="shared" si="114"/>
        <v>60</v>
      </c>
      <c r="F406" s="356">
        <f t="shared" si="106"/>
        <v>778667.230296155</v>
      </c>
      <c r="H406" s="356">
        <f t="shared" si="102"/>
        <v>6209.201841767087</v>
      </c>
      <c r="I406" s="356">
        <v>0</v>
      </c>
      <c r="J406" s="356">
        <v>0</v>
      </c>
      <c r="K406" s="356">
        <f t="shared" si="107"/>
        <v>-784.876432137922</v>
      </c>
      <c r="L406" s="356">
        <f t="shared" si="103"/>
        <v>784091.5557057841</v>
      </c>
      <c r="N406" s="356">
        <f t="shared" si="108"/>
        <v>383</v>
      </c>
      <c r="O406" s="357">
        <f t="shared" si="115"/>
        <v>31</v>
      </c>
      <c r="P406" s="357">
        <f t="shared" si="116"/>
        <v>11</v>
      </c>
      <c r="Q406" s="357">
        <f t="shared" si="117"/>
        <v>31</v>
      </c>
      <c r="R406" s="356">
        <f t="shared" si="109"/>
        <v>16446039.635421736</v>
      </c>
      <c r="S406" s="356">
        <f>IF($G$17="si",S394*(1+$G$20),S394)</f>
        <v>10000</v>
      </c>
      <c r="U406" s="356">
        <f t="shared" si="118"/>
        <v>131222.77095645922</v>
      </c>
      <c r="V406" s="359">
        <f t="shared" si="120"/>
        <v>-257.0327658746627</v>
      </c>
      <c r="X406" s="359">
        <f t="shared" si="119"/>
        <v>-16587.262406378195</v>
      </c>
      <c r="Y406" s="356">
        <f t="shared" si="104"/>
        <v>16570418.111205941</v>
      </c>
      <c r="AA406" s="357">
        <f>+Bono!J406</f>
        <v>397471.9086776398</v>
      </c>
      <c r="AC406" s="378">
        <f t="shared" si="110"/>
        <v>31.916666666666668</v>
      </c>
      <c r="AD406" s="356">
        <f t="shared" si="111"/>
        <v>17751981.575589366</v>
      </c>
    </row>
    <row r="407" spans="2:30" x14ac:dyDescent="0.25">
      <c r="B407" s="356">
        <f t="shared" si="105"/>
        <v>384</v>
      </c>
      <c r="C407" s="357">
        <f t="shared" si="112"/>
        <v>31</v>
      </c>
      <c r="D407" s="357">
        <f t="shared" si="113"/>
        <v>12</v>
      </c>
      <c r="E407" s="357">
        <f t="shared" si="114"/>
        <v>60</v>
      </c>
      <c r="F407" s="356">
        <f t="shared" si="106"/>
        <v>784091.5557057841</v>
      </c>
      <c r="H407" s="356">
        <f t="shared" si="102"/>
        <v>6252.456174315541</v>
      </c>
      <c r="I407" s="356">
        <v>0</v>
      </c>
      <c r="J407" s="360">
        <f>-SUM(F407:H407)*$J$21</f>
        <v>-7113.096106920898</v>
      </c>
      <c r="K407" s="356">
        <f t="shared" si="107"/>
        <v>-783.2309157731788</v>
      </c>
      <c r="L407" s="356">
        <f t="shared" si="103"/>
        <v>782447.6848574056</v>
      </c>
      <c r="N407" s="356">
        <f t="shared" si="108"/>
        <v>384</v>
      </c>
      <c r="O407" s="357">
        <f t="shared" si="115"/>
        <v>31</v>
      </c>
      <c r="P407" s="357">
        <f t="shared" si="116"/>
        <v>12</v>
      </c>
      <c r="Q407" s="357">
        <f t="shared" si="117"/>
        <v>31</v>
      </c>
      <c r="R407" s="356">
        <f t="shared" si="109"/>
        <v>16570418.111205941</v>
      </c>
      <c r="S407" s="356">
        <f>IF($G$4="mensual",S406,0)</f>
        <v>10000</v>
      </c>
      <c r="U407" s="356">
        <f t="shared" si="118"/>
        <v>132214.58238869547</v>
      </c>
      <c r="V407" s="359">
        <f t="shared" si="120"/>
        <v>-257.0327658746627</v>
      </c>
      <c r="X407" s="359">
        <f t="shared" si="119"/>
        <v>-16712.632693594638</v>
      </c>
      <c r="Y407" s="356">
        <f t="shared" si="104"/>
        <v>16695663.028135167</v>
      </c>
      <c r="AA407" s="357">
        <f>+Bono!J407</f>
        <v>396333.25106023595</v>
      </c>
      <c r="AC407" s="378">
        <f t="shared" si="110"/>
        <v>32</v>
      </c>
      <c r="AD407" s="356">
        <f t="shared" si="111"/>
        <v>17874443.964052808</v>
      </c>
    </row>
    <row r="408" spans="2:30" x14ac:dyDescent="0.25">
      <c r="B408" s="356">
        <f t="shared" si="105"/>
        <v>385</v>
      </c>
      <c r="C408" s="357">
        <f t="shared" si="112"/>
        <v>32</v>
      </c>
      <c r="D408" s="357">
        <f t="shared" si="113"/>
        <v>1</v>
      </c>
      <c r="E408" s="357">
        <f t="shared" si="114"/>
        <v>61</v>
      </c>
      <c r="F408" s="356">
        <f t="shared" si="106"/>
        <v>782447.6848574056</v>
      </c>
      <c r="H408" s="356">
        <f t="shared" ref="H408:H471" si="121">SUM(F408:G408)*$G$8</f>
        <v>6239.34771732359</v>
      </c>
      <c r="I408" s="356">
        <v>0</v>
      </c>
      <c r="J408" s="356">
        <v>0</v>
      </c>
      <c r="K408" s="356">
        <f t="shared" si="107"/>
        <v>-788.6870325747292</v>
      </c>
      <c r="L408" s="356">
        <f t="shared" ref="L408:L471" si="122">SUM(F408:K408)</f>
        <v>787898.3455421545</v>
      </c>
      <c r="N408" s="356">
        <f t="shared" si="108"/>
        <v>385</v>
      </c>
      <c r="O408" s="357">
        <f t="shared" si="115"/>
        <v>32</v>
      </c>
      <c r="P408" s="357">
        <f t="shared" si="116"/>
        <v>1</v>
      </c>
      <c r="Q408" s="357">
        <f t="shared" si="117"/>
        <v>32</v>
      </c>
      <c r="R408" s="356">
        <f t="shared" si="109"/>
        <v>16695663.028135167</v>
      </c>
      <c r="S408" s="356">
        <f>IF($G$17="si",S396*(1+$G$20),S396)</f>
        <v>10000</v>
      </c>
      <c r="U408" s="356">
        <f t="shared" si="118"/>
        <v>133213.30294429552</v>
      </c>
      <c r="V408" s="359">
        <f>(V407*(1+$G$18))</f>
        <v>-267.3140765096492</v>
      </c>
      <c r="X408" s="359">
        <f t="shared" si="119"/>
        <v>-16838.876331079464</v>
      </c>
      <c r="Y408" s="356">
        <f t="shared" ref="Y408:Y471" si="123">SUM(R408:X408)</f>
        <v>16821770.140671875</v>
      </c>
      <c r="AA408" s="357">
        <f>+Bono!J408</f>
        <v>398790.56318862113</v>
      </c>
      <c r="AC408" s="378">
        <f t="shared" si="110"/>
        <v>32.083333333333336</v>
      </c>
      <c r="AD408" s="356">
        <f t="shared" si="111"/>
        <v>18008459.04940265</v>
      </c>
    </row>
    <row r="409" spans="2:30" x14ac:dyDescent="0.25">
      <c r="B409" s="356">
        <f t="shared" ref="B409:B472" si="124">+B408+1</f>
        <v>386</v>
      </c>
      <c r="C409" s="357">
        <f t="shared" si="112"/>
        <v>32</v>
      </c>
      <c r="D409" s="357">
        <f t="shared" si="113"/>
        <v>2</v>
      </c>
      <c r="E409" s="357">
        <f t="shared" si="114"/>
        <v>61</v>
      </c>
      <c r="F409" s="356">
        <f t="shared" ref="F409:F472" si="125">L408</f>
        <v>787898.3455421545</v>
      </c>
      <c r="H409" s="356">
        <f t="shared" si="121"/>
        <v>6282.812051054082</v>
      </c>
      <c r="I409" s="356">
        <v>0</v>
      </c>
      <c r="J409" s="356">
        <v>0</v>
      </c>
      <c r="K409" s="356">
        <f t="shared" ref="K409:K472" si="126">-SUM(F409:J409)*0.1%</f>
        <v>-794.1811575932086</v>
      </c>
      <c r="L409" s="356">
        <f t="shared" si="122"/>
        <v>793386.9764356153</v>
      </c>
      <c r="N409" s="356">
        <f t="shared" ref="N409:N472" si="127">+N408+1</f>
        <v>386</v>
      </c>
      <c r="O409" s="357">
        <f t="shared" si="115"/>
        <v>32</v>
      </c>
      <c r="P409" s="357">
        <f t="shared" si="116"/>
        <v>2</v>
      </c>
      <c r="Q409" s="357">
        <f t="shared" si="117"/>
        <v>32</v>
      </c>
      <c r="R409" s="356">
        <f t="shared" ref="R409:R472" si="128">Y408</f>
        <v>16821770.140671875</v>
      </c>
      <c r="S409" s="356">
        <f>IF($G$4="mensual",S408,0)</f>
        <v>10000</v>
      </c>
      <c r="U409" s="356">
        <f t="shared" si="118"/>
        <v>134218.8987687468</v>
      </c>
      <c r="V409" s="359">
        <f t="shared" si="120"/>
        <v>-267.3140765096492</v>
      </c>
      <c r="X409" s="359">
        <f t="shared" si="119"/>
        <v>-16965.98903944062</v>
      </c>
      <c r="Y409" s="356">
        <f t="shared" si="123"/>
        <v>16948755.73632467</v>
      </c>
      <c r="AA409" s="357">
        <f>+Bono!J409</f>
        <v>401263.11093723285</v>
      </c>
      <c r="AC409" s="378">
        <f t="shared" ref="AC409:AC472" si="129">+B409/12</f>
        <v>32.166666666666664</v>
      </c>
      <c r="AD409" s="356">
        <f t="shared" ref="AD409:AD472" si="130">+AA409+Y409+L409</f>
        <v>18143405.823697522</v>
      </c>
    </row>
    <row r="410" spans="2:30" x14ac:dyDescent="0.25">
      <c r="B410" s="356">
        <f t="shared" si="124"/>
        <v>387</v>
      </c>
      <c r="C410" s="357">
        <f t="shared" si="112"/>
        <v>32</v>
      </c>
      <c r="D410" s="357">
        <f t="shared" si="113"/>
        <v>3</v>
      </c>
      <c r="E410" s="357">
        <f t="shared" si="114"/>
        <v>61</v>
      </c>
      <c r="F410" s="356">
        <f t="shared" si="125"/>
        <v>793386.9764356153</v>
      </c>
      <c r="H410" s="356">
        <f t="shared" si="121"/>
        <v>6326.579164560959</v>
      </c>
      <c r="I410" s="356">
        <v>0</v>
      </c>
      <c r="J410" s="360">
        <f>-SUM(F410:H410)*$J$21</f>
        <v>-7197.422000401588</v>
      </c>
      <c r="K410" s="356">
        <f t="shared" si="126"/>
        <v>-792.5161335997748</v>
      </c>
      <c r="L410" s="356">
        <f t="shared" si="122"/>
        <v>791723.617466175</v>
      </c>
      <c r="N410" s="356">
        <f t="shared" si="127"/>
        <v>387</v>
      </c>
      <c r="O410" s="357">
        <f t="shared" si="115"/>
        <v>32</v>
      </c>
      <c r="P410" s="357">
        <f t="shared" si="116"/>
        <v>3</v>
      </c>
      <c r="Q410" s="357">
        <f t="shared" si="117"/>
        <v>32</v>
      </c>
      <c r="R410" s="356">
        <f t="shared" si="128"/>
        <v>16948755.73632467</v>
      </c>
      <c r="S410" s="356">
        <f>IF($G$4="mensual",S409,0)</f>
        <v>10000</v>
      </c>
      <c r="U410" s="356">
        <f t="shared" si="118"/>
        <v>135231.4997409302</v>
      </c>
      <c r="V410" s="359">
        <f t="shared" si="120"/>
        <v>-267.3140765096492</v>
      </c>
      <c r="X410" s="359">
        <f t="shared" si="119"/>
        <v>-17093.9872360656</v>
      </c>
      <c r="Y410" s="356">
        <f t="shared" si="123"/>
        <v>17076625.934753027</v>
      </c>
      <c r="AA410" s="357">
        <f>+Bono!J410</f>
        <v>400113.5924734704</v>
      </c>
      <c r="AC410" s="378">
        <f t="shared" si="129"/>
        <v>32.25</v>
      </c>
      <c r="AD410" s="356">
        <f t="shared" si="130"/>
        <v>18268463.14469267</v>
      </c>
    </row>
    <row r="411" spans="2:30" x14ac:dyDescent="0.25">
      <c r="B411" s="356">
        <f t="shared" si="124"/>
        <v>388</v>
      </c>
      <c r="C411" s="357">
        <f t="shared" si="112"/>
        <v>32</v>
      </c>
      <c r="D411" s="357">
        <f t="shared" si="113"/>
        <v>4</v>
      </c>
      <c r="E411" s="357">
        <f t="shared" si="114"/>
        <v>61</v>
      </c>
      <c r="F411" s="356">
        <f t="shared" si="125"/>
        <v>791723.617466175</v>
      </c>
      <c r="H411" s="356">
        <f t="shared" si="121"/>
        <v>6313.315306554964</v>
      </c>
      <c r="I411" s="356">
        <v>0</v>
      </c>
      <c r="J411" s="356">
        <v>0</v>
      </c>
      <c r="K411" s="356">
        <f t="shared" si="126"/>
        <v>-798.03693277273</v>
      </c>
      <c r="L411" s="356">
        <f t="shared" si="122"/>
        <v>797238.8958399573</v>
      </c>
      <c r="N411" s="356">
        <f t="shared" si="127"/>
        <v>388</v>
      </c>
      <c r="O411" s="357">
        <f t="shared" si="115"/>
        <v>32</v>
      </c>
      <c r="P411" s="357">
        <f t="shared" si="116"/>
        <v>4</v>
      </c>
      <c r="Q411" s="357">
        <f t="shared" si="117"/>
        <v>32</v>
      </c>
      <c r="R411" s="356">
        <f t="shared" si="128"/>
        <v>17076625.934753027</v>
      </c>
      <c r="S411" s="356">
        <f>IF($G$4="mensual",S408,IF($G$4="trimestral",S408,0))</f>
        <v>10000</v>
      </c>
      <c r="U411" s="356">
        <f t="shared" si="118"/>
        <v>136251.15465986967</v>
      </c>
      <c r="V411" s="359">
        <f t="shared" si="120"/>
        <v>-267.3140765096492</v>
      </c>
      <c r="X411" s="359">
        <f t="shared" si="119"/>
        <v>-17222.877089412897</v>
      </c>
      <c r="Y411" s="356">
        <f t="shared" si="123"/>
        <v>17205386.898246974</v>
      </c>
      <c r="AA411" s="357">
        <f>+Bono!J411</f>
        <v>402594.34315711004</v>
      </c>
      <c r="AC411" s="378">
        <f t="shared" si="129"/>
        <v>32.333333333333336</v>
      </c>
      <c r="AD411" s="356">
        <f t="shared" si="130"/>
        <v>18405220.13724404</v>
      </c>
    </row>
    <row r="412" spans="2:30" x14ac:dyDescent="0.25">
      <c r="B412" s="356">
        <f t="shared" si="124"/>
        <v>389</v>
      </c>
      <c r="C412" s="357">
        <f t="shared" si="112"/>
        <v>32</v>
      </c>
      <c r="D412" s="357">
        <f t="shared" si="113"/>
        <v>5</v>
      </c>
      <c r="E412" s="357">
        <f t="shared" si="114"/>
        <v>61</v>
      </c>
      <c r="F412" s="356">
        <f t="shared" si="125"/>
        <v>797238.8958399573</v>
      </c>
      <c r="H412" s="356">
        <f t="shared" si="121"/>
        <v>6357.294910812</v>
      </c>
      <c r="I412" s="356">
        <v>0</v>
      </c>
      <c r="J412" s="356">
        <v>0</v>
      </c>
      <c r="K412" s="356">
        <f t="shared" si="126"/>
        <v>-803.5961907507693</v>
      </c>
      <c r="L412" s="356">
        <f t="shared" si="122"/>
        <v>802792.5945600186</v>
      </c>
      <c r="N412" s="356">
        <f t="shared" si="127"/>
        <v>389</v>
      </c>
      <c r="O412" s="357">
        <f t="shared" si="115"/>
        <v>32</v>
      </c>
      <c r="P412" s="357">
        <f t="shared" si="116"/>
        <v>5</v>
      </c>
      <c r="Q412" s="357">
        <f t="shared" si="117"/>
        <v>32</v>
      </c>
      <c r="R412" s="356">
        <f t="shared" si="128"/>
        <v>17205386.898246974</v>
      </c>
      <c r="S412" s="356">
        <f>IF($G$4="mensual",S411,0)</f>
        <v>10000</v>
      </c>
      <c r="U412" s="356">
        <f t="shared" si="118"/>
        <v>137277.91266453138</v>
      </c>
      <c r="V412" s="359">
        <f t="shared" si="120"/>
        <v>-267.3140765096492</v>
      </c>
      <c r="X412" s="359">
        <f t="shared" si="119"/>
        <v>-17352.66481091151</v>
      </c>
      <c r="Y412" s="356">
        <f t="shared" si="123"/>
        <v>17335044.832024086</v>
      </c>
      <c r="AA412" s="357">
        <f>+Bono!J412</f>
        <v>405090.47478273755</v>
      </c>
      <c r="AC412" s="378">
        <f t="shared" si="129"/>
        <v>32.416666666666664</v>
      </c>
      <c r="AD412" s="356">
        <f t="shared" si="130"/>
        <v>18542927.901366845</v>
      </c>
    </row>
    <row r="413" spans="2:30" x14ac:dyDescent="0.25">
      <c r="B413" s="356">
        <f t="shared" si="124"/>
        <v>390</v>
      </c>
      <c r="C413" s="357">
        <f t="shared" si="112"/>
        <v>32</v>
      </c>
      <c r="D413" s="357">
        <f t="shared" si="113"/>
        <v>6</v>
      </c>
      <c r="E413" s="357">
        <f t="shared" si="114"/>
        <v>61</v>
      </c>
      <c r="F413" s="356">
        <f t="shared" si="125"/>
        <v>802792.5945600186</v>
      </c>
      <c r="H413" s="356">
        <f t="shared" si="121"/>
        <v>6401.580884305593</v>
      </c>
      <c r="I413" s="356">
        <v>0</v>
      </c>
      <c r="J413" s="360">
        <f>-SUM(F413:H413)*$J$21</f>
        <v>-7282.747578998919</v>
      </c>
      <c r="K413" s="356">
        <f t="shared" si="126"/>
        <v>-801.9114278653253</v>
      </c>
      <c r="L413" s="356">
        <f t="shared" si="122"/>
        <v>801109.5164374601</v>
      </c>
      <c r="N413" s="356">
        <f t="shared" si="127"/>
        <v>390</v>
      </c>
      <c r="O413" s="357">
        <f t="shared" si="115"/>
        <v>32</v>
      </c>
      <c r="P413" s="357">
        <f t="shared" si="116"/>
        <v>6</v>
      </c>
      <c r="Q413" s="357">
        <f t="shared" si="117"/>
        <v>32</v>
      </c>
      <c r="R413" s="356">
        <f t="shared" si="128"/>
        <v>17335044.832024086</v>
      </c>
      <c r="S413" s="356">
        <f>IF($G$4="mensual",S412,0)</f>
        <v>10000</v>
      </c>
      <c r="U413" s="356">
        <f t="shared" si="118"/>
        <v>138311.82323619156</v>
      </c>
      <c r="V413" s="359">
        <f t="shared" si="120"/>
        <v>-267.3140765096492</v>
      </c>
      <c r="X413" s="359">
        <f t="shared" si="119"/>
        <v>-17483.356655260275</v>
      </c>
      <c r="Y413" s="356">
        <f t="shared" si="123"/>
        <v>17465605.984528508</v>
      </c>
      <c r="AA413" s="357">
        <f>+Bono!J413</f>
        <v>403929.9918787163</v>
      </c>
      <c r="AC413" s="378">
        <f t="shared" si="129"/>
        <v>32.5</v>
      </c>
      <c r="AD413" s="356">
        <f t="shared" si="130"/>
        <v>18670645.492844682</v>
      </c>
    </row>
    <row r="414" spans="2:30" x14ac:dyDescent="0.25">
      <c r="B414" s="356">
        <f t="shared" si="124"/>
        <v>391</v>
      </c>
      <c r="C414" s="357">
        <f t="shared" si="112"/>
        <v>32</v>
      </c>
      <c r="D414" s="357">
        <f t="shared" si="113"/>
        <v>7</v>
      </c>
      <c r="E414" s="357">
        <f t="shared" si="114"/>
        <v>61</v>
      </c>
      <c r="F414" s="356">
        <f t="shared" si="125"/>
        <v>801109.5164374601</v>
      </c>
      <c r="H414" s="356">
        <f t="shared" si="121"/>
        <v>6388.159783003495</v>
      </c>
      <c r="I414" s="356">
        <v>0</v>
      </c>
      <c r="J414" s="356">
        <v>0</v>
      </c>
      <c r="K414" s="356">
        <f t="shared" si="126"/>
        <v>-807.4976762204636</v>
      </c>
      <c r="L414" s="356">
        <f t="shared" si="122"/>
        <v>806690.1785442431</v>
      </c>
      <c r="N414" s="356">
        <f t="shared" si="127"/>
        <v>391</v>
      </c>
      <c r="O414" s="357">
        <f t="shared" si="115"/>
        <v>32</v>
      </c>
      <c r="P414" s="357">
        <f t="shared" si="116"/>
        <v>7</v>
      </c>
      <c r="Q414" s="357">
        <f t="shared" si="117"/>
        <v>32</v>
      </c>
      <c r="R414" s="356">
        <f t="shared" si="128"/>
        <v>17465605.984528508</v>
      </c>
      <c r="S414" s="356">
        <f>+IF($G$4="mensual",S408,IF($G$4="trimestral",S408,IF($G$4="semestral",S408,0)))</f>
        <v>10000</v>
      </c>
      <c r="U414" s="356">
        <f t="shared" si="118"/>
        <v>139352.93620082134</v>
      </c>
      <c r="V414" s="359">
        <f t="shared" si="120"/>
        <v>-267.3140765096492</v>
      </c>
      <c r="X414" s="359">
        <f t="shared" si="119"/>
        <v>-17614.95892072933</v>
      </c>
      <c r="Y414" s="356">
        <f t="shared" si="123"/>
        <v>17597076.64773209</v>
      </c>
      <c r="AA414" s="357">
        <f>+Bono!J414</f>
        <v>406434.4046813434</v>
      </c>
      <c r="AC414" s="378">
        <f t="shared" si="129"/>
        <v>32.583333333333336</v>
      </c>
      <c r="AD414" s="356">
        <f t="shared" si="130"/>
        <v>18810201.230957676</v>
      </c>
    </row>
    <row r="415" spans="2:30" x14ac:dyDescent="0.25">
      <c r="B415" s="356">
        <f t="shared" si="124"/>
        <v>392</v>
      </c>
      <c r="C415" s="357">
        <f t="shared" si="112"/>
        <v>32</v>
      </c>
      <c r="D415" s="357">
        <f t="shared" si="113"/>
        <v>8</v>
      </c>
      <c r="E415" s="357">
        <f t="shared" si="114"/>
        <v>61</v>
      </c>
      <c r="F415" s="356">
        <f t="shared" si="125"/>
        <v>806690.1785442431</v>
      </c>
      <c r="H415" s="356">
        <f t="shared" si="121"/>
        <v>6432.660766329245</v>
      </c>
      <c r="I415" s="356">
        <v>0</v>
      </c>
      <c r="J415" s="356">
        <v>0</v>
      </c>
      <c r="K415" s="356">
        <f t="shared" si="126"/>
        <v>-813.1228393105724</v>
      </c>
      <c r="L415" s="356">
        <f t="shared" si="122"/>
        <v>812309.7164712618</v>
      </c>
      <c r="N415" s="356">
        <f t="shared" si="127"/>
        <v>392</v>
      </c>
      <c r="O415" s="357">
        <f t="shared" si="115"/>
        <v>32</v>
      </c>
      <c r="P415" s="357">
        <f t="shared" si="116"/>
        <v>8</v>
      </c>
      <c r="Q415" s="357">
        <f t="shared" si="117"/>
        <v>32</v>
      </c>
      <c r="R415" s="356">
        <f t="shared" si="128"/>
        <v>17597076.64773209</v>
      </c>
      <c r="S415" s="356">
        <f>IF($G$4="mensual",S414,0)</f>
        <v>10000</v>
      </c>
      <c r="U415" s="356">
        <f t="shared" si="118"/>
        <v>140401.30173148782</v>
      </c>
      <c r="V415" s="359">
        <f t="shared" si="120"/>
        <v>-267.3140765096492</v>
      </c>
      <c r="X415" s="359">
        <f t="shared" si="119"/>
        <v>-17747.47794946358</v>
      </c>
      <c r="Y415" s="356">
        <f t="shared" si="123"/>
        <v>17729463.157437608</v>
      </c>
      <c r="AA415" s="357">
        <f>+Bono!J415</f>
        <v>408954.34513384075</v>
      </c>
      <c r="AC415" s="378">
        <f t="shared" si="129"/>
        <v>32.666666666666664</v>
      </c>
      <c r="AD415" s="356">
        <f t="shared" si="130"/>
        <v>18950727.21904271</v>
      </c>
    </row>
    <row r="416" spans="2:30" x14ac:dyDescent="0.25">
      <c r="B416" s="356">
        <f t="shared" si="124"/>
        <v>393</v>
      </c>
      <c r="C416" s="357">
        <f t="shared" si="112"/>
        <v>32</v>
      </c>
      <c r="D416" s="357">
        <f t="shared" si="113"/>
        <v>9</v>
      </c>
      <c r="E416" s="357">
        <f t="shared" si="114"/>
        <v>61</v>
      </c>
      <c r="F416" s="356">
        <f t="shared" si="125"/>
        <v>812309.7164712618</v>
      </c>
      <c r="H416" s="356">
        <f t="shared" si="121"/>
        <v>6477.471750904843</v>
      </c>
      <c r="I416" s="356">
        <v>0</v>
      </c>
      <c r="J416" s="360">
        <f>-SUM(F416:H416)*$J$21</f>
        <v>-7369.084693999501</v>
      </c>
      <c r="K416" s="356">
        <f t="shared" si="126"/>
        <v>-811.4181035281672</v>
      </c>
      <c r="L416" s="356">
        <f t="shared" si="122"/>
        <v>810606.6854246389</v>
      </c>
      <c r="N416" s="356">
        <f t="shared" si="127"/>
        <v>393</v>
      </c>
      <c r="O416" s="357">
        <f t="shared" si="115"/>
        <v>32</v>
      </c>
      <c r="P416" s="357">
        <f t="shared" si="116"/>
        <v>9</v>
      </c>
      <c r="Q416" s="357">
        <f t="shared" si="117"/>
        <v>32</v>
      </c>
      <c r="R416" s="356">
        <f t="shared" si="128"/>
        <v>17729463.157437608</v>
      </c>
      <c r="S416" s="356">
        <f>IF($G$4="mensual",S415,0)</f>
        <v>10000</v>
      </c>
      <c r="U416" s="356">
        <f t="shared" si="118"/>
        <v>141456.97035077206</v>
      </c>
      <c r="V416" s="359">
        <f t="shared" si="120"/>
        <v>-267.3140765096492</v>
      </c>
      <c r="X416" s="359">
        <f t="shared" si="119"/>
        <v>-17880.92012778838</v>
      </c>
      <c r="Y416" s="356">
        <f t="shared" si="123"/>
        <v>17862771.893584084</v>
      </c>
      <c r="AA416" s="357">
        <f>+Bono!J416</f>
        <v>407782.7932075517</v>
      </c>
      <c r="AC416" s="378">
        <f t="shared" si="129"/>
        <v>32.75</v>
      </c>
      <c r="AD416" s="356">
        <f t="shared" si="130"/>
        <v>19081161.372216277</v>
      </c>
    </row>
    <row r="417" spans="2:30" x14ac:dyDescent="0.25">
      <c r="B417" s="356">
        <f t="shared" si="124"/>
        <v>394</v>
      </c>
      <c r="C417" s="357">
        <f t="shared" si="112"/>
        <v>32</v>
      </c>
      <c r="D417" s="357">
        <f t="shared" si="113"/>
        <v>10</v>
      </c>
      <c r="E417" s="357">
        <f t="shared" si="114"/>
        <v>61</v>
      </c>
      <c r="F417" s="356">
        <f t="shared" si="125"/>
        <v>810606.6854246389</v>
      </c>
      <c r="H417" s="356">
        <f t="shared" si="121"/>
        <v>6463.8915421842885</v>
      </c>
      <c r="I417" s="356">
        <v>0</v>
      </c>
      <c r="J417" s="356">
        <v>0</v>
      </c>
      <c r="K417" s="356">
        <f t="shared" si="126"/>
        <v>-817.0705769668232</v>
      </c>
      <c r="L417" s="356">
        <f t="shared" si="122"/>
        <v>816253.5063898563</v>
      </c>
      <c r="N417" s="356">
        <f t="shared" si="127"/>
        <v>394</v>
      </c>
      <c r="O417" s="357">
        <f t="shared" si="115"/>
        <v>32</v>
      </c>
      <c r="P417" s="357">
        <f t="shared" si="116"/>
        <v>10</v>
      </c>
      <c r="Q417" s="357">
        <f t="shared" si="117"/>
        <v>32</v>
      </c>
      <c r="R417" s="356">
        <f t="shared" si="128"/>
        <v>17862771.893584084</v>
      </c>
      <c r="S417" s="356">
        <f>IF($G$4="mensual",S408,IF($G$4="trimestral",S408,0))</f>
        <v>10000</v>
      </c>
      <c r="U417" s="356">
        <f t="shared" si="118"/>
        <v>142519.99293320373</v>
      </c>
      <c r="V417" s="359">
        <f t="shared" si="120"/>
        <v>-267.3140765096492</v>
      </c>
      <c r="X417" s="359">
        <f t="shared" si="119"/>
        <v>-18015.291886517287</v>
      </c>
      <c r="Y417" s="356">
        <f t="shared" si="123"/>
        <v>17997009.28055426</v>
      </c>
      <c r="AA417" s="357">
        <f>+Bono!J417</f>
        <v>410311.0938253149</v>
      </c>
      <c r="AC417" s="378">
        <f t="shared" si="129"/>
        <v>32.833333333333336</v>
      </c>
      <c r="AD417" s="356">
        <f t="shared" si="130"/>
        <v>19223573.88076943</v>
      </c>
    </row>
    <row r="418" spans="2:30" x14ac:dyDescent="0.25">
      <c r="B418" s="356">
        <f t="shared" si="124"/>
        <v>395</v>
      </c>
      <c r="C418" s="357">
        <f t="shared" si="112"/>
        <v>32</v>
      </c>
      <c r="D418" s="357">
        <f t="shared" si="113"/>
        <v>11</v>
      </c>
      <c r="E418" s="357">
        <f t="shared" si="114"/>
        <v>61</v>
      </c>
      <c r="F418" s="356">
        <f t="shared" si="125"/>
        <v>816253.5063898563</v>
      </c>
      <c r="H418" s="356">
        <f t="shared" si="121"/>
        <v>6508.92008553781</v>
      </c>
      <c r="I418" s="356">
        <v>0</v>
      </c>
      <c r="J418" s="356">
        <v>0</v>
      </c>
      <c r="K418" s="356">
        <f t="shared" si="126"/>
        <v>-822.7624264753941</v>
      </c>
      <c r="L418" s="356">
        <f t="shared" si="122"/>
        <v>821939.6640489188</v>
      </c>
      <c r="N418" s="356">
        <f t="shared" si="127"/>
        <v>395</v>
      </c>
      <c r="O418" s="357">
        <f t="shared" si="115"/>
        <v>32</v>
      </c>
      <c r="P418" s="357">
        <f t="shared" si="116"/>
        <v>11</v>
      </c>
      <c r="Q418" s="357">
        <f t="shared" si="117"/>
        <v>32</v>
      </c>
      <c r="R418" s="356">
        <f t="shared" si="128"/>
        <v>17997009.28055426</v>
      </c>
      <c r="S418" s="356">
        <f>IF($G$17="si",S406*(1+$G$20),S406)</f>
        <v>10000</v>
      </c>
      <c r="U418" s="356">
        <f t="shared" si="118"/>
        <v>143590.42070771303</v>
      </c>
      <c r="V418" s="359">
        <f t="shared" si="120"/>
        <v>-267.3140765096492</v>
      </c>
      <c r="X418" s="359">
        <f t="shared" si="119"/>
        <v>-18150.599701261974</v>
      </c>
      <c r="Y418" s="356">
        <f t="shared" si="123"/>
        <v>18132181.787484203</v>
      </c>
      <c r="AA418" s="357">
        <f>+Bono!J418</f>
        <v>412855.07020017295</v>
      </c>
      <c r="AC418" s="378">
        <f t="shared" si="129"/>
        <v>32.916666666666664</v>
      </c>
      <c r="AD418" s="356">
        <f t="shared" si="130"/>
        <v>19366976.52173329</v>
      </c>
    </row>
    <row r="419" spans="2:30" x14ac:dyDescent="0.25">
      <c r="B419" s="356">
        <f t="shared" si="124"/>
        <v>396</v>
      </c>
      <c r="C419" s="357">
        <f t="shared" si="112"/>
        <v>32</v>
      </c>
      <c r="D419" s="357">
        <f t="shared" si="113"/>
        <v>12</v>
      </c>
      <c r="E419" s="357">
        <f t="shared" si="114"/>
        <v>61</v>
      </c>
      <c r="F419" s="356">
        <f t="shared" si="125"/>
        <v>821939.6640489188</v>
      </c>
      <c r="H419" s="356">
        <f t="shared" si="121"/>
        <v>6554.262305212061</v>
      </c>
      <c r="I419" s="356">
        <v>0</v>
      </c>
      <c r="J419" s="360">
        <f>-SUM(F419:H419)*$J$21</f>
        <v>-7456.445337187179</v>
      </c>
      <c r="K419" s="356">
        <f t="shared" si="126"/>
        <v>-821.0374810169437</v>
      </c>
      <c r="L419" s="356">
        <f t="shared" si="122"/>
        <v>820216.4435359268</v>
      </c>
      <c r="N419" s="356">
        <f t="shared" si="127"/>
        <v>396</v>
      </c>
      <c r="O419" s="357">
        <f t="shared" si="115"/>
        <v>32</v>
      </c>
      <c r="P419" s="357">
        <f t="shared" si="116"/>
        <v>12</v>
      </c>
      <c r="Q419" s="357">
        <f t="shared" si="117"/>
        <v>32</v>
      </c>
      <c r="R419" s="356">
        <f t="shared" si="128"/>
        <v>18132181.787484203</v>
      </c>
      <c r="S419" s="356">
        <f>IF($G$4="mensual",S418,0)</f>
        <v>10000</v>
      </c>
      <c r="U419" s="356">
        <f t="shared" si="118"/>
        <v>144668.30526009935</v>
      </c>
      <c r="V419" s="359">
        <f t="shared" si="120"/>
        <v>-267.3140765096492</v>
      </c>
      <c r="X419" s="359">
        <f t="shared" si="119"/>
        <v>-18286.850092744302</v>
      </c>
      <c r="Y419" s="356">
        <f t="shared" si="123"/>
        <v>18268295.92857505</v>
      </c>
      <c r="AA419" s="357">
        <f>+Bono!J419</f>
        <v>411672.3436720738</v>
      </c>
      <c r="AC419" s="378">
        <f t="shared" si="129"/>
        <v>33</v>
      </c>
      <c r="AD419" s="356">
        <f t="shared" si="130"/>
        <v>19500184.715783052</v>
      </c>
    </row>
    <row r="420" spans="2:30" x14ac:dyDescent="0.25">
      <c r="B420" s="356">
        <f t="shared" si="124"/>
        <v>397</v>
      </c>
      <c r="C420" s="357">
        <f t="shared" ref="C420:C483" si="131">C408+1</f>
        <v>33</v>
      </c>
      <c r="D420" s="357">
        <f t="shared" ref="D420:D483" si="132">D408</f>
        <v>1</v>
      </c>
      <c r="E420" s="357">
        <f t="shared" ref="E420:E483" si="133">E408+1</f>
        <v>62</v>
      </c>
      <c r="F420" s="356">
        <f t="shared" si="125"/>
        <v>820216.4435359268</v>
      </c>
      <c r="H420" s="356">
        <f t="shared" si="121"/>
        <v>6540.521102851495</v>
      </c>
      <c r="I420" s="356">
        <v>0</v>
      </c>
      <c r="J420" s="356">
        <v>0</v>
      </c>
      <c r="K420" s="356">
        <f t="shared" si="126"/>
        <v>-826.7569646387783</v>
      </c>
      <c r="L420" s="356">
        <f t="shared" si="122"/>
        <v>825930.2076741394</v>
      </c>
      <c r="N420" s="356">
        <f t="shared" si="127"/>
        <v>397</v>
      </c>
      <c r="O420" s="357">
        <f t="shared" ref="O420:O483" si="134">O408+1</f>
        <v>33</v>
      </c>
      <c r="P420" s="357">
        <f t="shared" ref="P420:P483" si="135">P408</f>
        <v>1</v>
      </c>
      <c r="Q420" s="357">
        <f t="shared" ref="Q420:Q483" si="136">Q408+1</f>
        <v>33</v>
      </c>
      <c r="R420" s="356">
        <f t="shared" si="128"/>
        <v>18268295.92857505</v>
      </c>
      <c r="S420" s="356">
        <f>IF($G$17="si",S408*(1+$G$20),S408)</f>
        <v>10000</v>
      </c>
      <c r="U420" s="356">
        <f t="shared" ref="U420:U483" si="137">SUM(R420:T420)*$G$8</f>
        <v>145753.69853551738</v>
      </c>
      <c r="V420" s="359">
        <f>(V419*(1+$G$18))</f>
        <v>-278.0066395700352</v>
      </c>
      <c r="X420" s="359">
        <f t="shared" si="119"/>
        <v>-18424.049627110566</v>
      </c>
      <c r="Y420" s="356">
        <f t="shared" si="123"/>
        <v>18405347.570843887</v>
      </c>
      <c r="AA420" s="357">
        <f>+Bono!J420</f>
        <v>414224.75995387696</v>
      </c>
      <c r="AC420" s="378">
        <f t="shared" si="129"/>
        <v>33.083333333333336</v>
      </c>
      <c r="AD420" s="356">
        <f t="shared" si="130"/>
        <v>19645502.5384719</v>
      </c>
    </row>
    <row r="421" spans="2:30" x14ac:dyDescent="0.25">
      <c r="B421" s="356">
        <f t="shared" si="124"/>
        <v>398</v>
      </c>
      <c r="C421" s="357">
        <f t="shared" si="131"/>
        <v>33</v>
      </c>
      <c r="D421" s="357">
        <f t="shared" si="132"/>
        <v>2</v>
      </c>
      <c r="E421" s="357">
        <f t="shared" si="133"/>
        <v>62</v>
      </c>
      <c r="F421" s="356">
        <f t="shared" si="125"/>
        <v>825930.2076741394</v>
      </c>
      <c r="H421" s="356">
        <f t="shared" si="121"/>
        <v>6586.083460467237</v>
      </c>
      <c r="I421" s="356">
        <v>0</v>
      </c>
      <c r="J421" s="356">
        <v>0</v>
      </c>
      <c r="K421" s="356">
        <f t="shared" si="126"/>
        <v>-832.5162911346067</v>
      </c>
      <c r="L421" s="356">
        <f t="shared" si="122"/>
        <v>831683.774843472</v>
      </c>
      <c r="N421" s="356">
        <f t="shared" si="127"/>
        <v>398</v>
      </c>
      <c r="O421" s="357">
        <f t="shared" si="134"/>
        <v>33</v>
      </c>
      <c r="P421" s="357">
        <f t="shared" si="135"/>
        <v>2</v>
      </c>
      <c r="Q421" s="357">
        <f t="shared" si="136"/>
        <v>33</v>
      </c>
      <c r="R421" s="356">
        <f t="shared" si="128"/>
        <v>18405347.570843887</v>
      </c>
      <c r="S421" s="356">
        <f>IF($G$4="mensual",S420,0)</f>
        <v>10000</v>
      </c>
      <c r="U421" s="356">
        <f t="shared" si="137"/>
        <v>146846.56757698097</v>
      </c>
      <c r="V421" s="359">
        <f t="shared" si="120"/>
        <v>-278.0066395700352</v>
      </c>
      <c r="X421" s="359">
        <f t="shared" si="119"/>
        <v>-18562.19413842087</v>
      </c>
      <c r="Y421" s="356">
        <f t="shared" si="123"/>
        <v>18543353.937642876</v>
      </c>
      <c r="AA421" s="357">
        <f>+Bono!J421</f>
        <v>416793.0015126893</v>
      </c>
      <c r="AC421" s="378">
        <f t="shared" si="129"/>
        <v>33.166666666666664</v>
      </c>
      <c r="AD421" s="356">
        <f t="shared" si="130"/>
        <v>19791830.713999037</v>
      </c>
    </row>
    <row r="422" spans="2:30" x14ac:dyDescent="0.25">
      <c r="B422" s="356">
        <f t="shared" si="124"/>
        <v>399</v>
      </c>
      <c r="C422" s="357">
        <f t="shared" si="131"/>
        <v>33</v>
      </c>
      <c r="D422" s="357">
        <f t="shared" si="132"/>
        <v>3</v>
      </c>
      <c r="E422" s="357">
        <f t="shared" si="133"/>
        <v>62</v>
      </c>
      <c r="F422" s="356">
        <f t="shared" si="125"/>
        <v>831683.774843472</v>
      </c>
      <c r="H422" s="356">
        <f t="shared" si="121"/>
        <v>6631.963213042626</v>
      </c>
      <c r="I422" s="356">
        <v>0</v>
      </c>
      <c r="J422" s="360">
        <f>-SUM(F422:H422)*$J$21</f>
        <v>-7544.8416425086325</v>
      </c>
      <c r="K422" s="356">
        <f t="shared" si="126"/>
        <v>-830.7708964140061</v>
      </c>
      <c r="L422" s="356">
        <f t="shared" si="122"/>
        <v>829940.125517592</v>
      </c>
      <c r="N422" s="356">
        <f t="shared" si="127"/>
        <v>399</v>
      </c>
      <c r="O422" s="357">
        <f t="shared" si="134"/>
        <v>33</v>
      </c>
      <c r="P422" s="357">
        <f t="shared" si="135"/>
        <v>3</v>
      </c>
      <c r="Q422" s="357">
        <f t="shared" si="136"/>
        <v>33</v>
      </c>
      <c r="R422" s="356">
        <f t="shared" si="128"/>
        <v>18543353.937642876</v>
      </c>
      <c r="S422" s="356">
        <f>IF($G$4="mensual",S421,0)</f>
        <v>10000</v>
      </c>
      <c r="U422" s="356">
        <f t="shared" si="137"/>
        <v>147947.0497259189</v>
      </c>
      <c r="V422" s="359">
        <f t="shared" si="120"/>
        <v>-278.0066395700352</v>
      </c>
      <c r="X422" s="359">
        <f t="shared" si="119"/>
        <v>-18701.300987368795</v>
      </c>
      <c r="Y422" s="356">
        <f t="shared" si="123"/>
        <v>18682321.679741856</v>
      </c>
      <c r="AA422" s="357">
        <f>+Bono!J422</f>
        <v>415598.9937961894</v>
      </c>
      <c r="AC422" s="378">
        <f t="shared" si="129"/>
        <v>33.25</v>
      </c>
      <c r="AD422" s="356">
        <f t="shared" si="130"/>
        <v>19927860.799055636</v>
      </c>
    </row>
    <row r="423" spans="2:30" x14ac:dyDescent="0.25">
      <c r="B423" s="356">
        <f t="shared" si="124"/>
        <v>400</v>
      </c>
      <c r="C423" s="357">
        <f t="shared" si="131"/>
        <v>33</v>
      </c>
      <c r="D423" s="357">
        <f t="shared" si="132"/>
        <v>4</v>
      </c>
      <c r="E423" s="357">
        <f t="shared" si="133"/>
        <v>62</v>
      </c>
      <c r="F423" s="356">
        <f t="shared" si="125"/>
        <v>829940.125517592</v>
      </c>
      <c r="H423" s="356">
        <f t="shared" si="121"/>
        <v>6618.059108459294</v>
      </c>
      <c r="I423" s="356">
        <v>0</v>
      </c>
      <c r="J423" s="356">
        <v>0</v>
      </c>
      <c r="K423" s="356">
        <f t="shared" si="126"/>
        <v>-836.5581846260512</v>
      </c>
      <c r="L423" s="356">
        <f t="shared" si="122"/>
        <v>835721.6264414252</v>
      </c>
      <c r="N423" s="356">
        <f t="shared" si="127"/>
        <v>400</v>
      </c>
      <c r="O423" s="357">
        <f t="shared" si="134"/>
        <v>33</v>
      </c>
      <c r="P423" s="357">
        <f t="shared" si="135"/>
        <v>4</v>
      </c>
      <c r="Q423" s="357">
        <f t="shared" si="136"/>
        <v>33</v>
      </c>
      <c r="R423" s="356">
        <f t="shared" si="128"/>
        <v>18682321.679741856</v>
      </c>
      <c r="S423" s="356">
        <f>IF($G$4="mensual",S420,IF($G$4="trimestral",S420,0))</f>
        <v>10000</v>
      </c>
      <c r="U423" s="356">
        <f t="shared" si="137"/>
        <v>149055.19801650385</v>
      </c>
      <c r="V423" s="359">
        <f t="shared" si="120"/>
        <v>-278.0066395700352</v>
      </c>
      <c r="X423" s="359">
        <f t="shared" si="119"/>
        <v>-18841.37687775836</v>
      </c>
      <c r="Y423" s="356">
        <f t="shared" si="123"/>
        <v>18822257.494241033</v>
      </c>
      <c r="AA423" s="357">
        <f>+Bono!J423</f>
        <v>418175.75576422527</v>
      </c>
      <c r="AC423" s="378">
        <f t="shared" si="129"/>
        <v>33.333333333333336</v>
      </c>
      <c r="AD423" s="356">
        <f t="shared" si="130"/>
        <v>20076154.876446683</v>
      </c>
    </row>
    <row r="424" spans="2:30" x14ac:dyDescent="0.25">
      <c r="B424" s="356">
        <f t="shared" si="124"/>
        <v>401</v>
      </c>
      <c r="C424" s="357">
        <f t="shared" si="131"/>
        <v>33</v>
      </c>
      <c r="D424" s="357">
        <f t="shared" si="132"/>
        <v>5</v>
      </c>
      <c r="E424" s="357">
        <f t="shared" si="133"/>
        <v>62</v>
      </c>
      <c r="F424" s="356">
        <f t="shared" si="125"/>
        <v>835721.6264414252</v>
      </c>
      <c r="H424" s="356">
        <f t="shared" si="121"/>
        <v>6664.161608715777</v>
      </c>
      <c r="I424" s="356">
        <v>0</v>
      </c>
      <c r="J424" s="356">
        <v>0</v>
      </c>
      <c r="K424" s="356">
        <f t="shared" si="126"/>
        <v>-842.385788050141</v>
      </c>
      <c r="L424" s="356">
        <f t="shared" si="122"/>
        <v>841543.4022620908</v>
      </c>
      <c r="N424" s="356">
        <f t="shared" si="127"/>
        <v>401</v>
      </c>
      <c r="O424" s="357">
        <f t="shared" si="134"/>
        <v>33</v>
      </c>
      <c r="P424" s="357">
        <f t="shared" si="135"/>
        <v>5</v>
      </c>
      <c r="Q424" s="357">
        <f t="shared" si="136"/>
        <v>33</v>
      </c>
      <c r="R424" s="356">
        <f t="shared" si="128"/>
        <v>18822257.494241033</v>
      </c>
      <c r="S424" s="356">
        <f>IF($G$4="mensual",S423,0)</f>
        <v>10000</v>
      </c>
      <c r="U424" s="356">
        <f t="shared" si="137"/>
        <v>150171.06585235332</v>
      </c>
      <c r="V424" s="359">
        <f t="shared" si="120"/>
        <v>-278.0066395700352</v>
      </c>
      <c r="X424" s="359">
        <f t="shared" si="119"/>
        <v>-18982.428560093384</v>
      </c>
      <c r="Y424" s="356">
        <f t="shared" si="123"/>
        <v>18963168.12489372</v>
      </c>
      <c r="AA424" s="357">
        <f>+Bono!J424</f>
        <v>420768.49395534885</v>
      </c>
      <c r="AC424" s="378">
        <f t="shared" si="129"/>
        <v>33.416666666666664</v>
      </c>
      <c r="AD424" s="356">
        <f t="shared" si="130"/>
        <v>20225480.02111116</v>
      </c>
    </row>
    <row r="425" spans="2:30" x14ac:dyDescent="0.25">
      <c r="B425" s="356">
        <f t="shared" si="124"/>
        <v>402</v>
      </c>
      <c r="C425" s="357">
        <f t="shared" si="131"/>
        <v>33</v>
      </c>
      <c r="D425" s="357">
        <f t="shared" si="132"/>
        <v>6</v>
      </c>
      <c r="E425" s="357">
        <f t="shared" si="133"/>
        <v>62</v>
      </c>
      <c r="F425" s="356">
        <f t="shared" si="125"/>
        <v>841543.4022620908</v>
      </c>
      <c r="H425" s="356">
        <f t="shared" si="121"/>
        <v>6710.585266655362</v>
      </c>
      <c r="I425" s="356">
        <v>0</v>
      </c>
      <c r="J425" s="360">
        <f>-SUM(F425:H425)*$J$21</f>
        <v>-7634.285887758716</v>
      </c>
      <c r="K425" s="356">
        <f t="shared" si="126"/>
        <v>-840.6197016409874</v>
      </c>
      <c r="L425" s="356">
        <f t="shared" si="122"/>
        <v>839779.0819393464</v>
      </c>
      <c r="N425" s="356">
        <f t="shared" si="127"/>
        <v>402</v>
      </c>
      <c r="O425" s="357">
        <f t="shared" si="134"/>
        <v>33</v>
      </c>
      <c r="P425" s="357">
        <f t="shared" si="135"/>
        <v>6</v>
      </c>
      <c r="Q425" s="357">
        <f t="shared" si="136"/>
        <v>33</v>
      </c>
      <c r="R425" s="356">
        <f t="shared" si="128"/>
        <v>18963168.12489372</v>
      </c>
      <c r="S425" s="356">
        <f>IF($G$4="mensual",S424,0)</f>
        <v>10000</v>
      </c>
      <c r="U425" s="356">
        <f t="shared" si="137"/>
        <v>151294.70700910324</v>
      </c>
      <c r="V425" s="359">
        <f t="shared" si="120"/>
        <v>-278.0066395700352</v>
      </c>
      <c r="X425" s="359">
        <f t="shared" si="119"/>
        <v>-19124.462831902823</v>
      </c>
      <c r="Y425" s="356">
        <f t="shared" si="123"/>
        <v>19105060.36243135</v>
      </c>
      <c r="AA425" s="357">
        <f>+Bono!J425</f>
        <v>419563.0974472037</v>
      </c>
      <c r="AC425" s="378">
        <f t="shared" si="129"/>
        <v>33.5</v>
      </c>
      <c r="AD425" s="356">
        <f t="shared" si="130"/>
        <v>20364402.541817904</v>
      </c>
    </row>
    <row r="426" spans="2:30" x14ac:dyDescent="0.25">
      <c r="B426" s="356">
        <f t="shared" si="124"/>
        <v>403</v>
      </c>
      <c r="C426" s="357">
        <f t="shared" si="131"/>
        <v>33</v>
      </c>
      <c r="D426" s="357">
        <f t="shared" si="132"/>
        <v>7</v>
      </c>
      <c r="E426" s="357">
        <f t="shared" si="133"/>
        <v>62</v>
      </c>
      <c r="F426" s="356">
        <f t="shared" si="125"/>
        <v>839779.0819393464</v>
      </c>
      <c r="H426" s="356">
        <f t="shared" si="121"/>
        <v>6696.516328640229</v>
      </c>
      <c r="I426" s="356">
        <v>0</v>
      </c>
      <c r="J426" s="356">
        <v>0</v>
      </c>
      <c r="K426" s="356">
        <f t="shared" si="126"/>
        <v>-846.4755982679867</v>
      </c>
      <c r="L426" s="356">
        <f t="shared" si="122"/>
        <v>845629.1226697187</v>
      </c>
      <c r="N426" s="356">
        <f t="shared" si="127"/>
        <v>403</v>
      </c>
      <c r="O426" s="357">
        <f t="shared" si="134"/>
        <v>33</v>
      </c>
      <c r="P426" s="357">
        <f t="shared" si="135"/>
        <v>7</v>
      </c>
      <c r="Q426" s="357">
        <f t="shared" si="136"/>
        <v>33</v>
      </c>
      <c r="R426" s="356">
        <f t="shared" si="128"/>
        <v>19105060.36243135</v>
      </c>
      <c r="S426" s="356">
        <f>+IF($G$4="mensual",S420,IF($G$4="trimestral",S420,IF($G$4="semestral",S420,0)))</f>
        <v>10000</v>
      </c>
      <c r="U426" s="356">
        <f t="shared" si="137"/>
        <v>152426.1756369997</v>
      </c>
      <c r="V426" s="359">
        <f t="shared" si="120"/>
        <v>-278.0066395700352</v>
      </c>
      <c r="X426" s="359">
        <f t="shared" si="119"/>
        <v>-19267.48653806835</v>
      </c>
      <c r="Y426" s="356">
        <f t="shared" si="123"/>
        <v>19247941.044890713</v>
      </c>
      <c r="AA426" s="357">
        <f>+Bono!J426</f>
        <v>422164.4373176834</v>
      </c>
      <c r="AC426" s="378">
        <f t="shared" si="129"/>
        <v>33.583333333333336</v>
      </c>
      <c r="AD426" s="356">
        <f t="shared" si="130"/>
        <v>20515734.604878116</v>
      </c>
    </row>
    <row r="427" spans="2:30" x14ac:dyDescent="0.25">
      <c r="B427" s="356">
        <f t="shared" si="124"/>
        <v>404</v>
      </c>
      <c r="C427" s="357">
        <f t="shared" si="131"/>
        <v>33</v>
      </c>
      <c r="D427" s="357">
        <f t="shared" si="132"/>
        <v>8</v>
      </c>
      <c r="E427" s="357">
        <f t="shared" si="133"/>
        <v>62</v>
      </c>
      <c r="F427" s="356">
        <f t="shared" si="125"/>
        <v>845629.1226697187</v>
      </c>
      <c r="H427" s="356">
        <f t="shared" si="121"/>
        <v>6743.165374939024</v>
      </c>
      <c r="I427" s="356">
        <v>0</v>
      </c>
      <c r="J427" s="356">
        <v>0</v>
      </c>
      <c r="K427" s="356">
        <f t="shared" si="126"/>
        <v>-852.3722880446577</v>
      </c>
      <c r="L427" s="356">
        <f t="shared" si="122"/>
        <v>851519.915756613</v>
      </c>
      <c r="N427" s="356">
        <f t="shared" si="127"/>
        <v>404</v>
      </c>
      <c r="O427" s="357">
        <f t="shared" si="134"/>
        <v>33</v>
      </c>
      <c r="P427" s="357">
        <f t="shared" si="135"/>
        <v>8</v>
      </c>
      <c r="Q427" s="357">
        <f t="shared" si="136"/>
        <v>33</v>
      </c>
      <c r="R427" s="356">
        <f t="shared" si="128"/>
        <v>19247941.044890713</v>
      </c>
      <c r="S427" s="356">
        <f>IF($G$4="mensual",S426,0)</f>
        <v>10000</v>
      </c>
      <c r="U427" s="356">
        <f t="shared" si="137"/>
        <v>153565.52626350825</v>
      </c>
      <c r="V427" s="359">
        <f t="shared" si="120"/>
        <v>-278.0066395700352</v>
      </c>
      <c r="X427" s="359">
        <f t="shared" ref="X427:X490" si="138">-SUM(R427:U427)*0.1%</f>
        <v>-19411.506571154223</v>
      </c>
      <c r="Y427" s="356">
        <f t="shared" si="123"/>
        <v>19391817.057943497</v>
      </c>
      <c r="AA427" s="357">
        <f>+Bono!J427</f>
        <v>424781.9057970969</v>
      </c>
      <c r="AC427" s="378">
        <f t="shared" si="129"/>
        <v>33.666666666666664</v>
      </c>
      <c r="AD427" s="356">
        <f t="shared" si="130"/>
        <v>20668118.879497208</v>
      </c>
    </row>
    <row r="428" spans="2:30" x14ac:dyDescent="0.25">
      <c r="B428" s="356">
        <f t="shared" si="124"/>
        <v>405</v>
      </c>
      <c r="C428" s="357">
        <f t="shared" si="131"/>
        <v>33</v>
      </c>
      <c r="D428" s="357">
        <f t="shared" si="132"/>
        <v>9</v>
      </c>
      <c r="E428" s="357">
        <f t="shared" si="133"/>
        <v>62</v>
      </c>
      <c r="F428" s="356">
        <f t="shared" si="125"/>
        <v>851519.915756613</v>
      </c>
      <c r="H428" s="356">
        <f t="shared" si="121"/>
        <v>6790.139386251535</v>
      </c>
      <c r="I428" s="356">
        <v>0</v>
      </c>
      <c r="J428" s="360">
        <f>-SUM(F428:H428)*$J$21</f>
        <v>-7724.790496285782</v>
      </c>
      <c r="K428" s="356">
        <f t="shared" si="126"/>
        <v>-850.5852646465788</v>
      </c>
      <c r="L428" s="356">
        <f t="shared" si="122"/>
        <v>849734.6793819322</v>
      </c>
      <c r="N428" s="356">
        <f t="shared" si="127"/>
        <v>405</v>
      </c>
      <c r="O428" s="357">
        <f t="shared" si="134"/>
        <v>33</v>
      </c>
      <c r="P428" s="357">
        <f t="shared" si="135"/>
        <v>9</v>
      </c>
      <c r="Q428" s="357">
        <f t="shared" si="136"/>
        <v>33</v>
      </c>
      <c r="R428" s="356">
        <f t="shared" si="128"/>
        <v>19391817.057943497</v>
      </c>
      <c r="S428" s="356">
        <f>IF($G$4="mensual",S427,0)</f>
        <v>10000</v>
      </c>
      <c r="U428" s="356">
        <f t="shared" si="137"/>
        <v>154712.81379594194</v>
      </c>
      <c r="V428" s="359">
        <f t="shared" si="120"/>
        <v>-278.0066395700352</v>
      </c>
      <c r="X428" s="359">
        <f t="shared" si="138"/>
        <v>-19556.52987173944</v>
      </c>
      <c r="Y428" s="356">
        <f t="shared" si="123"/>
        <v>19536695.33522813</v>
      </c>
      <c r="AA428" s="357">
        <f>+Bono!J428</f>
        <v>423565.0118677111</v>
      </c>
      <c r="AC428" s="378">
        <f t="shared" si="129"/>
        <v>33.75</v>
      </c>
      <c r="AD428" s="356">
        <f t="shared" si="130"/>
        <v>20809995.026477773</v>
      </c>
    </row>
    <row r="429" spans="2:30" x14ac:dyDescent="0.25">
      <c r="B429" s="356">
        <f t="shared" si="124"/>
        <v>406</v>
      </c>
      <c r="C429" s="357">
        <f t="shared" si="131"/>
        <v>33</v>
      </c>
      <c r="D429" s="357">
        <f t="shared" si="132"/>
        <v>10</v>
      </c>
      <c r="E429" s="357">
        <f t="shared" si="133"/>
        <v>62</v>
      </c>
      <c r="F429" s="356">
        <f t="shared" si="125"/>
        <v>849734.6793819322</v>
      </c>
      <c r="H429" s="356">
        <f t="shared" si="121"/>
        <v>6775.903660701044</v>
      </c>
      <c r="I429" s="356">
        <v>0</v>
      </c>
      <c r="J429" s="356">
        <v>0</v>
      </c>
      <c r="K429" s="356">
        <f t="shared" si="126"/>
        <v>-856.5105830426332</v>
      </c>
      <c r="L429" s="356">
        <f t="shared" si="122"/>
        <v>855654.0724595906</v>
      </c>
      <c r="N429" s="356">
        <f t="shared" si="127"/>
        <v>406</v>
      </c>
      <c r="O429" s="357">
        <f t="shared" si="134"/>
        <v>33</v>
      </c>
      <c r="P429" s="357">
        <f t="shared" si="135"/>
        <v>10</v>
      </c>
      <c r="Q429" s="357">
        <f t="shared" si="136"/>
        <v>33</v>
      </c>
      <c r="R429" s="356">
        <f t="shared" si="128"/>
        <v>19536695.33522813</v>
      </c>
      <c r="S429" s="356">
        <f>IF($G$4="mensual",S420,IF($G$4="trimestral",S420,0))</f>
        <v>10000</v>
      </c>
      <c r="U429" s="356">
        <f t="shared" si="137"/>
        <v>155868.09352410724</v>
      </c>
      <c r="V429" s="359">
        <f t="shared" si="120"/>
        <v>-278.0066395700352</v>
      </c>
      <c r="X429" s="359">
        <f t="shared" si="138"/>
        <v>-19702.563428752237</v>
      </c>
      <c r="Y429" s="356">
        <f t="shared" si="123"/>
        <v>19682582.858683914</v>
      </c>
      <c r="AA429" s="357">
        <f>+Bono!J429</f>
        <v>426191.16407179134</v>
      </c>
      <c r="AC429" s="378">
        <f t="shared" si="129"/>
        <v>33.833333333333336</v>
      </c>
      <c r="AD429" s="356">
        <f t="shared" si="130"/>
        <v>20964428.095215295</v>
      </c>
    </row>
    <row r="430" spans="2:30" x14ac:dyDescent="0.25">
      <c r="B430" s="356">
        <f t="shared" si="124"/>
        <v>407</v>
      </c>
      <c r="C430" s="357">
        <f t="shared" si="131"/>
        <v>33</v>
      </c>
      <c r="D430" s="357">
        <f t="shared" si="132"/>
        <v>11</v>
      </c>
      <c r="E430" s="357">
        <f t="shared" si="133"/>
        <v>62</v>
      </c>
      <c r="F430" s="356">
        <f t="shared" si="125"/>
        <v>855654.0724595906</v>
      </c>
      <c r="H430" s="356">
        <f t="shared" si="121"/>
        <v>6823.105732356173</v>
      </c>
      <c r="I430" s="356">
        <v>0</v>
      </c>
      <c r="J430" s="356">
        <v>0</v>
      </c>
      <c r="K430" s="356">
        <f t="shared" si="126"/>
        <v>-862.4771781919468</v>
      </c>
      <c r="L430" s="356">
        <f t="shared" si="122"/>
        <v>861614.7010137548</v>
      </c>
      <c r="N430" s="356">
        <f t="shared" si="127"/>
        <v>407</v>
      </c>
      <c r="O430" s="357">
        <f t="shared" si="134"/>
        <v>33</v>
      </c>
      <c r="P430" s="357">
        <f t="shared" si="135"/>
        <v>11</v>
      </c>
      <c r="Q430" s="357">
        <f t="shared" si="136"/>
        <v>33</v>
      </c>
      <c r="R430" s="356">
        <f t="shared" si="128"/>
        <v>19682582.858683914</v>
      </c>
      <c r="S430" s="356">
        <f>IF($G$17="si",S418*(1+$G$20),S418)</f>
        <v>10000</v>
      </c>
      <c r="U430" s="356">
        <f t="shared" si="137"/>
        <v>157031.42112296866</v>
      </c>
      <c r="V430" s="359">
        <f t="shared" si="120"/>
        <v>-278.0066395700352</v>
      </c>
      <c r="X430" s="359">
        <f t="shared" si="138"/>
        <v>-19849.614279806883</v>
      </c>
      <c r="Y430" s="356">
        <f t="shared" si="123"/>
        <v>19829486.658887506</v>
      </c>
      <c r="AA430" s="357">
        <f>+Bono!J430</f>
        <v>428833.5987241517</v>
      </c>
      <c r="AC430" s="378">
        <f t="shared" si="129"/>
        <v>33.916666666666664</v>
      </c>
      <c r="AD430" s="356">
        <f t="shared" si="130"/>
        <v>21119934.958625413</v>
      </c>
    </row>
    <row r="431" spans="2:30" x14ac:dyDescent="0.25">
      <c r="B431" s="356">
        <f t="shared" si="124"/>
        <v>408</v>
      </c>
      <c r="C431" s="357">
        <f t="shared" si="131"/>
        <v>33</v>
      </c>
      <c r="D431" s="357">
        <f t="shared" si="132"/>
        <v>12</v>
      </c>
      <c r="E431" s="357">
        <f t="shared" si="133"/>
        <v>62</v>
      </c>
      <c r="F431" s="356">
        <f t="shared" si="125"/>
        <v>861614.7010137548</v>
      </c>
      <c r="H431" s="356">
        <f t="shared" si="121"/>
        <v>6870.636621491612</v>
      </c>
      <c r="I431" s="356">
        <v>0</v>
      </c>
      <c r="J431" s="360">
        <f>-SUM(F431:H431)*$J$21</f>
        <v>-7816.368038717219</v>
      </c>
      <c r="K431" s="356">
        <f t="shared" si="126"/>
        <v>-860.6689695965293</v>
      </c>
      <c r="L431" s="356">
        <f t="shared" si="122"/>
        <v>859808.3006269328</v>
      </c>
      <c r="N431" s="356">
        <f t="shared" si="127"/>
        <v>408</v>
      </c>
      <c r="O431" s="357">
        <f t="shared" si="134"/>
        <v>33</v>
      </c>
      <c r="P431" s="357">
        <f t="shared" si="135"/>
        <v>12</v>
      </c>
      <c r="Q431" s="357">
        <f t="shared" si="136"/>
        <v>33</v>
      </c>
      <c r="R431" s="356">
        <f t="shared" si="128"/>
        <v>19829486.658887506</v>
      </c>
      <c r="S431" s="356">
        <f>IF($G$4="mensual",S430,0)</f>
        <v>10000</v>
      </c>
      <c r="U431" s="356">
        <f t="shared" si="137"/>
        <v>158202.85265533172</v>
      </c>
      <c r="V431" s="359">
        <f t="shared" si="120"/>
        <v>-278.0066395700352</v>
      </c>
      <c r="X431" s="359">
        <f t="shared" si="138"/>
        <v>-19997.689511542838</v>
      </c>
      <c r="Y431" s="356">
        <f t="shared" si="123"/>
        <v>19977413.815391727</v>
      </c>
      <c r="AA431" s="357">
        <f>+Bono!J431</f>
        <v>427605.0977077894</v>
      </c>
      <c r="AC431" s="378">
        <f t="shared" si="129"/>
        <v>34</v>
      </c>
      <c r="AD431" s="356">
        <f t="shared" si="130"/>
        <v>21264827.21372645</v>
      </c>
    </row>
    <row r="432" spans="2:30" x14ac:dyDescent="0.25">
      <c r="B432" s="356">
        <f t="shared" si="124"/>
        <v>409</v>
      </c>
      <c r="C432" s="357">
        <f t="shared" si="131"/>
        <v>34</v>
      </c>
      <c r="D432" s="357">
        <f t="shared" si="132"/>
        <v>1</v>
      </c>
      <c r="E432" s="357">
        <f t="shared" si="133"/>
        <v>63</v>
      </c>
      <c r="F432" s="356">
        <f t="shared" si="125"/>
        <v>859808.3006269328</v>
      </c>
      <c r="H432" s="356">
        <f t="shared" si="121"/>
        <v>6856.232131136267</v>
      </c>
      <c r="I432" s="356">
        <v>0</v>
      </c>
      <c r="J432" s="356">
        <v>0</v>
      </c>
      <c r="K432" s="356">
        <f t="shared" si="126"/>
        <v>-866.664532758069</v>
      </c>
      <c r="L432" s="356">
        <f t="shared" si="122"/>
        <v>865797.8682253109</v>
      </c>
      <c r="N432" s="356">
        <f t="shared" si="127"/>
        <v>409</v>
      </c>
      <c r="O432" s="357">
        <f t="shared" si="134"/>
        <v>34</v>
      </c>
      <c r="P432" s="357">
        <f t="shared" si="135"/>
        <v>1</v>
      </c>
      <c r="Q432" s="357">
        <f t="shared" si="136"/>
        <v>34</v>
      </c>
      <c r="R432" s="356">
        <f t="shared" si="128"/>
        <v>19977413.815391727</v>
      </c>
      <c r="S432" s="356">
        <f>IF($G$17="si",S420*(1+$G$20),S420)</f>
        <v>10000</v>
      </c>
      <c r="U432" s="356">
        <f t="shared" si="137"/>
        <v>159382.44457454482</v>
      </c>
      <c r="V432" s="359">
        <f>(V431*(1+$G$18))</f>
        <v>-289.1269051528366</v>
      </c>
      <c r="X432" s="359">
        <f t="shared" si="138"/>
        <v>-20146.79625996627</v>
      </c>
      <c r="Y432" s="356">
        <f t="shared" si="123"/>
        <v>20126360.336801153</v>
      </c>
      <c r="AA432" s="357">
        <f>+Bono!J432</f>
        <v>430256.29891269904</v>
      </c>
      <c r="AC432" s="378">
        <f t="shared" si="129"/>
        <v>34.083333333333336</v>
      </c>
      <c r="AD432" s="356">
        <f t="shared" si="130"/>
        <v>21422414.503939163</v>
      </c>
    </row>
    <row r="433" spans="2:30" x14ac:dyDescent="0.25">
      <c r="B433" s="356">
        <f t="shared" si="124"/>
        <v>410</v>
      </c>
      <c r="C433" s="357">
        <f t="shared" si="131"/>
        <v>34</v>
      </c>
      <c r="D433" s="357">
        <f t="shared" si="132"/>
        <v>2</v>
      </c>
      <c r="E433" s="357">
        <f t="shared" si="133"/>
        <v>63</v>
      </c>
      <c r="F433" s="356">
        <f t="shared" si="125"/>
        <v>865797.8682253109</v>
      </c>
      <c r="H433" s="356">
        <f t="shared" si="121"/>
        <v>6903.993784274146</v>
      </c>
      <c r="I433" s="356">
        <v>0</v>
      </c>
      <c r="J433" s="356">
        <v>0</v>
      </c>
      <c r="K433" s="356">
        <f t="shared" si="126"/>
        <v>-872.701862009585</v>
      </c>
      <c r="L433" s="356">
        <f t="shared" si="122"/>
        <v>871829.1601475754</v>
      </c>
      <c r="N433" s="356">
        <f t="shared" si="127"/>
        <v>410</v>
      </c>
      <c r="O433" s="357">
        <f t="shared" si="134"/>
        <v>34</v>
      </c>
      <c r="P433" s="357">
        <f t="shared" si="135"/>
        <v>2</v>
      </c>
      <c r="Q433" s="357">
        <f t="shared" si="136"/>
        <v>34</v>
      </c>
      <c r="R433" s="356">
        <f t="shared" si="128"/>
        <v>20126360.336801153</v>
      </c>
      <c r="S433" s="356">
        <f>IF($G$4="mensual",S432,0)</f>
        <v>10000</v>
      </c>
      <c r="U433" s="356">
        <f t="shared" si="137"/>
        <v>160570.1650526603</v>
      </c>
      <c r="V433" s="359">
        <f t="shared" ref="V433:V496" si="139">V432</f>
        <v>-289.1269051528366</v>
      </c>
      <c r="X433" s="359">
        <f t="shared" si="138"/>
        <v>-20296.930501853814</v>
      </c>
      <c r="Y433" s="356">
        <f t="shared" si="123"/>
        <v>20276344.444446806</v>
      </c>
      <c r="AA433" s="357">
        <f>+Bono!J433</f>
        <v>432923.93787259946</v>
      </c>
      <c r="AC433" s="378">
        <f t="shared" si="129"/>
        <v>34.166666666666664</v>
      </c>
      <c r="AD433" s="356">
        <f t="shared" si="130"/>
        <v>21581097.54246698</v>
      </c>
    </row>
    <row r="434" spans="2:30" x14ac:dyDescent="0.25">
      <c r="B434" s="356">
        <f t="shared" si="124"/>
        <v>411</v>
      </c>
      <c r="C434" s="357">
        <f t="shared" si="131"/>
        <v>34</v>
      </c>
      <c r="D434" s="357">
        <f t="shared" si="132"/>
        <v>3</v>
      </c>
      <c r="E434" s="357">
        <f t="shared" si="133"/>
        <v>63</v>
      </c>
      <c r="F434" s="356">
        <f t="shared" si="125"/>
        <v>871829.1601475754</v>
      </c>
      <c r="H434" s="356">
        <f t="shared" si="121"/>
        <v>6952.088153029996</v>
      </c>
      <c r="I434" s="356">
        <v>0</v>
      </c>
      <c r="J434" s="360">
        <f>-SUM(F434:H434)*$J$21</f>
        <v>-7909.03123470545</v>
      </c>
      <c r="K434" s="356">
        <f t="shared" si="126"/>
        <v>-870.8722170659</v>
      </c>
      <c r="L434" s="356">
        <f t="shared" si="122"/>
        <v>870001.3448488341</v>
      </c>
      <c r="N434" s="356">
        <f t="shared" si="127"/>
        <v>411</v>
      </c>
      <c r="O434" s="357">
        <f t="shared" si="134"/>
        <v>34</v>
      </c>
      <c r="P434" s="357">
        <f t="shared" si="135"/>
        <v>3</v>
      </c>
      <c r="Q434" s="357">
        <f t="shared" si="136"/>
        <v>34</v>
      </c>
      <c r="R434" s="356">
        <f t="shared" si="128"/>
        <v>20276344.444446806</v>
      </c>
      <c r="S434" s="356">
        <f>IF($G$4="mensual",S433,0)</f>
        <v>10000</v>
      </c>
      <c r="U434" s="356">
        <f t="shared" si="137"/>
        <v>161766.15938913054</v>
      </c>
      <c r="V434" s="359">
        <f t="shared" si="139"/>
        <v>-289.1269051528366</v>
      </c>
      <c r="X434" s="359">
        <f t="shared" si="138"/>
        <v>-20448.110603835936</v>
      </c>
      <c r="Y434" s="356">
        <f t="shared" si="123"/>
        <v>20427373.366326947</v>
      </c>
      <c r="AA434" s="357">
        <f>+Bono!J434</f>
        <v>431683.71905750094</v>
      </c>
      <c r="AC434" s="378">
        <f t="shared" si="129"/>
        <v>34.25</v>
      </c>
      <c r="AD434" s="356">
        <f t="shared" si="130"/>
        <v>21729058.43023328</v>
      </c>
    </row>
    <row r="435" spans="2:30" x14ac:dyDescent="0.25">
      <c r="B435" s="356">
        <f t="shared" si="124"/>
        <v>412</v>
      </c>
      <c r="C435" s="357">
        <f t="shared" si="131"/>
        <v>34</v>
      </c>
      <c r="D435" s="357">
        <f t="shared" si="132"/>
        <v>4</v>
      </c>
      <c r="E435" s="357">
        <f t="shared" si="133"/>
        <v>63</v>
      </c>
      <c r="F435" s="356">
        <f t="shared" si="125"/>
        <v>870001.3448488341</v>
      </c>
      <c r="H435" s="356">
        <f t="shared" si="121"/>
        <v>6937.512897159733</v>
      </c>
      <c r="I435" s="356">
        <v>0</v>
      </c>
      <c r="J435" s="356">
        <v>0</v>
      </c>
      <c r="K435" s="356">
        <f t="shared" si="126"/>
        <v>-876.9388577459939</v>
      </c>
      <c r="L435" s="356">
        <f t="shared" si="122"/>
        <v>876061.9188882479</v>
      </c>
      <c r="N435" s="356">
        <f t="shared" si="127"/>
        <v>412</v>
      </c>
      <c r="O435" s="357">
        <f t="shared" si="134"/>
        <v>34</v>
      </c>
      <c r="P435" s="357">
        <f t="shared" si="135"/>
        <v>4</v>
      </c>
      <c r="Q435" s="357">
        <f t="shared" si="136"/>
        <v>34</v>
      </c>
      <c r="R435" s="356">
        <f t="shared" si="128"/>
        <v>20427373.366326947</v>
      </c>
      <c r="S435" s="356">
        <f>IF($G$4="mensual",S432,IF($G$4="trimestral",S432,0))</f>
        <v>10000</v>
      </c>
      <c r="U435" s="356">
        <f t="shared" si="137"/>
        <v>162970.48522102874</v>
      </c>
      <c r="V435" s="359">
        <f t="shared" si="139"/>
        <v>-289.1269051528366</v>
      </c>
      <c r="X435" s="359">
        <f t="shared" si="138"/>
        <v>-20600.343851547976</v>
      </c>
      <c r="Y435" s="356">
        <f t="shared" si="123"/>
        <v>20579454.380791273</v>
      </c>
      <c r="AA435" s="357">
        <f>+Bono!J435</f>
        <v>434360.20818786963</v>
      </c>
      <c r="AC435" s="378">
        <f t="shared" si="129"/>
        <v>34.333333333333336</v>
      </c>
      <c r="AD435" s="356">
        <f t="shared" si="130"/>
        <v>21889876.507867392</v>
      </c>
    </row>
    <row r="436" spans="2:30" x14ac:dyDescent="0.25">
      <c r="B436" s="356">
        <f t="shared" si="124"/>
        <v>413</v>
      </c>
      <c r="C436" s="357">
        <f t="shared" si="131"/>
        <v>34</v>
      </c>
      <c r="D436" s="357">
        <f t="shared" si="132"/>
        <v>5</v>
      </c>
      <c r="E436" s="357">
        <f t="shared" si="133"/>
        <v>63</v>
      </c>
      <c r="F436" s="356">
        <f t="shared" si="125"/>
        <v>876061.9188882479</v>
      </c>
      <c r="H436" s="356">
        <f t="shared" si="121"/>
        <v>6985.840765629788</v>
      </c>
      <c r="I436" s="356">
        <v>0</v>
      </c>
      <c r="J436" s="356">
        <v>0</v>
      </c>
      <c r="K436" s="356">
        <f t="shared" si="126"/>
        <v>-883.0477596538777</v>
      </c>
      <c r="L436" s="356">
        <f t="shared" si="122"/>
        <v>882164.7118942238</v>
      </c>
      <c r="N436" s="356">
        <f t="shared" si="127"/>
        <v>413</v>
      </c>
      <c r="O436" s="357">
        <f t="shared" si="134"/>
        <v>34</v>
      </c>
      <c r="P436" s="357">
        <f t="shared" si="135"/>
        <v>5</v>
      </c>
      <c r="Q436" s="357">
        <f t="shared" si="136"/>
        <v>34</v>
      </c>
      <c r="R436" s="356">
        <f t="shared" si="128"/>
        <v>20579454.380791273</v>
      </c>
      <c r="S436" s="356">
        <f>IF($G$4="mensual",S435,0)</f>
        <v>10000</v>
      </c>
      <c r="U436" s="356">
        <f t="shared" si="137"/>
        <v>164183.2005869374</v>
      </c>
      <c r="V436" s="359">
        <f t="shared" si="139"/>
        <v>-289.1269051528366</v>
      </c>
      <c r="X436" s="359">
        <f t="shared" si="138"/>
        <v>-20753.63758137821</v>
      </c>
      <c r="Y436" s="356">
        <f t="shared" si="123"/>
        <v>20732594.816891678</v>
      </c>
      <c r="AA436" s="357">
        <f>+Bono!J436</f>
        <v>437053.2918613001</v>
      </c>
      <c r="AC436" s="378">
        <f t="shared" si="129"/>
        <v>34.416666666666664</v>
      </c>
      <c r="AD436" s="356">
        <f t="shared" si="130"/>
        <v>22051812.820647202</v>
      </c>
    </row>
    <row r="437" spans="2:30" x14ac:dyDescent="0.25">
      <c r="B437" s="356">
        <f t="shared" si="124"/>
        <v>414</v>
      </c>
      <c r="C437" s="357">
        <f t="shared" si="131"/>
        <v>34</v>
      </c>
      <c r="D437" s="357">
        <f t="shared" si="132"/>
        <v>6</v>
      </c>
      <c r="E437" s="357">
        <f t="shared" si="133"/>
        <v>63</v>
      </c>
      <c r="F437" s="356">
        <f t="shared" si="125"/>
        <v>882164.7118942238</v>
      </c>
      <c r="H437" s="356">
        <f t="shared" si="121"/>
        <v>7034.505294067972</v>
      </c>
      <c r="I437" s="356">
        <v>0</v>
      </c>
      <c r="J437" s="360">
        <f>-SUM(F437:H437)*$J$21</f>
        <v>-8002.792954694627</v>
      </c>
      <c r="K437" s="356">
        <f t="shared" si="126"/>
        <v>-881.1964242335972</v>
      </c>
      <c r="L437" s="356">
        <f t="shared" si="122"/>
        <v>880315.2278093636</v>
      </c>
      <c r="N437" s="356">
        <f t="shared" si="127"/>
        <v>414</v>
      </c>
      <c r="O437" s="357">
        <f t="shared" si="134"/>
        <v>34</v>
      </c>
      <c r="P437" s="357">
        <f t="shared" si="135"/>
        <v>6</v>
      </c>
      <c r="Q437" s="357">
        <f t="shared" si="136"/>
        <v>34</v>
      </c>
      <c r="R437" s="356">
        <f t="shared" si="128"/>
        <v>20732594.816891678</v>
      </c>
      <c r="S437" s="356">
        <f>IF($G$4="mensual",S436,0)</f>
        <v>10000</v>
      </c>
      <c r="U437" s="356">
        <f t="shared" si="137"/>
        <v>165404.3639297456</v>
      </c>
      <c r="V437" s="359">
        <f t="shared" si="139"/>
        <v>-289.1269051528366</v>
      </c>
      <c r="X437" s="359">
        <f t="shared" si="138"/>
        <v>-20907.99918082142</v>
      </c>
      <c r="Y437" s="356">
        <f t="shared" si="123"/>
        <v>20886802.05473545</v>
      </c>
      <c r="AA437" s="357">
        <f>+Bono!J437</f>
        <v>435801.24347970507</v>
      </c>
      <c r="AC437" s="378">
        <f t="shared" si="129"/>
        <v>34.5</v>
      </c>
      <c r="AD437" s="356">
        <f t="shared" si="130"/>
        <v>22202918.526024517</v>
      </c>
    </row>
    <row r="438" spans="2:30" x14ac:dyDescent="0.25">
      <c r="B438" s="356">
        <f t="shared" si="124"/>
        <v>415</v>
      </c>
      <c r="C438" s="357">
        <f t="shared" si="131"/>
        <v>34</v>
      </c>
      <c r="D438" s="357">
        <f t="shared" si="132"/>
        <v>7</v>
      </c>
      <c r="E438" s="357">
        <f t="shared" si="133"/>
        <v>63</v>
      </c>
      <c r="F438" s="356">
        <f t="shared" si="125"/>
        <v>880315.2278093636</v>
      </c>
      <c r="H438" s="356">
        <f t="shared" si="121"/>
        <v>7019.757248254274</v>
      </c>
      <c r="I438" s="356">
        <v>0</v>
      </c>
      <c r="J438" s="356">
        <v>0</v>
      </c>
      <c r="K438" s="356">
        <f t="shared" si="126"/>
        <v>-887.3349850576179</v>
      </c>
      <c r="L438" s="356">
        <f t="shared" si="122"/>
        <v>886447.6500725603</v>
      </c>
      <c r="N438" s="356">
        <f t="shared" si="127"/>
        <v>415</v>
      </c>
      <c r="O438" s="357">
        <f t="shared" si="134"/>
        <v>34</v>
      </c>
      <c r="P438" s="357">
        <f t="shared" si="135"/>
        <v>7</v>
      </c>
      <c r="Q438" s="357">
        <f t="shared" si="136"/>
        <v>34</v>
      </c>
      <c r="R438" s="356">
        <f t="shared" si="128"/>
        <v>20886802.05473545</v>
      </c>
      <c r="S438" s="356">
        <f>+IF($G$4="mensual",S432,IF($G$4="trimestral",S432,IF($G$4="semestral",S432,0)))</f>
        <v>10000</v>
      </c>
      <c r="U438" s="356">
        <f t="shared" si="137"/>
        <v>166634.03409946518</v>
      </c>
      <c r="V438" s="359">
        <f t="shared" si="139"/>
        <v>-289.1269051528366</v>
      </c>
      <c r="X438" s="359">
        <f t="shared" si="138"/>
        <v>-21063.43608883491</v>
      </c>
      <c r="Y438" s="356">
        <f t="shared" si="123"/>
        <v>21042083.525840923</v>
      </c>
      <c r="AA438" s="357">
        <f>+Bono!J438</f>
        <v>438503.2617390947</v>
      </c>
      <c r="AC438" s="378">
        <f t="shared" si="129"/>
        <v>34.583333333333336</v>
      </c>
      <c r="AD438" s="356">
        <f t="shared" si="130"/>
        <v>22367034.437652577</v>
      </c>
    </row>
    <row r="439" spans="2:30" x14ac:dyDescent="0.25">
      <c r="B439" s="356">
        <f t="shared" si="124"/>
        <v>416</v>
      </c>
      <c r="C439" s="357">
        <f t="shared" si="131"/>
        <v>34</v>
      </c>
      <c r="D439" s="357">
        <f t="shared" si="132"/>
        <v>8</v>
      </c>
      <c r="E439" s="357">
        <f t="shared" si="133"/>
        <v>63</v>
      </c>
      <c r="F439" s="356">
        <f t="shared" si="125"/>
        <v>886447.6500725603</v>
      </c>
      <c r="H439" s="356">
        <f t="shared" si="121"/>
        <v>7068.65804455034</v>
      </c>
      <c r="I439" s="356">
        <v>0</v>
      </c>
      <c r="J439" s="356">
        <v>0</v>
      </c>
      <c r="K439" s="356">
        <f t="shared" si="126"/>
        <v>-893.5163081171106</v>
      </c>
      <c r="L439" s="356">
        <f t="shared" si="122"/>
        <v>892622.7918089936</v>
      </c>
      <c r="N439" s="356">
        <f t="shared" si="127"/>
        <v>416</v>
      </c>
      <c r="O439" s="357">
        <f t="shared" si="134"/>
        <v>34</v>
      </c>
      <c r="P439" s="357">
        <f t="shared" si="135"/>
        <v>8</v>
      </c>
      <c r="Q439" s="357">
        <f t="shared" si="136"/>
        <v>34</v>
      </c>
      <c r="R439" s="356">
        <f t="shared" si="128"/>
        <v>21042083.525840923</v>
      </c>
      <c r="S439" s="356">
        <f>IF($G$4="mensual",S438,0)</f>
        <v>10000</v>
      </c>
      <c r="U439" s="356">
        <f t="shared" si="137"/>
        <v>167872.27035606702</v>
      </c>
      <c r="V439" s="359">
        <f t="shared" si="139"/>
        <v>-289.1269051528366</v>
      </c>
      <c r="X439" s="359">
        <f t="shared" si="138"/>
        <v>-21219.95579619699</v>
      </c>
      <c r="Y439" s="356">
        <f t="shared" si="123"/>
        <v>21198446.71349564</v>
      </c>
      <c r="AA439" s="357">
        <f>+Bono!J439</f>
        <v>441222.0328251073</v>
      </c>
      <c r="AC439" s="378">
        <f t="shared" si="129"/>
        <v>34.666666666666664</v>
      </c>
      <c r="AD439" s="356">
        <f t="shared" si="130"/>
        <v>22532291.53812974</v>
      </c>
    </row>
    <row r="440" spans="2:30" x14ac:dyDescent="0.25">
      <c r="B440" s="356">
        <f t="shared" si="124"/>
        <v>417</v>
      </c>
      <c r="C440" s="357">
        <f t="shared" si="131"/>
        <v>34</v>
      </c>
      <c r="D440" s="357">
        <f t="shared" si="132"/>
        <v>9</v>
      </c>
      <c r="E440" s="357">
        <f t="shared" si="133"/>
        <v>63</v>
      </c>
      <c r="F440" s="356">
        <f t="shared" si="125"/>
        <v>892622.7918089936</v>
      </c>
      <c r="H440" s="356">
        <f t="shared" si="121"/>
        <v>7117.899491925044</v>
      </c>
      <c r="I440" s="356">
        <v>0</v>
      </c>
      <c r="J440" s="360">
        <f>-SUM(F440:H440)*$J$21</f>
        <v>-8097.6662217082685</v>
      </c>
      <c r="K440" s="356">
        <f t="shared" si="126"/>
        <v>-891.6430250792104</v>
      </c>
      <c r="L440" s="356">
        <f t="shared" si="122"/>
        <v>890751.3820541311</v>
      </c>
      <c r="N440" s="356">
        <f t="shared" si="127"/>
        <v>417</v>
      </c>
      <c r="O440" s="357">
        <f t="shared" si="134"/>
        <v>34</v>
      </c>
      <c r="P440" s="357">
        <f t="shared" si="135"/>
        <v>9</v>
      </c>
      <c r="Q440" s="357">
        <f t="shared" si="136"/>
        <v>34</v>
      </c>
      <c r="R440" s="356">
        <f t="shared" si="128"/>
        <v>21198446.71349564</v>
      </c>
      <c r="S440" s="356">
        <f>IF($G$4="mensual",S439,0)</f>
        <v>10000</v>
      </c>
      <c r="U440" s="356">
        <f t="shared" si="137"/>
        <v>169119.13237233675</v>
      </c>
      <c r="V440" s="359">
        <f t="shared" si="139"/>
        <v>-289.1269051528366</v>
      </c>
      <c r="X440" s="359">
        <f t="shared" si="138"/>
        <v>-21377.565845867975</v>
      </c>
      <c r="Y440" s="356">
        <f t="shared" si="123"/>
        <v>21355899.153116953</v>
      </c>
      <c r="AA440" s="357">
        <f>+Bono!J440</f>
        <v>439958.0420431821</v>
      </c>
      <c r="AC440" s="378">
        <f t="shared" si="129"/>
        <v>34.75</v>
      </c>
      <c r="AD440" s="356">
        <f t="shared" si="130"/>
        <v>22686608.577214267</v>
      </c>
    </row>
    <row r="441" spans="2:30" x14ac:dyDescent="0.25">
      <c r="B441" s="356">
        <f t="shared" si="124"/>
        <v>418</v>
      </c>
      <c r="C441" s="357">
        <f t="shared" si="131"/>
        <v>34</v>
      </c>
      <c r="D441" s="357">
        <f t="shared" si="132"/>
        <v>10</v>
      </c>
      <c r="E441" s="357">
        <f t="shared" si="133"/>
        <v>63</v>
      </c>
      <c r="F441" s="356">
        <f t="shared" si="125"/>
        <v>890751.3820541311</v>
      </c>
      <c r="H441" s="356">
        <f t="shared" si="121"/>
        <v>7102.97660773975</v>
      </c>
      <c r="I441" s="356">
        <v>0</v>
      </c>
      <c r="J441" s="356">
        <v>0</v>
      </c>
      <c r="K441" s="356">
        <f t="shared" si="126"/>
        <v>-897.8543586618708</v>
      </c>
      <c r="L441" s="356">
        <f t="shared" si="122"/>
        <v>896956.5043032089</v>
      </c>
      <c r="N441" s="356">
        <f t="shared" si="127"/>
        <v>418</v>
      </c>
      <c r="O441" s="357">
        <f t="shared" si="134"/>
        <v>34</v>
      </c>
      <c r="P441" s="357">
        <f t="shared" si="135"/>
        <v>10</v>
      </c>
      <c r="Q441" s="357">
        <f t="shared" si="136"/>
        <v>34</v>
      </c>
      <c r="R441" s="356">
        <f t="shared" si="128"/>
        <v>21355899.153116953</v>
      </c>
      <c r="S441" s="356">
        <f>IF($G$4="mensual",S432,IF($G$4="trimestral",S432,0))</f>
        <v>10000</v>
      </c>
      <c r="U441" s="356">
        <f t="shared" si="137"/>
        <v>170374.6802367506</v>
      </c>
      <c r="V441" s="359">
        <f t="shared" si="139"/>
        <v>-289.1269051528366</v>
      </c>
      <c r="X441" s="359">
        <f t="shared" si="138"/>
        <v>-21536.2738333537</v>
      </c>
      <c r="Y441" s="356">
        <f t="shared" si="123"/>
        <v>21514448.432615194</v>
      </c>
      <c r="AA441" s="357">
        <f>+Bono!J441</f>
        <v>442685.83293582406</v>
      </c>
      <c r="AC441" s="378">
        <f t="shared" si="129"/>
        <v>34.833333333333336</v>
      </c>
      <c r="AD441" s="356">
        <f t="shared" si="130"/>
        <v>22854090.76985423</v>
      </c>
    </row>
    <row r="442" spans="2:30" x14ac:dyDescent="0.25">
      <c r="B442" s="356">
        <f t="shared" si="124"/>
        <v>419</v>
      </c>
      <c r="C442" s="357">
        <f t="shared" si="131"/>
        <v>34</v>
      </c>
      <c r="D442" s="357">
        <f t="shared" si="132"/>
        <v>11</v>
      </c>
      <c r="E442" s="357">
        <f t="shared" si="133"/>
        <v>63</v>
      </c>
      <c r="F442" s="356">
        <f t="shared" si="125"/>
        <v>896956.5043032089</v>
      </c>
      <c r="H442" s="356">
        <f t="shared" si="121"/>
        <v>7152.457123932411</v>
      </c>
      <c r="I442" s="356">
        <v>0</v>
      </c>
      <c r="J442" s="356">
        <v>0</v>
      </c>
      <c r="K442" s="356">
        <f t="shared" si="126"/>
        <v>-904.1089614271414</v>
      </c>
      <c r="L442" s="356">
        <f t="shared" si="122"/>
        <v>903204.8524657142</v>
      </c>
      <c r="N442" s="356">
        <f t="shared" si="127"/>
        <v>419</v>
      </c>
      <c r="O442" s="357">
        <f t="shared" si="134"/>
        <v>34</v>
      </c>
      <c r="P442" s="357">
        <f t="shared" si="135"/>
        <v>11</v>
      </c>
      <c r="Q442" s="357">
        <f t="shared" si="136"/>
        <v>34</v>
      </c>
      <c r="R442" s="356">
        <f t="shared" si="128"/>
        <v>21514448.432615194</v>
      </c>
      <c r="S442" s="356">
        <f>IF($G$17="si",S430*(1+$G$20),S430)</f>
        <v>10000</v>
      </c>
      <c r="U442" s="356">
        <f t="shared" si="137"/>
        <v>171638.97445637107</v>
      </c>
      <c r="V442" s="359">
        <f t="shared" si="139"/>
        <v>-289.1269051528366</v>
      </c>
      <c r="X442" s="359">
        <f t="shared" si="138"/>
        <v>-21696.087407071565</v>
      </c>
      <c r="Y442" s="356">
        <f t="shared" si="123"/>
        <v>21674102.19275934</v>
      </c>
      <c r="AA442" s="357">
        <f>+Bono!J442</f>
        <v>445430.53644840454</v>
      </c>
      <c r="AC442" s="378">
        <f t="shared" si="129"/>
        <v>34.916666666666664</v>
      </c>
      <c r="AD442" s="356">
        <f t="shared" si="130"/>
        <v>23022737.58167346</v>
      </c>
    </row>
    <row r="443" spans="2:30" x14ac:dyDescent="0.25">
      <c r="B443" s="356">
        <f t="shared" si="124"/>
        <v>420</v>
      </c>
      <c r="C443" s="357">
        <f t="shared" si="131"/>
        <v>34</v>
      </c>
      <c r="D443" s="357">
        <f t="shared" si="132"/>
        <v>12</v>
      </c>
      <c r="E443" s="357">
        <f t="shared" si="133"/>
        <v>63</v>
      </c>
      <c r="F443" s="356">
        <f t="shared" si="125"/>
        <v>903204.8524657142</v>
      </c>
      <c r="H443" s="356">
        <f t="shared" si="121"/>
        <v>7202.282329628912</v>
      </c>
      <c r="I443" s="356">
        <v>0</v>
      </c>
      <c r="J443" s="360">
        <f>-SUM(F443:H443)*$J$21</f>
        <v>-8193.66421315809</v>
      </c>
      <c r="K443" s="356">
        <f t="shared" si="126"/>
        <v>-902.2134705821851</v>
      </c>
      <c r="L443" s="356">
        <f t="shared" si="122"/>
        <v>901311.2571116029</v>
      </c>
      <c r="N443" s="356">
        <f t="shared" si="127"/>
        <v>420</v>
      </c>
      <c r="O443" s="357">
        <f t="shared" si="134"/>
        <v>34</v>
      </c>
      <c r="P443" s="357">
        <f t="shared" si="135"/>
        <v>12</v>
      </c>
      <c r="Q443" s="357">
        <f t="shared" si="136"/>
        <v>34</v>
      </c>
      <c r="R443" s="356">
        <f t="shared" si="128"/>
        <v>21674102.19275934</v>
      </c>
      <c r="S443" s="356">
        <f>IF($G$4="mensual",S442,0)</f>
        <v>10000</v>
      </c>
      <c r="U443" s="356">
        <f t="shared" si="137"/>
        <v>172912.075959763</v>
      </c>
      <c r="V443" s="359">
        <f t="shared" si="139"/>
        <v>-289.1269051528366</v>
      </c>
      <c r="X443" s="359">
        <f t="shared" si="138"/>
        <v>-21857.014268719104</v>
      </c>
      <c r="Y443" s="356">
        <f t="shared" si="123"/>
        <v>21834868.12754523</v>
      </c>
      <c r="AA443" s="357">
        <f>+Bono!J443</f>
        <v>444154.4893560737</v>
      </c>
      <c r="AC443" s="378">
        <f t="shared" si="129"/>
        <v>35</v>
      </c>
      <c r="AD443" s="356">
        <f t="shared" si="130"/>
        <v>23180333.874012906</v>
      </c>
    </row>
    <row r="444" spans="2:30" x14ac:dyDescent="0.25">
      <c r="B444" s="356">
        <f t="shared" si="124"/>
        <v>421</v>
      </c>
      <c r="C444" s="357">
        <f t="shared" si="131"/>
        <v>35</v>
      </c>
      <c r="D444" s="357">
        <f t="shared" si="132"/>
        <v>1</v>
      </c>
      <c r="E444" s="357">
        <f t="shared" si="133"/>
        <v>64</v>
      </c>
      <c r="F444" s="356">
        <f t="shared" si="125"/>
        <v>901311.2571116029</v>
      </c>
      <c r="H444" s="356">
        <f t="shared" si="121"/>
        <v>7187.182534359708</v>
      </c>
      <c r="I444" s="356">
        <v>0</v>
      </c>
      <c r="J444" s="356">
        <v>0</v>
      </c>
      <c r="K444" s="356">
        <f t="shared" si="126"/>
        <v>-908.4984396459627</v>
      </c>
      <c r="L444" s="356">
        <f t="shared" si="122"/>
        <v>907589.9412063167</v>
      </c>
      <c r="N444" s="356">
        <f t="shared" si="127"/>
        <v>421</v>
      </c>
      <c r="O444" s="357">
        <f t="shared" si="134"/>
        <v>35</v>
      </c>
      <c r="P444" s="357">
        <f t="shared" si="135"/>
        <v>1</v>
      </c>
      <c r="Q444" s="357">
        <f t="shared" si="136"/>
        <v>35</v>
      </c>
      <c r="R444" s="356">
        <f t="shared" si="128"/>
        <v>21834868.12754523</v>
      </c>
      <c r="S444" s="356">
        <f>IF($G$17="si",S432*(1+$G$20),S432)</f>
        <v>10000</v>
      </c>
      <c r="U444" s="356">
        <f t="shared" si="137"/>
        <v>174194.0460999297</v>
      </c>
      <c r="V444" s="359">
        <f>(V443*(1+$G$18))</f>
        <v>-300.6919813589501</v>
      </c>
      <c r="X444" s="359">
        <f t="shared" si="138"/>
        <v>-22019.06217364516</v>
      </c>
      <c r="Y444" s="356">
        <f t="shared" si="123"/>
        <v>21996742.419490155</v>
      </c>
      <c r="AA444" s="357">
        <f>+Bono!J444</f>
        <v>446908.2987088134</v>
      </c>
      <c r="AC444" s="378">
        <f t="shared" si="129"/>
        <v>35.083333333333336</v>
      </c>
      <c r="AD444" s="356">
        <f t="shared" si="130"/>
        <v>23351240.659405287</v>
      </c>
    </row>
    <row r="445" spans="2:30" x14ac:dyDescent="0.25">
      <c r="B445" s="356">
        <f t="shared" si="124"/>
        <v>422</v>
      </c>
      <c r="C445" s="357">
        <f t="shared" si="131"/>
        <v>35</v>
      </c>
      <c r="D445" s="357">
        <f t="shared" si="132"/>
        <v>2</v>
      </c>
      <c r="E445" s="357">
        <f t="shared" si="133"/>
        <v>64</v>
      </c>
      <c r="F445" s="356">
        <f t="shared" si="125"/>
        <v>907589.9412063167</v>
      </c>
      <c r="H445" s="356">
        <f t="shared" si="121"/>
        <v>7237.24964303968</v>
      </c>
      <c r="I445" s="356">
        <v>0</v>
      </c>
      <c r="J445" s="356">
        <v>0</v>
      </c>
      <c r="K445" s="356">
        <f t="shared" si="126"/>
        <v>-914.8271908493564</v>
      </c>
      <c r="L445" s="356">
        <f t="shared" si="122"/>
        <v>913912.363658507</v>
      </c>
      <c r="N445" s="356">
        <f t="shared" si="127"/>
        <v>422</v>
      </c>
      <c r="O445" s="357">
        <f t="shared" si="134"/>
        <v>35</v>
      </c>
      <c r="P445" s="357">
        <f t="shared" si="135"/>
        <v>2</v>
      </c>
      <c r="Q445" s="357">
        <f t="shared" si="136"/>
        <v>35</v>
      </c>
      <c r="R445" s="356">
        <f t="shared" si="128"/>
        <v>21996742.419490155</v>
      </c>
      <c r="S445" s="356">
        <f>IF($G$4="mensual",S444,0)</f>
        <v>10000</v>
      </c>
      <c r="U445" s="356">
        <f t="shared" si="137"/>
        <v>175484.85443572787</v>
      </c>
      <c r="V445" s="359">
        <f t="shared" si="139"/>
        <v>-300.6919813589501</v>
      </c>
      <c r="X445" s="359">
        <f t="shared" si="138"/>
        <v>-22182.22727392588</v>
      </c>
      <c r="Y445" s="356">
        <f t="shared" si="123"/>
        <v>22159744.354670595</v>
      </c>
      <c r="AA445" s="357">
        <f>+Bono!J445</f>
        <v>449679.1819989622</v>
      </c>
      <c r="AC445" s="378">
        <f t="shared" si="129"/>
        <v>35.166666666666664</v>
      </c>
      <c r="AD445" s="356">
        <f t="shared" si="130"/>
        <v>23523335.900328062</v>
      </c>
    </row>
    <row r="446" spans="2:30" x14ac:dyDescent="0.25">
      <c r="B446" s="356">
        <f t="shared" si="124"/>
        <v>423</v>
      </c>
      <c r="C446" s="357">
        <f t="shared" si="131"/>
        <v>35</v>
      </c>
      <c r="D446" s="357">
        <f t="shared" si="132"/>
        <v>3</v>
      </c>
      <c r="E446" s="357">
        <f t="shared" si="133"/>
        <v>64</v>
      </c>
      <c r="F446" s="356">
        <f t="shared" si="125"/>
        <v>913912.363658507</v>
      </c>
      <c r="H446" s="356">
        <f t="shared" si="121"/>
        <v>7287.6655275243</v>
      </c>
      <c r="I446" s="356">
        <v>0</v>
      </c>
      <c r="J446" s="360">
        <f>-SUM(F446:H446)*$J$21</f>
        <v>-8290.800262674284</v>
      </c>
      <c r="K446" s="356">
        <f t="shared" si="126"/>
        <v>-912.909228923357</v>
      </c>
      <c r="L446" s="356">
        <f t="shared" si="122"/>
        <v>911996.3196944336</v>
      </c>
      <c r="N446" s="356">
        <f t="shared" si="127"/>
        <v>423</v>
      </c>
      <c r="O446" s="357">
        <f t="shared" si="134"/>
        <v>35</v>
      </c>
      <c r="P446" s="357">
        <f t="shared" si="135"/>
        <v>3</v>
      </c>
      <c r="Q446" s="357">
        <f t="shared" si="136"/>
        <v>35</v>
      </c>
      <c r="R446" s="356">
        <f t="shared" si="128"/>
        <v>22159744.354670595</v>
      </c>
      <c r="S446" s="356">
        <f>IF($G$4="mensual",S445,0)</f>
        <v>10000</v>
      </c>
      <c r="U446" s="356">
        <f t="shared" si="137"/>
        <v>176784.6547570398</v>
      </c>
      <c r="V446" s="359">
        <f t="shared" si="139"/>
        <v>-300.6919813589501</v>
      </c>
      <c r="X446" s="359">
        <f t="shared" si="138"/>
        <v>-22346.52900942764</v>
      </c>
      <c r="Y446" s="356">
        <f t="shared" si="123"/>
        <v>22323881.78843685</v>
      </c>
      <c r="AA446" s="357">
        <f>+Bono!J446</f>
        <v>448390.9635996429</v>
      </c>
      <c r="AC446" s="378">
        <f t="shared" si="129"/>
        <v>35.25</v>
      </c>
      <c r="AD446" s="356">
        <f t="shared" si="130"/>
        <v>23684269.071730927</v>
      </c>
    </row>
    <row r="447" spans="2:30" x14ac:dyDescent="0.25">
      <c r="B447" s="356">
        <f t="shared" si="124"/>
        <v>424</v>
      </c>
      <c r="C447" s="357">
        <f t="shared" si="131"/>
        <v>35</v>
      </c>
      <c r="D447" s="357">
        <f t="shared" si="132"/>
        <v>4</v>
      </c>
      <c r="E447" s="357">
        <f t="shared" si="133"/>
        <v>64</v>
      </c>
      <c r="F447" s="356">
        <f t="shared" si="125"/>
        <v>911996.3196944336</v>
      </c>
      <c r="H447" s="356">
        <f t="shared" si="121"/>
        <v>7272.386723886825</v>
      </c>
      <c r="I447" s="356">
        <v>0</v>
      </c>
      <c r="J447" s="356">
        <v>0</v>
      </c>
      <c r="K447" s="356">
        <f t="shared" si="126"/>
        <v>-919.2687064183204</v>
      </c>
      <c r="L447" s="356">
        <f t="shared" si="122"/>
        <v>918349.4377119021</v>
      </c>
      <c r="N447" s="356">
        <f t="shared" si="127"/>
        <v>424</v>
      </c>
      <c r="O447" s="357">
        <f t="shared" si="134"/>
        <v>35</v>
      </c>
      <c r="P447" s="357">
        <f t="shared" si="135"/>
        <v>4</v>
      </c>
      <c r="Q447" s="357">
        <f t="shared" si="136"/>
        <v>35</v>
      </c>
      <c r="R447" s="356">
        <f t="shared" si="128"/>
        <v>22323881.78843685</v>
      </c>
      <c r="S447" s="356">
        <f>IF($G$4="mensual",S444,IF($G$4="trimestral",S444,0))</f>
        <v>10000</v>
      </c>
      <c r="U447" s="356">
        <f t="shared" si="137"/>
        <v>178093.50970353177</v>
      </c>
      <c r="V447" s="359">
        <f t="shared" si="139"/>
        <v>-300.6919813589501</v>
      </c>
      <c r="X447" s="359">
        <f t="shared" si="138"/>
        <v>-22511.97529814038</v>
      </c>
      <c r="Y447" s="356">
        <f t="shared" si="123"/>
        <v>22489162.63086088</v>
      </c>
      <c r="AA447" s="357">
        <f>+Bono!J447</f>
        <v>451171.03958409326</v>
      </c>
      <c r="AC447" s="378">
        <f t="shared" si="129"/>
        <v>35.333333333333336</v>
      </c>
      <c r="AD447" s="356">
        <f t="shared" si="130"/>
        <v>23858683.108156875</v>
      </c>
    </row>
    <row r="448" spans="2:30" x14ac:dyDescent="0.25">
      <c r="B448" s="356">
        <f t="shared" si="124"/>
        <v>425</v>
      </c>
      <c r="C448" s="357">
        <f t="shared" si="131"/>
        <v>35</v>
      </c>
      <c r="D448" s="357">
        <f t="shared" si="132"/>
        <v>5</v>
      </c>
      <c r="E448" s="357">
        <f t="shared" si="133"/>
        <v>64</v>
      </c>
      <c r="F448" s="356">
        <f t="shared" si="125"/>
        <v>918349.4377119021</v>
      </c>
      <c r="H448" s="356">
        <f t="shared" si="121"/>
        <v>7323.047379119517</v>
      </c>
      <c r="I448" s="356">
        <v>0</v>
      </c>
      <c r="J448" s="356">
        <v>0</v>
      </c>
      <c r="K448" s="356">
        <f t="shared" si="126"/>
        <v>-925.6724850910216</v>
      </c>
      <c r="L448" s="356">
        <f t="shared" si="122"/>
        <v>924746.8126059306</v>
      </c>
      <c r="N448" s="356">
        <f t="shared" si="127"/>
        <v>425</v>
      </c>
      <c r="O448" s="357">
        <f t="shared" si="134"/>
        <v>35</v>
      </c>
      <c r="P448" s="357">
        <f t="shared" si="135"/>
        <v>5</v>
      </c>
      <c r="Q448" s="357">
        <f t="shared" si="136"/>
        <v>35</v>
      </c>
      <c r="R448" s="356">
        <f t="shared" si="128"/>
        <v>22489162.63086088</v>
      </c>
      <c r="S448" s="356">
        <f>IF($G$4="mensual",S447,0)</f>
        <v>10000</v>
      </c>
      <c r="U448" s="356">
        <f t="shared" si="137"/>
        <v>179411.48235122854</v>
      </c>
      <c r="V448" s="359">
        <f t="shared" si="139"/>
        <v>-300.6919813589501</v>
      </c>
      <c r="X448" s="359">
        <f t="shared" si="138"/>
        <v>-22678.574113212107</v>
      </c>
      <c r="Y448" s="356">
        <f t="shared" si="123"/>
        <v>22655594.847117536</v>
      </c>
      <c r="AA448" s="357">
        <f>+Bono!J448</f>
        <v>453968.3523621161</v>
      </c>
      <c r="AC448" s="378">
        <f t="shared" si="129"/>
        <v>35.416666666666664</v>
      </c>
      <c r="AD448" s="356">
        <f t="shared" si="130"/>
        <v>24034310.012085583</v>
      </c>
    </row>
    <row r="449" spans="2:30" x14ac:dyDescent="0.25">
      <c r="B449" s="356">
        <f t="shared" si="124"/>
        <v>426</v>
      </c>
      <c r="C449" s="357">
        <f t="shared" si="131"/>
        <v>35</v>
      </c>
      <c r="D449" s="357">
        <f t="shared" si="132"/>
        <v>6</v>
      </c>
      <c r="E449" s="357">
        <f t="shared" si="133"/>
        <v>64</v>
      </c>
      <c r="F449" s="356">
        <f t="shared" si="125"/>
        <v>924746.8126059306</v>
      </c>
      <c r="H449" s="356">
        <f t="shared" si="121"/>
        <v>7374.060944900844</v>
      </c>
      <c r="I449" s="356">
        <v>0</v>
      </c>
      <c r="J449" s="360">
        <f>-SUM(F449:H449)*$J$21</f>
        <v>-8389.087861957483</v>
      </c>
      <c r="K449" s="356">
        <f t="shared" si="126"/>
        <v>-923.731785688874</v>
      </c>
      <c r="L449" s="356">
        <f t="shared" si="122"/>
        <v>922808.0539031851</v>
      </c>
      <c r="N449" s="356">
        <f t="shared" si="127"/>
        <v>426</v>
      </c>
      <c r="O449" s="357">
        <f t="shared" si="134"/>
        <v>35</v>
      </c>
      <c r="P449" s="357">
        <f t="shared" si="135"/>
        <v>6</v>
      </c>
      <c r="Q449" s="357">
        <f t="shared" si="136"/>
        <v>35</v>
      </c>
      <c r="R449" s="356">
        <f t="shared" si="128"/>
        <v>22655594.847117536</v>
      </c>
      <c r="S449" s="356">
        <f>IF($G$4="mensual",S448,0)</f>
        <v>10000</v>
      </c>
      <c r="U449" s="356">
        <f t="shared" si="137"/>
        <v>180738.63621555277</v>
      </c>
      <c r="V449" s="359">
        <f t="shared" si="139"/>
        <v>-300.6919813589501</v>
      </c>
      <c r="X449" s="359">
        <f t="shared" si="138"/>
        <v>-22846.33348333309</v>
      </c>
      <c r="Y449" s="356">
        <f t="shared" si="123"/>
        <v>22823186.457868394</v>
      </c>
      <c r="AA449" s="357">
        <f>+Bono!J449</f>
        <v>452667.84656235494</v>
      </c>
      <c r="AC449" s="378">
        <f t="shared" si="129"/>
        <v>35.5</v>
      </c>
      <c r="AD449" s="356">
        <f t="shared" si="130"/>
        <v>24198662.358333934</v>
      </c>
    </row>
    <row r="450" spans="2:30" x14ac:dyDescent="0.25">
      <c r="B450" s="356">
        <f t="shared" si="124"/>
        <v>427</v>
      </c>
      <c r="C450" s="357">
        <f t="shared" si="131"/>
        <v>35</v>
      </c>
      <c r="D450" s="357">
        <f t="shared" si="132"/>
        <v>7</v>
      </c>
      <c r="E450" s="357">
        <f t="shared" si="133"/>
        <v>64</v>
      </c>
      <c r="F450" s="356">
        <f t="shared" si="125"/>
        <v>922808.0539031851</v>
      </c>
      <c r="H450" s="356">
        <f t="shared" si="121"/>
        <v>7358.601010747392</v>
      </c>
      <c r="I450" s="356">
        <v>0</v>
      </c>
      <c r="J450" s="356">
        <v>0</v>
      </c>
      <c r="K450" s="356">
        <f t="shared" si="126"/>
        <v>-930.1666549139325</v>
      </c>
      <c r="L450" s="356">
        <f t="shared" si="122"/>
        <v>929236.4882590185</v>
      </c>
      <c r="N450" s="356">
        <f t="shared" si="127"/>
        <v>427</v>
      </c>
      <c r="O450" s="357">
        <f t="shared" si="134"/>
        <v>35</v>
      </c>
      <c r="P450" s="357">
        <f t="shared" si="135"/>
        <v>7</v>
      </c>
      <c r="Q450" s="357">
        <f t="shared" si="136"/>
        <v>35</v>
      </c>
      <c r="R450" s="356">
        <f t="shared" si="128"/>
        <v>22823186.457868394</v>
      </c>
      <c r="S450" s="356">
        <f>+IF($G$4="mensual",S444,IF($G$4="trimestral",S444,IF($G$4="semestral",S444,0)))</f>
        <v>10000</v>
      </c>
      <c r="U450" s="356">
        <f t="shared" si="137"/>
        <v>182075.03525438628</v>
      </c>
      <c r="V450" s="359">
        <f t="shared" si="139"/>
        <v>-300.6919813589501</v>
      </c>
      <c r="X450" s="359">
        <f t="shared" si="138"/>
        <v>-23015.26149312278</v>
      </c>
      <c r="Y450" s="356">
        <f t="shared" si="123"/>
        <v>22991945.539648294</v>
      </c>
      <c r="AA450" s="357">
        <f>+Bono!J450</f>
        <v>455474.4397172619</v>
      </c>
      <c r="AC450" s="378">
        <f t="shared" si="129"/>
        <v>35.583333333333336</v>
      </c>
      <c r="AD450" s="356">
        <f t="shared" si="130"/>
        <v>24376656.467624575</v>
      </c>
    </row>
    <row r="451" spans="2:30" x14ac:dyDescent="0.25">
      <c r="B451" s="356">
        <f t="shared" si="124"/>
        <v>428</v>
      </c>
      <c r="C451" s="357">
        <f t="shared" si="131"/>
        <v>35</v>
      </c>
      <c r="D451" s="357">
        <f t="shared" si="132"/>
        <v>8</v>
      </c>
      <c r="E451" s="357">
        <f t="shared" si="133"/>
        <v>64</v>
      </c>
      <c r="F451" s="356">
        <f t="shared" si="125"/>
        <v>929236.4882590185</v>
      </c>
      <c r="H451" s="356">
        <f t="shared" si="121"/>
        <v>7409.862249038798</v>
      </c>
      <c r="I451" s="356">
        <v>0</v>
      </c>
      <c r="J451" s="356">
        <v>0</v>
      </c>
      <c r="K451" s="356">
        <f t="shared" si="126"/>
        <v>-936.6463505080573</v>
      </c>
      <c r="L451" s="356">
        <f t="shared" si="122"/>
        <v>935709.7041575492</v>
      </c>
      <c r="N451" s="356">
        <f t="shared" si="127"/>
        <v>428</v>
      </c>
      <c r="O451" s="357">
        <f t="shared" si="134"/>
        <v>35</v>
      </c>
      <c r="P451" s="357">
        <f t="shared" si="135"/>
        <v>8</v>
      </c>
      <c r="Q451" s="357">
        <f t="shared" si="136"/>
        <v>35</v>
      </c>
      <c r="R451" s="356">
        <f t="shared" si="128"/>
        <v>22991945.539648294</v>
      </c>
      <c r="S451" s="356">
        <f>IF($G$4="mensual",S450,0)</f>
        <v>10000</v>
      </c>
      <c r="U451" s="356">
        <f t="shared" si="137"/>
        <v>183420.74387115208</v>
      </c>
      <c r="V451" s="359">
        <f t="shared" si="139"/>
        <v>-300.6919813589501</v>
      </c>
      <c r="X451" s="359">
        <f t="shared" si="138"/>
        <v>-23185.36628351945</v>
      </c>
      <c r="Y451" s="356">
        <f t="shared" si="123"/>
        <v>23161880.225254565</v>
      </c>
      <c r="AA451" s="357">
        <f>+Bono!J451</f>
        <v>458298.43407527386</v>
      </c>
      <c r="AC451" s="378">
        <f t="shared" si="129"/>
        <v>35.666666666666664</v>
      </c>
      <c r="AD451" s="356">
        <f t="shared" si="130"/>
        <v>24555888.36348739</v>
      </c>
    </row>
    <row r="452" spans="2:30" x14ac:dyDescent="0.25">
      <c r="B452" s="356">
        <f t="shared" si="124"/>
        <v>429</v>
      </c>
      <c r="C452" s="357">
        <f t="shared" si="131"/>
        <v>35</v>
      </c>
      <c r="D452" s="357">
        <f t="shared" si="132"/>
        <v>9</v>
      </c>
      <c r="E452" s="357">
        <f t="shared" si="133"/>
        <v>64</v>
      </c>
      <c r="F452" s="356">
        <f t="shared" si="125"/>
        <v>935709.7041575492</v>
      </c>
      <c r="H452" s="356">
        <f t="shared" si="121"/>
        <v>7461.480581640294</v>
      </c>
      <c r="I452" s="356">
        <v>0</v>
      </c>
      <c r="J452" s="360">
        <f>-SUM(F452:H452)*$J$21</f>
        <v>-8488.540662652706</v>
      </c>
      <c r="K452" s="356">
        <f t="shared" si="126"/>
        <v>-934.6826440765368</v>
      </c>
      <c r="L452" s="356">
        <f t="shared" si="122"/>
        <v>933747.9614324602</v>
      </c>
      <c r="N452" s="356">
        <f t="shared" si="127"/>
        <v>429</v>
      </c>
      <c r="O452" s="357">
        <f t="shared" si="134"/>
        <v>35</v>
      </c>
      <c r="P452" s="357">
        <f t="shared" si="135"/>
        <v>9</v>
      </c>
      <c r="Q452" s="357">
        <f t="shared" si="136"/>
        <v>35</v>
      </c>
      <c r="R452" s="356">
        <f t="shared" si="128"/>
        <v>23161880.225254565</v>
      </c>
      <c r="S452" s="356">
        <f>IF($G$4="mensual",S451,0)</f>
        <v>10000</v>
      </c>
      <c r="U452" s="356">
        <f t="shared" si="137"/>
        <v>184775.8269179181</v>
      </c>
      <c r="V452" s="359">
        <f t="shared" si="139"/>
        <v>-300.6919813589501</v>
      </c>
      <c r="X452" s="359">
        <f t="shared" si="138"/>
        <v>-23356.656052172482</v>
      </c>
      <c r="Y452" s="356">
        <f t="shared" si="123"/>
        <v>23332998.70413895</v>
      </c>
      <c r="AA452" s="357">
        <f>+Bono!J452</f>
        <v>456985.52367428417</v>
      </c>
      <c r="AC452" s="378">
        <f t="shared" si="129"/>
        <v>35.75</v>
      </c>
      <c r="AD452" s="356">
        <f t="shared" si="130"/>
        <v>24723732.189245693</v>
      </c>
    </row>
    <row r="453" spans="2:30" x14ac:dyDescent="0.25">
      <c r="B453" s="356">
        <f t="shared" si="124"/>
        <v>430</v>
      </c>
      <c r="C453" s="357">
        <f t="shared" si="131"/>
        <v>35</v>
      </c>
      <c r="D453" s="357">
        <f t="shared" si="132"/>
        <v>10</v>
      </c>
      <c r="E453" s="357">
        <f t="shared" si="133"/>
        <v>64</v>
      </c>
      <c r="F453" s="356">
        <f t="shared" si="125"/>
        <v>933747.9614324602</v>
      </c>
      <c r="H453" s="356">
        <f t="shared" si="121"/>
        <v>7445.837369665054</v>
      </c>
      <c r="I453" s="356">
        <v>0</v>
      </c>
      <c r="J453" s="356">
        <v>0</v>
      </c>
      <c r="K453" s="356">
        <f t="shared" si="126"/>
        <v>-941.1937988021253</v>
      </c>
      <c r="L453" s="356">
        <f t="shared" si="122"/>
        <v>940252.6050033232</v>
      </c>
      <c r="N453" s="356">
        <f t="shared" si="127"/>
        <v>430</v>
      </c>
      <c r="O453" s="357">
        <f t="shared" si="134"/>
        <v>35</v>
      </c>
      <c r="P453" s="357">
        <f t="shared" si="135"/>
        <v>10</v>
      </c>
      <c r="Q453" s="357">
        <f t="shared" si="136"/>
        <v>35</v>
      </c>
      <c r="R453" s="356">
        <f t="shared" si="128"/>
        <v>23332998.70413895</v>
      </c>
      <c r="S453" s="356">
        <f>IF($G$4="mensual",S444,IF($G$4="trimestral",S444,0))</f>
        <v>10000</v>
      </c>
      <c r="U453" s="356">
        <f t="shared" si="137"/>
        <v>186140.34969852256</v>
      </c>
      <c r="V453" s="359">
        <f t="shared" si="139"/>
        <v>-300.6919813589501</v>
      </c>
      <c r="X453" s="359">
        <f t="shared" si="138"/>
        <v>-23529.139053837473</v>
      </c>
      <c r="Y453" s="356">
        <f t="shared" si="123"/>
        <v>23505309.222802274</v>
      </c>
      <c r="AA453" s="357">
        <f>+Bono!J453</f>
        <v>459818.88692810456</v>
      </c>
      <c r="AC453" s="378">
        <f t="shared" si="129"/>
        <v>35.833333333333336</v>
      </c>
      <c r="AD453" s="356">
        <f t="shared" si="130"/>
        <v>24905380.7147337</v>
      </c>
    </row>
    <row r="454" spans="2:30" x14ac:dyDescent="0.25">
      <c r="B454" s="356">
        <f t="shared" si="124"/>
        <v>431</v>
      </c>
      <c r="C454" s="357">
        <f t="shared" si="131"/>
        <v>35</v>
      </c>
      <c r="D454" s="357">
        <f t="shared" si="132"/>
        <v>11</v>
      </c>
      <c r="E454" s="357">
        <f t="shared" si="133"/>
        <v>64</v>
      </c>
      <c r="F454" s="356">
        <f t="shared" si="125"/>
        <v>940252.6050033232</v>
      </c>
      <c r="H454" s="356">
        <f t="shared" si="121"/>
        <v>7497.706310939081</v>
      </c>
      <c r="I454" s="356">
        <v>0</v>
      </c>
      <c r="J454" s="356">
        <v>0</v>
      </c>
      <c r="K454" s="356">
        <f t="shared" si="126"/>
        <v>-947.7503113142623</v>
      </c>
      <c r="L454" s="356">
        <f t="shared" si="122"/>
        <v>946802.561002948</v>
      </c>
      <c r="N454" s="356">
        <f t="shared" si="127"/>
        <v>431</v>
      </c>
      <c r="O454" s="357">
        <f t="shared" si="134"/>
        <v>35</v>
      </c>
      <c r="P454" s="357">
        <f t="shared" si="135"/>
        <v>11</v>
      </c>
      <c r="Q454" s="357">
        <f t="shared" si="136"/>
        <v>35</v>
      </c>
      <c r="R454" s="356">
        <f t="shared" si="128"/>
        <v>23505309.222802274</v>
      </c>
      <c r="S454" s="356">
        <f>IF($G$17="si",S442*(1+$G$20),S442)</f>
        <v>10000</v>
      </c>
      <c r="U454" s="356">
        <f t="shared" si="137"/>
        <v>187514.37797172117</v>
      </c>
      <c r="V454" s="359">
        <f t="shared" si="139"/>
        <v>-300.6919813589501</v>
      </c>
      <c r="X454" s="359">
        <f t="shared" si="138"/>
        <v>-23702.823600773994</v>
      </c>
      <c r="Y454" s="356">
        <f t="shared" si="123"/>
        <v>23678820.08519186</v>
      </c>
      <c r="AA454" s="357">
        <f>+Bono!J454</f>
        <v>462669.8173627485</v>
      </c>
      <c r="AC454" s="378">
        <f t="shared" si="129"/>
        <v>35.916666666666664</v>
      </c>
      <c r="AD454" s="356">
        <f t="shared" si="130"/>
        <v>25088292.463557556</v>
      </c>
    </row>
    <row r="455" spans="2:30" x14ac:dyDescent="0.25">
      <c r="B455" s="356">
        <f t="shared" si="124"/>
        <v>432</v>
      </c>
      <c r="C455" s="357">
        <f t="shared" si="131"/>
        <v>35</v>
      </c>
      <c r="D455" s="357">
        <f t="shared" si="132"/>
        <v>12</v>
      </c>
      <c r="E455" s="357">
        <f t="shared" si="133"/>
        <v>64</v>
      </c>
      <c r="F455" s="356">
        <f t="shared" si="125"/>
        <v>946802.561002948</v>
      </c>
      <c r="H455" s="356">
        <f t="shared" si="121"/>
        <v>7549.93657988323</v>
      </c>
      <c r="I455" s="356">
        <v>0</v>
      </c>
      <c r="J455" s="360">
        <f>-SUM(F455:H455)*$J$21</f>
        <v>-8589.172478245482</v>
      </c>
      <c r="K455" s="356">
        <f t="shared" si="126"/>
        <v>-945.7633251045858</v>
      </c>
      <c r="L455" s="356">
        <f t="shared" si="122"/>
        <v>944817.5617794811</v>
      </c>
      <c r="N455" s="356">
        <f t="shared" si="127"/>
        <v>432</v>
      </c>
      <c r="O455" s="357">
        <f t="shared" si="134"/>
        <v>35</v>
      </c>
      <c r="P455" s="357">
        <f t="shared" si="135"/>
        <v>12</v>
      </c>
      <c r="Q455" s="357">
        <f t="shared" si="136"/>
        <v>35</v>
      </c>
      <c r="R455" s="356">
        <f t="shared" si="128"/>
        <v>23678820.08519186</v>
      </c>
      <c r="S455" s="356">
        <f>IF($G$4="mensual",S454,0)</f>
        <v>10000</v>
      </c>
      <c r="U455" s="356">
        <f t="shared" si="137"/>
        <v>188897.97795435594</v>
      </c>
      <c r="V455" s="359">
        <f t="shared" si="139"/>
        <v>-300.6919813589501</v>
      </c>
      <c r="X455" s="359">
        <f t="shared" si="138"/>
        <v>-23877.718063146214</v>
      </c>
      <c r="Y455" s="356">
        <f t="shared" si="123"/>
        <v>23853539.65310171</v>
      </c>
      <c r="AA455" s="357">
        <f>+Bono!J455</f>
        <v>461344.38404184877</v>
      </c>
      <c r="AC455" s="378">
        <f t="shared" si="129"/>
        <v>36</v>
      </c>
      <c r="AD455" s="356">
        <f t="shared" si="130"/>
        <v>25259701.59892304</v>
      </c>
    </row>
    <row r="456" spans="2:30" x14ac:dyDescent="0.25">
      <c r="B456" s="356">
        <f t="shared" si="124"/>
        <v>433</v>
      </c>
      <c r="C456" s="357">
        <f t="shared" si="131"/>
        <v>36</v>
      </c>
      <c r="D456" s="357">
        <f t="shared" si="132"/>
        <v>1</v>
      </c>
      <c r="E456" s="357">
        <f t="shared" si="133"/>
        <v>65</v>
      </c>
      <c r="F456" s="356">
        <f t="shared" si="125"/>
        <v>944817.5617794811</v>
      </c>
      <c r="H456" s="356">
        <f t="shared" si="121"/>
        <v>7534.1079173240405</v>
      </c>
      <c r="I456" s="356">
        <v>0</v>
      </c>
      <c r="J456" s="356">
        <v>0</v>
      </c>
      <c r="K456" s="356">
        <f t="shared" si="126"/>
        <v>-952.3516696968052</v>
      </c>
      <c r="L456" s="356">
        <f t="shared" si="122"/>
        <v>951399.3180271083</v>
      </c>
      <c r="N456" s="356">
        <f t="shared" si="127"/>
        <v>433</v>
      </c>
      <c r="O456" s="357">
        <f t="shared" si="134"/>
        <v>36</v>
      </c>
      <c r="P456" s="357">
        <f t="shared" si="135"/>
        <v>1</v>
      </c>
      <c r="Q456" s="357">
        <f t="shared" si="136"/>
        <v>36</v>
      </c>
      <c r="R456" s="356">
        <f t="shared" si="128"/>
        <v>23853539.65310171</v>
      </c>
      <c r="S456" s="356">
        <f>IF($G$17="si",S444*(1+$G$20),S444)</f>
        <v>10000</v>
      </c>
      <c r="U456" s="356">
        <f t="shared" si="137"/>
        <v>190291.21632454643</v>
      </c>
      <c r="V456" s="359">
        <f>(V455*(1+$G$18))</f>
        <v>-312.7196606133081</v>
      </c>
      <c r="X456" s="359">
        <f t="shared" si="138"/>
        <v>-24053.830869426256</v>
      </c>
      <c r="Y456" s="356">
        <f t="shared" si="123"/>
        <v>24029464.318896215</v>
      </c>
      <c r="AA456" s="357">
        <f>+Bono!J456</f>
        <v>464204.77273554454</v>
      </c>
      <c r="AC456" s="378">
        <f t="shared" si="129"/>
        <v>36.083333333333336</v>
      </c>
      <c r="AD456" s="356">
        <f t="shared" si="130"/>
        <v>25445068.409658868</v>
      </c>
    </row>
    <row r="457" spans="2:30" x14ac:dyDescent="0.25">
      <c r="B457" s="356">
        <f t="shared" si="124"/>
        <v>434</v>
      </c>
      <c r="C457" s="357">
        <f t="shared" si="131"/>
        <v>36</v>
      </c>
      <c r="D457" s="357">
        <f t="shared" si="132"/>
        <v>2</v>
      </c>
      <c r="E457" s="357">
        <f t="shared" si="133"/>
        <v>65</v>
      </c>
      <c r="F457" s="356">
        <f t="shared" si="125"/>
        <v>951399.3180271083</v>
      </c>
      <c r="H457" s="356">
        <f t="shared" si="121"/>
        <v>7586.591765911435</v>
      </c>
      <c r="I457" s="356">
        <v>0</v>
      </c>
      <c r="J457" s="356">
        <v>0</v>
      </c>
      <c r="K457" s="356">
        <f t="shared" si="126"/>
        <v>-958.9859097930198</v>
      </c>
      <c r="L457" s="356">
        <f t="shared" si="122"/>
        <v>958026.9238832267</v>
      </c>
      <c r="N457" s="356">
        <f t="shared" si="127"/>
        <v>434</v>
      </c>
      <c r="O457" s="357">
        <f t="shared" si="134"/>
        <v>36</v>
      </c>
      <c r="P457" s="357">
        <f t="shared" si="135"/>
        <v>2</v>
      </c>
      <c r="Q457" s="357">
        <f t="shared" si="136"/>
        <v>36</v>
      </c>
      <c r="R457" s="356">
        <f t="shared" si="128"/>
        <v>24029464.318896215</v>
      </c>
      <c r="S457" s="356">
        <f>IF($G$4="mensual",S456,0)</f>
        <v>10000</v>
      </c>
      <c r="U457" s="356">
        <f t="shared" si="137"/>
        <v>191694.06431449982</v>
      </c>
      <c r="V457" s="359">
        <f t="shared" si="139"/>
        <v>-312.7196606133081</v>
      </c>
      <c r="X457" s="359">
        <f t="shared" si="138"/>
        <v>-24231.158383210717</v>
      </c>
      <c r="Y457" s="356">
        <f t="shared" si="123"/>
        <v>24206614.505166892</v>
      </c>
      <c r="AA457" s="357">
        <f>+Bono!J457</f>
        <v>467082.8961709258</v>
      </c>
      <c r="AC457" s="378">
        <f t="shared" si="129"/>
        <v>36.166666666666664</v>
      </c>
      <c r="AD457" s="356">
        <f t="shared" si="130"/>
        <v>25631724.325221043</v>
      </c>
    </row>
    <row r="458" spans="2:30" x14ac:dyDescent="0.25">
      <c r="B458" s="356">
        <f t="shared" si="124"/>
        <v>435</v>
      </c>
      <c r="C458" s="357">
        <f t="shared" si="131"/>
        <v>36</v>
      </c>
      <c r="D458" s="357">
        <f t="shared" si="132"/>
        <v>3</v>
      </c>
      <c r="E458" s="357">
        <f t="shared" si="133"/>
        <v>65</v>
      </c>
      <c r="F458" s="356">
        <f t="shared" si="125"/>
        <v>958026.9238832267</v>
      </c>
      <c r="H458" s="356">
        <f t="shared" si="121"/>
        <v>7639.441225715547</v>
      </c>
      <c r="I458" s="356">
        <v>0</v>
      </c>
      <c r="J458" s="360">
        <f>-SUM(F458:H458)*$J$21</f>
        <v>-8690.997285980482</v>
      </c>
      <c r="K458" s="356">
        <f t="shared" si="126"/>
        <v>-956.9753678229617</v>
      </c>
      <c r="L458" s="356">
        <f t="shared" si="122"/>
        <v>956018.3924551388</v>
      </c>
      <c r="N458" s="356">
        <f t="shared" si="127"/>
        <v>435</v>
      </c>
      <c r="O458" s="357">
        <f t="shared" si="134"/>
        <v>36</v>
      </c>
      <c r="P458" s="357">
        <f t="shared" si="135"/>
        <v>3</v>
      </c>
      <c r="Q458" s="357">
        <f t="shared" si="136"/>
        <v>36</v>
      </c>
      <c r="R458" s="356">
        <f t="shared" si="128"/>
        <v>24206614.505166892</v>
      </c>
      <c r="S458" s="356">
        <f>IF($G$4="mensual",S457,0)</f>
        <v>10000</v>
      </c>
      <c r="U458" s="356">
        <f t="shared" si="137"/>
        <v>193106.68477682865</v>
      </c>
      <c r="V458" s="359">
        <f t="shared" si="139"/>
        <v>-312.7196606133081</v>
      </c>
      <c r="X458" s="359">
        <f t="shared" si="138"/>
        <v>-24409.72118994372</v>
      </c>
      <c r="Y458" s="356">
        <f t="shared" si="123"/>
        <v>24384998.749093164</v>
      </c>
      <c r="AA458" s="357">
        <f>+Bono!J458</f>
        <v>465744.82048287656</v>
      </c>
      <c r="AC458" s="378">
        <f t="shared" si="129"/>
        <v>36.25</v>
      </c>
      <c r="AD458" s="356">
        <f t="shared" si="130"/>
        <v>25806761.96203118</v>
      </c>
    </row>
    <row r="459" spans="2:30" x14ac:dyDescent="0.25">
      <c r="B459" s="356">
        <f t="shared" si="124"/>
        <v>436</v>
      </c>
      <c r="C459" s="357">
        <f t="shared" si="131"/>
        <v>36</v>
      </c>
      <c r="D459" s="357">
        <f t="shared" si="132"/>
        <v>4</v>
      </c>
      <c r="E459" s="357">
        <f t="shared" si="133"/>
        <v>65</v>
      </c>
      <c r="F459" s="356">
        <f t="shared" si="125"/>
        <v>956018.3924551388</v>
      </c>
      <c r="H459" s="356">
        <f t="shared" si="121"/>
        <v>7623.424914052108</v>
      </c>
      <c r="I459" s="356">
        <v>0</v>
      </c>
      <c r="J459" s="356">
        <v>0</v>
      </c>
      <c r="K459" s="356">
        <f t="shared" si="126"/>
        <v>-963.641817369191</v>
      </c>
      <c r="L459" s="356">
        <f t="shared" si="122"/>
        <v>962678.1755518218</v>
      </c>
      <c r="N459" s="356">
        <f t="shared" si="127"/>
        <v>436</v>
      </c>
      <c r="O459" s="357">
        <f t="shared" si="134"/>
        <v>36</v>
      </c>
      <c r="P459" s="357">
        <f t="shared" si="135"/>
        <v>4</v>
      </c>
      <c r="Q459" s="357">
        <f t="shared" si="136"/>
        <v>36</v>
      </c>
      <c r="R459" s="356">
        <f t="shared" si="128"/>
        <v>24384998.749093164</v>
      </c>
      <c r="S459" s="356">
        <f>IF($G$4="mensual",S456,IF($G$4="trimestral",S456,0))</f>
        <v>10000</v>
      </c>
      <c r="U459" s="356">
        <f t="shared" si="137"/>
        <v>194529.14578820055</v>
      </c>
      <c r="V459" s="359">
        <f t="shared" si="139"/>
        <v>-312.7196606133081</v>
      </c>
      <c r="X459" s="359">
        <f t="shared" si="138"/>
        <v>-24589.527894881365</v>
      </c>
      <c r="Y459" s="356">
        <f t="shared" si="123"/>
        <v>24564625.64732587</v>
      </c>
      <c r="AA459" s="357">
        <f>+Bono!J459</f>
        <v>468632.4923929258</v>
      </c>
      <c r="AC459" s="378">
        <f t="shared" si="129"/>
        <v>36.333333333333336</v>
      </c>
      <c r="AD459" s="356">
        <f t="shared" si="130"/>
        <v>25995936.315270618</v>
      </c>
    </row>
    <row r="460" spans="2:30" x14ac:dyDescent="0.25">
      <c r="B460" s="356">
        <f t="shared" si="124"/>
        <v>437</v>
      </c>
      <c r="C460" s="357">
        <f t="shared" si="131"/>
        <v>36</v>
      </c>
      <c r="D460" s="357">
        <f t="shared" si="132"/>
        <v>5</v>
      </c>
      <c r="E460" s="357">
        <f t="shared" si="133"/>
        <v>65</v>
      </c>
      <c r="F460" s="356">
        <f t="shared" si="125"/>
        <v>962678.1755518218</v>
      </c>
      <c r="H460" s="356">
        <f t="shared" si="121"/>
        <v>7676.530959691097</v>
      </c>
      <c r="I460" s="356">
        <v>0</v>
      </c>
      <c r="J460" s="356">
        <v>0</v>
      </c>
      <c r="K460" s="356">
        <f t="shared" si="126"/>
        <v>-970.354706511513</v>
      </c>
      <c r="L460" s="356">
        <f t="shared" si="122"/>
        <v>969384.3518050015</v>
      </c>
      <c r="N460" s="356">
        <f t="shared" si="127"/>
        <v>437</v>
      </c>
      <c r="O460" s="357">
        <f t="shared" si="134"/>
        <v>36</v>
      </c>
      <c r="P460" s="357">
        <f t="shared" si="135"/>
        <v>5</v>
      </c>
      <c r="Q460" s="357">
        <f t="shared" si="136"/>
        <v>36</v>
      </c>
      <c r="R460" s="356">
        <f t="shared" si="128"/>
        <v>24564625.64732587</v>
      </c>
      <c r="S460" s="356">
        <f>IF($G$4="mensual",S459,0)</f>
        <v>10000</v>
      </c>
      <c r="U460" s="356">
        <f t="shared" si="137"/>
        <v>195961.51589951655</v>
      </c>
      <c r="V460" s="359">
        <f t="shared" si="139"/>
        <v>-312.7196606133081</v>
      </c>
      <c r="X460" s="359">
        <f t="shared" si="138"/>
        <v>-24770.587163225387</v>
      </c>
      <c r="Y460" s="356">
        <f t="shared" si="123"/>
        <v>24745503.856401548</v>
      </c>
      <c r="AA460" s="357">
        <f>+Bono!J460</f>
        <v>471538.06820376654</v>
      </c>
      <c r="AC460" s="378">
        <f t="shared" si="129"/>
        <v>36.416666666666664</v>
      </c>
      <c r="AD460" s="356">
        <f t="shared" si="130"/>
        <v>26186426.276410315</v>
      </c>
    </row>
    <row r="461" spans="2:30" x14ac:dyDescent="0.25">
      <c r="B461" s="356">
        <f t="shared" si="124"/>
        <v>438</v>
      </c>
      <c r="C461" s="357">
        <f t="shared" si="131"/>
        <v>36</v>
      </c>
      <c r="D461" s="357">
        <f t="shared" si="132"/>
        <v>6</v>
      </c>
      <c r="E461" s="357">
        <f t="shared" si="133"/>
        <v>65</v>
      </c>
      <c r="F461" s="356">
        <f t="shared" si="125"/>
        <v>969384.3518050015</v>
      </c>
      <c r="H461" s="356">
        <f t="shared" si="121"/>
        <v>7730.006950874932</v>
      </c>
      <c r="I461" s="356">
        <v>0</v>
      </c>
      <c r="J461" s="360">
        <f>-SUM(F461:H461)*$J$21</f>
        <v>-8794.029228802889</v>
      </c>
      <c r="K461" s="356">
        <f t="shared" si="126"/>
        <v>-968.3203295270736</v>
      </c>
      <c r="L461" s="356">
        <f t="shared" si="122"/>
        <v>967352.0091975465</v>
      </c>
      <c r="N461" s="356">
        <f t="shared" si="127"/>
        <v>438</v>
      </c>
      <c r="O461" s="357">
        <f t="shared" si="134"/>
        <v>36</v>
      </c>
      <c r="P461" s="357">
        <f t="shared" si="135"/>
        <v>6</v>
      </c>
      <c r="Q461" s="357">
        <f t="shared" si="136"/>
        <v>36</v>
      </c>
      <c r="R461" s="356">
        <f t="shared" si="128"/>
        <v>24745503.856401548</v>
      </c>
      <c r="S461" s="356">
        <f>IF($G$4="mensual",S460,0)</f>
        <v>10000</v>
      </c>
      <c r="U461" s="356">
        <f t="shared" si="137"/>
        <v>197403.86413921462</v>
      </c>
      <c r="V461" s="359">
        <f t="shared" si="139"/>
        <v>-312.7196606133081</v>
      </c>
      <c r="X461" s="359">
        <f t="shared" si="138"/>
        <v>-24952.907720540763</v>
      </c>
      <c r="Y461" s="356">
        <f t="shared" si="123"/>
        <v>24927642.09315961</v>
      </c>
      <c r="AA461" s="357">
        <f>+Bono!J461</f>
        <v>470187.22956200584</v>
      </c>
      <c r="AC461" s="378">
        <f t="shared" si="129"/>
        <v>36.5</v>
      </c>
      <c r="AD461" s="356">
        <f t="shared" si="130"/>
        <v>26365181.331919163</v>
      </c>
    </row>
    <row r="462" spans="2:30" x14ac:dyDescent="0.25">
      <c r="B462" s="356">
        <f t="shared" si="124"/>
        <v>439</v>
      </c>
      <c r="C462" s="357">
        <f t="shared" si="131"/>
        <v>36</v>
      </c>
      <c r="D462" s="357">
        <f t="shared" si="132"/>
        <v>7</v>
      </c>
      <c r="E462" s="357">
        <f t="shared" si="133"/>
        <v>65</v>
      </c>
      <c r="F462" s="356">
        <f t="shared" si="125"/>
        <v>967352.0091975465</v>
      </c>
      <c r="H462" s="356">
        <f t="shared" si="121"/>
        <v>7713.800765523441</v>
      </c>
      <c r="I462" s="356">
        <v>0</v>
      </c>
      <c r="J462" s="356">
        <v>0</v>
      </c>
      <c r="K462" s="356">
        <f t="shared" si="126"/>
        <v>-975.06580996307</v>
      </c>
      <c r="L462" s="356">
        <f t="shared" si="122"/>
        <v>974090.7441531069</v>
      </c>
      <c r="N462" s="356">
        <f t="shared" si="127"/>
        <v>439</v>
      </c>
      <c r="O462" s="357">
        <f t="shared" si="134"/>
        <v>36</v>
      </c>
      <c r="P462" s="357">
        <f t="shared" si="135"/>
        <v>7</v>
      </c>
      <c r="Q462" s="357">
        <f t="shared" si="136"/>
        <v>36</v>
      </c>
      <c r="R462" s="356">
        <f t="shared" si="128"/>
        <v>24927642.09315961</v>
      </c>
      <c r="S462" s="356">
        <f>+IF($G$4="mensual",S456,IF($G$4="trimestral",S456,IF($G$4="semestral",S456,0)))</f>
        <v>10000</v>
      </c>
      <c r="U462" s="356">
        <f t="shared" si="137"/>
        <v>198856.26001659632</v>
      </c>
      <c r="V462" s="359">
        <f t="shared" si="139"/>
        <v>-312.7196606133081</v>
      </c>
      <c r="X462" s="359">
        <f t="shared" si="138"/>
        <v>-25136.49835317621</v>
      </c>
      <c r="Y462" s="356">
        <f t="shared" si="123"/>
        <v>25111049.135162417</v>
      </c>
      <c r="AA462" s="357">
        <f>+Bono!J462</f>
        <v>473102.44492363324</v>
      </c>
      <c r="AC462" s="378">
        <f t="shared" si="129"/>
        <v>36.583333333333336</v>
      </c>
      <c r="AD462" s="356">
        <f t="shared" si="130"/>
        <v>26558242.324239157</v>
      </c>
    </row>
    <row r="463" spans="2:30" x14ac:dyDescent="0.25">
      <c r="B463" s="356">
        <f t="shared" si="124"/>
        <v>440</v>
      </c>
      <c r="C463" s="357">
        <f t="shared" si="131"/>
        <v>36</v>
      </c>
      <c r="D463" s="357">
        <f t="shared" si="132"/>
        <v>8</v>
      </c>
      <c r="E463" s="357">
        <f t="shared" si="133"/>
        <v>65</v>
      </c>
      <c r="F463" s="356">
        <f t="shared" si="125"/>
        <v>974090.7441531069</v>
      </c>
      <c r="H463" s="356">
        <f t="shared" si="121"/>
        <v>7767.536384372243</v>
      </c>
      <c r="I463" s="356">
        <v>0</v>
      </c>
      <c r="J463" s="356">
        <v>0</v>
      </c>
      <c r="K463" s="356">
        <f t="shared" si="126"/>
        <v>-981.8582805374792</v>
      </c>
      <c r="L463" s="356">
        <f t="shared" si="122"/>
        <v>980876.4222569417</v>
      </c>
      <c r="N463" s="356">
        <f t="shared" si="127"/>
        <v>440</v>
      </c>
      <c r="O463" s="357">
        <f t="shared" si="134"/>
        <v>36</v>
      </c>
      <c r="P463" s="357">
        <f t="shared" si="135"/>
        <v>8</v>
      </c>
      <c r="Q463" s="357">
        <f t="shared" si="136"/>
        <v>36</v>
      </c>
      <c r="R463" s="356">
        <f t="shared" si="128"/>
        <v>25111049.135162417</v>
      </c>
      <c r="S463" s="356">
        <f>IF($G$4="mensual",S462,0)</f>
        <v>10000</v>
      </c>
      <c r="U463" s="356">
        <f t="shared" si="137"/>
        <v>200318.77352517657</v>
      </c>
      <c r="V463" s="359">
        <f t="shared" si="139"/>
        <v>-312.7196606133081</v>
      </c>
      <c r="X463" s="359">
        <f t="shared" si="138"/>
        <v>-25321.367908687593</v>
      </c>
      <c r="Y463" s="356">
        <f t="shared" si="123"/>
        <v>25295733.82111829</v>
      </c>
      <c r="AA463" s="357">
        <f>+Bono!J463</f>
        <v>476035.7349586468</v>
      </c>
      <c r="AC463" s="378">
        <f t="shared" si="129"/>
        <v>36.666666666666664</v>
      </c>
      <c r="AD463" s="356">
        <f t="shared" si="130"/>
        <v>26752645.97833388</v>
      </c>
    </row>
    <row r="464" spans="2:30" x14ac:dyDescent="0.25">
      <c r="B464" s="356">
        <f t="shared" si="124"/>
        <v>441</v>
      </c>
      <c r="C464" s="357">
        <f t="shared" si="131"/>
        <v>36</v>
      </c>
      <c r="D464" s="357">
        <f t="shared" si="132"/>
        <v>9</v>
      </c>
      <c r="E464" s="357">
        <f t="shared" si="133"/>
        <v>65</v>
      </c>
      <c r="F464" s="356">
        <f t="shared" si="125"/>
        <v>980876.4222569417</v>
      </c>
      <c r="H464" s="356">
        <f t="shared" si="121"/>
        <v>7821.646334477558</v>
      </c>
      <c r="I464" s="356">
        <v>0</v>
      </c>
      <c r="J464" s="360">
        <f>-SUM(F464:H464)*$J$21</f>
        <v>-8898.282617322775</v>
      </c>
      <c r="K464" s="356">
        <f t="shared" si="126"/>
        <v>-979.7997859740965</v>
      </c>
      <c r="L464" s="356">
        <f t="shared" si="122"/>
        <v>978819.9861881224</v>
      </c>
      <c r="N464" s="356">
        <f t="shared" si="127"/>
        <v>441</v>
      </c>
      <c r="O464" s="357">
        <f t="shared" si="134"/>
        <v>36</v>
      </c>
      <c r="P464" s="357">
        <f t="shared" si="135"/>
        <v>9</v>
      </c>
      <c r="Q464" s="357">
        <f t="shared" si="136"/>
        <v>36</v>
      </c>
      <c r="R464" s="356">
        <f t="shared" si="128"/>
        <v>25295733.82111829</v>
      </c>
      <c r="S464" s="356">
        <f>IF($G$4="mensual",S463,0)</f>
        <v>10000</v>
      </c>
      <c r="U464" s="356">
        <f t="shared" si="137"/>
        <v>201791.4751460567</v>
      </c>
      <c r="V464" s="359">
        <f t="shared" si="139"/>
        <v>-312.7196606133081</v>
      </c>
      <c r="X464" s="359">
        <f t="shared" si="138"/>
        <v>-25507.525296264346</v>
      </c>
      <c r="Y464" s="356">
        <f t="shared" si="123"/>
        <v>25481705.05130747</v>
      </c>
      <c r="AA464" s="357">
        <f>+Bono!J464</f>
        <v>474672.0116264233</v>
      </c>
      <c r="AC464" s="378">
        <f t="shared" si="129"/>
        <v>36.75</v>
      </c>
      <c r="AD464" s="356">
        <f t="shared" si="130"/>
        <v>26935197.049122013</v>
      </c>
    </row>
    <row r="465" spans="2:30" x14ac:dyDescent="0.25">
      <c r="B465" s="356">
        <f t="shared" si="124"/>
        <v>442</v>
      </c>
      <c r="C465" s="357">
        <f t="shared" si="131"/>
        <v>36</v>
      </c>
      <c r="D465" s="357">
        <f t="shared" si="132"/>
        <v>10</v>
      </c>
      <c r="E465" s="357">
        <f t="shared" si="133"/>
        <v>65</v>
      </c>
      <c r="F465" s="356">
        <f t="shared" si="125"/>
        <v>978819.9861881224</v>
      </c>
      <c r="H465" s="356">
        <f t="shared" si="121"/>
        <v>7805.248024481732</v>
      </c>
      <c r="I465" s="356">
        <v>0</v>
      </c>
      <c r="J465" s="356">
        <v>0</v>
      </c>
      <c r="K465" s="356">
        <f t="shared" si="126"/>
        <v>-986.6252342126041</v>
      </c>
      <c r="L465" s="356">
        <f t="shared" si="122"/>
        <v>985638.6089783915</v>
      </c>
      <c r="N465" s="356">
        <f t="shared" si="127"/>
        <v>442</v>
      </c>
      <c r="O465" s="357">
        <f t="shared" si="134"/>
        <v>36</v>
      </c>
      <c r="P465" s="357">
        <f t="shared" si="135"/>
        <v>10</v>
      </c>
      <c r="Q465" s="357">
        <f t="shared" si="136"/>
        <v>36</v>
      </c>
      <c r="R465" s="356">
        <f t="shared" si="128"/>
        <v>25481705.05130747</v>
      </c>
      <c r="S465" s="356">
        <f>IF($G$4="mensual",S456,IF($G$4="trimestral",S456,0))</f>
        <v>10000</v>
      </c>
      <c r="U465" s="356">
        <f t="shared" si="137"/>
        <v>203274.4358513212</v>
      </c>
      <c r="V465" s="359">
        <f t="shared" si="139"/>
        <v>-312.7196606133081</v>
      </c>
      <c r="X465" s="359">
        <f t="shared" si="138"/>
        <v>-25694.97948715879</v>
      </c>
      <c r="Y465" s="356">
        <f t="shared" si="123"/>
        <v>25668971.78801102</v>
      </c>
      <c r="AA465" s="357">
        <f>+Bono!J465</f>
        <v>477615.0331570526</v>
      </c>
      <c r="AC465" s="378">
        <f t="shared" si="129"/>
        <v>36.833333333333336</v>
      </c>
      <c r="AD465" s="356">
        <f t="shared" si="130"/>
        <v>27132225.430146463</v>
      </c>
    </row>
    <row r="466" spans="2:30" x14ac:dyDescent="0.25">
      <c r="B466" s="356">
        <f t="shared" si="124"/>
        <v>443</v>
      </c>
      <c r="C466" s="357">
        <f t="shared" si="131"/>
        <v>36</v>
      </c>
      <c r="D466" s="357">
        <f t="shared" si="132"/>
        <v>11</v>
      </c>
      <c r="E466" s="357">
        <f t="shared" si="133"/>
        <v>65</v>
      </c>
      <c r="F466" s="356">
        <f t="shared" si="125"/>
        <v>985638.6089783915</v>
      </c>
      <c r="H466" s="356">
        <f t="shared" si="121"/>
        <v>7859.620680143061</v>
      </c>
      <c r="I466" s="356">
        <v>0</v>
      </c>
      <c r="J466" s="356">
        <v>0</v>
      </c>
      <c r="K466" s="356">
        <f t="shared" si="126"/>
        <v>-993.4982296585346</v>
      </c>
      <c r="L466" s="356">
        <f t="shared" si="122"/>
        <v>992504.7314288759</v>
      </c>
      <c r="N466" s="356">
        <f t="shared" si="127"/>
        <v>443</v>
      </c>
      <c r="O466" s="357">
        <f t="shared" si="134"/>
        <v>36</v>
      </c>
      <c r="P466" s="357">
        <f t="shared" si="135"/>
        <v>11</v>
      </c>
      <c r="Q466" s="357">
        <f t="shared" si="136"/>
        <v>36</v>
      </c>
      <c r="R466" s="356">
        <f t="shared" si="128"/>
        <v>25668971.78801102</v>
      </c>
      <c r="S466" s="356">
        <f>IF($G$17="si",S454*(1+$G$20),S454)</f>
        <v>10000</v>
      </c>
      <c r="U466" s="356">
        <f t="shared" si="137"/>
        <v>204767.72710745785</v>
      </c>
      <c r="V466" s="359">
        <f t="shared" si="139"/>
        <v>-312.7196606133081</v>
      </c>
      <c r="X466" s="359">
        <f t="shared" si="138"/>
        <v>-25883.739515118476</v>
      </c>
      <c r="Y466" s="356">
        <f t="shared" si="123"/>
        <v>25857543.055942744</v>
      </c>
      <c r="AA466" s="357">
        <f>+Bono!J466</f>
        <v>480576.3017625411</v>
      </c>
      <c r="AC466" s="378">
        <f t="shared" si="129"/>
        <v>36.916666666666664</v>
      </c>
      <c r="AD466" s="356">
        <f t="shared" si="130"/>
        <v>27330624.08913416</v>
      </c>
    </row>
    <row r="467" spans="2:30" x14ac:dyDescent="0.25">
      <c r="B467" s="356">
        <f t="shared" si="124"/>
        <v>444</v>
      </c>
      <c r="C467" s="357">
        <f t="shared" si="131"/>
        <v>36</v>
      </c>
      <c r="D467" s="357">
        <f t="shared" si="132"/>
        <v>12</v>
      </c>
      <c r="E467" s="357">
        <f t="shared" si="133"/>
        <v>65</v>
      </c>
      <c r="F467" s="356">
        <f t="shared" si="125"/>
        <v>992504.7314288759</v>
      </c>
      <c r="H467" s="356">
        <f t="shared" si="121"/>
        <v>7914.3721047652725</v>
      </c>
      <c r="I467" s="356">
        <v>0</v>
      </c>
      <c r="J467" s="360">
        <f>-SUM(F467:H467)*$J$21</f>
        <v>-9003.771931802772</v>
      </c>
      <c r="K467" s="356">
        <f t="shared" si="126"/>
        <v>-991.4153316018385</v>
      </c>
      <c r="L467" s="356">
        <f t="shared" si="122"/>
        <v>990423.9162702366</v>
      </c>
      <c r="N467" s="356">
        <f t="shared" si="127"/>
        <v>444</v>
      </c>
      <c r="O467" s="357">
        <f t="shared" si="134"/>
        <v>36</v>
      </c>
      <c r="P467" s="357">
        <f t="shared" si="135"/>
        <v>12</v>
      </c>
      <c r="Q467" s="357">
        <f t="shared" si="136"/>
        <v>36</v>
      </c>
      <c r="R467" s="356">
        <f t="shared" si="128"/>
        <v>25857543.055942744</v>
      </c>
      <c r="S467" s="356">
        <f>IF($G$4="mensual",S466,0)</f>
        <v>10000</v>
      </c>
      <c r="U467" s="356">
        <f t="shared" si="137"/>
        <v>206271.42087880187</v>
      </c>
      <c r="V467" s="359">
        <f t="shared" si="139"/>
        <v>-312.7196606133081</v>
      </c>
      <c r="X467" s="359">
        <f t="shared" si="138"/>
        <v>-26073.814476821546</v>
      </c>
      <c r="Y467" s="356">
        <f t="shared" si="123"/>
        <v>26047427.94268411</v>
      </c>
      <c r="AA467" s="357">
        <f>+Bono!J467</f>
        <v>479199.5708419428</v>
      </c>
      <c r="AC467" s="378">
        <f t="shared" si="129"/>
        <v>37</v>
      </c>
      <c r="AD467" s="356">
        <f t="shared" si="130"/>
        <v>27517051.42979629</v>
      </c>
    </row>
    <row r="468" spans="2:30" x14ac:dyDescent="0.25">
      <c r="B468" s="356">
        <f t="shared" si="124"/>
        <v>445</v>
      </c>
      <c r="C468" s="357">
        <f t="shared" si="131"/>
        <v>37</v>
      </c>
      <c r="D468" s="357">
        <f t="shared" si="132"/>
        <v>1</v>
      </c>
      <c r="E468" s="357">
        <f t="shared" si="133"/>
        <v>66</v>
      </c>
      <c r="F468" s="356">
        <f t="shared" si="125"/>
        <v>990423.9162702366</v>
      </c>
      <c r="H468" s="356">
        <f t="shared" si="121"/>
        <v>7897.779392483691</v>
      </c>
      <c r="I468" s="356">
        <v>0</v>
      </c>
      <c r="J468" s="356">
        <v>0</v>
      </c>
      <c r="K468" s="356">
        <f t="shared" si="126"/>
        <v>-998.3216956627202</v>
      </c>
      <c r="L468" s="356">
        <f t="shared" si="122"/>
        <v>997323.3739670576</v>
      </c>
      <c r="N468" s="356">
        <f t="shared" si="127"/>
        <v>445</v>
      </c>
      <c r="O468" s="357">
        <f t="shared" si="134"/>
        <v>37</v>
      </c>
      <c r="P468" s="357">
        <f t="shared" si="135"/>
        <v>1</v>
      </c>
      <c r="Q468" s="357">
        <f t="shared" si="136"/>
        <v>37</v>
      </c>
      <c r="R468" s="356">
        <f t="shared" si="128"/>
        <v>26047427.94268411</v>
      </c>
      <c r="S468" s="356">
        <f>IF($G$17="si",S456*(1+$G$20),S456)</f>
        <v>10000</v>
      </c>
      <c r="U468" s="356">
        <f t="shared" si="137"/>
        <v>207785.589631004</v>
      </c>
      <c r="V468" s="359">
        <f>(V467*(1+$G$18))</f>
        <v>-325.22844703784045</v>
      </c>
      <c r="X468" s="359">
        <f t="shared" si="138"/>
        <v>-26265.213532315112</v>
      </c>
      <c r="Y468" s="356">
        <f t="shared" si="123"/>
        <v>26238623.09033576</v>
      </c>
      <c r="AA468" s="357">
        <f>+Bono!J468</f>
        <v>482170.66376487265</v>
      </c>
      <c r="AC468" s="378">
        <f t="shared" si="129"/>
        <v>37.083333333333336</v>
      </c>
      <c r="AD468" s="356">
        <f t="shared" si="130"/>
        <v>27718117.12806769</v>
      </c>
    </row>
    <row r="469" spans="2:30" x14ac:dyDescent="0.25">
      <c r="B469" s="356">
        <f t="shared" si="124"/>
        <v>446</v>
      </c>
      <c r="C469" s="357">
        <f t="shared" si="131"/>
        <v>37</v>
      </c>
      <c r="D469" s="357">
        <f t="shared" si="132"/>
        <v>2</v>
      </c>
      <c r="E469" s="357">
        <f t="shared" si="133"/>
        <v>66</v>
      </c>
      <c r="F469" s="356">
        <f t="shared" si="125"/>
        <v>997323.3739670576</v>
      </c>
      <c r="H469" s="356">
        <f t="shared" si="121"/>
        <v>7952.7966370414215</v>
      </c>
      <c r="I469" s="356">
        <v>0</v>
      </c>
      <c r="J469" s="356">
        <v>0</v>
      </c>
      <c r="K469" s="356">
        <f t="shared" si="126"/>
        <v>-1005.276170604099</v>
      </c>
      <c r="L469" s="356">
        <f t="shared" si="122"/>
        <v>1004270.8944334949</v>
      </c>
      <c r="N469" s="356">
        <f t="shared" si="127"/>
        <v>446</v>
      </c>
      <c r="O469" s="357">
        <f t="shared" si="134"/>
        <v>37</v>
      </c>
      <c r="P469" s="357">
        <f t="shared" si="135"/>
        <v>2</v>
      </c>
      <c r="Q469" s="357">
        <f t="shared" si="136"/>
        <v>37</v>
      </c>
      <c r="R469" s="356">
        <f t="shared" si="128"/>
        <v>26238623.09033576</v>
      </c>
      <c r="S469" s="356">
        <f>IF($G$4="mensual",S468,0)</f>
        <v>10000</v>
      </c>
      <c r="U469" s="356">
        <f t="shared" si="137"/>
        <v>209310.20658770326</v>
      </c>
      <c r="V469" s="359">
        <f t="shared" si="139"/>
        <v>-325.22844703784045</v>
      </c>
      <c r="X469" s="359">
        <f t="shared" si="138"/>
        <v>-26457.933296923464</v>
      </c>
      <c r="Y469" s="356">
        <f t="shared" si="123"/>
        <v>26431150.1351795</v>
      </c>
      <c r="AA469" s="357">
        <f>+Bono!J469</f>
        <v>485160.1778085501</v>
      </c>
      <c r="AC469" s="378">
        <f t="shared" si="129"/>
        <v>37.166666666666664</v>
      </c>
      <c r="AD469" s="356">
        <f t="shared" si="130"/>
        <v>27920581.207421545</v>
      </c>
    </row>
    <row r="470" spans="2:30" x14ac:dyDescent="0.25">
      <c r="B470" s="356">
        <f t="shared" si="124"/>
        <v>447</v>
      </c>
      <c r="C470" s="357">
        <f t="shared" si="131"/>
        <v>37</v>
      </c>
      <c r="D470" s="357">
        <f t="shared" si="132"/>
        <v>3</v>
      </c>
      <c r="E470" s="357">
        <f t="shared" si="133"/>
        <v>66</v>
      </c>
      <c r="F470" s="356">
        <f t="shared" si="125"/>
        <v>1004270.8944334949</v>
      </c>
      <c r="H470" s="356">
        <f t="shared" si="121"/>
        <v>8008.197140873476</v>
      </c>
      <c r="I470" s="356">
        <v>0</v>
      </c>
      <c r="J470" s="360">
        <f>-SUM(F470:H470)*$J$21</f>
        <v>-9110.511824169316</v>
      </c>
      <c r="K470" s="356">
        <f t="shared" si="126"/>
        <v>-1003.1685797501991</v>
      </c>
      <c r="L470" s="356">
        <f t="shared" si="122"/>
        <v>1002165.4111704489</v>
      </c>
      <c r="N470" s="356">
        <f t="shared" si="127"/>
        <v>447</v>
      </c>
      <c r="O470" s="357">
        <f t="shared" si="134"/>
        <v>37</v>
      </c>
      <c r="P470" s="357">
        <f t="shared" si="135"/>
        <v>3</v>
      </c>
      <c r="Q470" s="357">
        <f t="shared" si="136"/>
        <v>37</v>
      </c>
      <c r="R470" s="356">
        <f t="shared" si="128"/>
        <v>26431150.1351795</v>
      </c>
      <c r="S470" s="356">
        <f>IF($G$4="mensual",S469,0)</f>
        <v>10000</v>
      </c>
      <c r="U470" s="356">
        <f t="shared" si="137"/>
        <v>210845.4442796491</v>
      </c>
      <c r="V470" s="359">
        <f t="shared" si="139"/>
        <v>-325.22844703784045</v>
      </c>
      <c r="X470" s="359">
        <f t="shared" si="138"/>
        <v>-26651.99557945915</v>
      </c>
      <c r="Y470" s="356">
        <f t="shared" si="123"/>
        <v>26625018.355432652</v>
      </c>
      <c r="AA470" s="357">
        <f>+Bono!J470</f>
        <v>483770.3152294294</v>
      </c>
      <c r="AC470" s="378">
        <f t="shared" si="129"/>
        <v>37.25</v>
      </c>
      <c r="AD470" s="356">
        <f t="shared" si="130"/>
        <v>28110954.08183253</v>
      </c>
    </row>
    <row r="471" spans="2:30" x14ac:dyDescent="0.25">
      <c r="B471" s="356">
        <f t="shared" si="124"/>
        <v>448</v>
      </c>
      <c r="C471" s="357">
        <f t="shared" si="131"/>
        <v>37</v>
      </c>
      <c r="D471" s="357">
        <f t="shared" si="132"/>
        <v>4</v>
      </c>
      <c r="E471" s="357">
        <f t="shared" si="133"/>
        <v>66</v>
      </c>
      <c r="F471" s="356">
        <f t="shared" si="125"/>
        <v>1002165.4111704489</v>
      </c>
      <c r="H471" s="356">
        <f t="shared" si="121"/>
        <v>7991.40772166324</v>
      </c>
      <c r="I471" s="356">
        <v>0</v>
      </c>
      <c r="J471" s="356">
        <v>0</v>
      </c>
      <c r="K471" s="356">
        <f t="shared" si="126"/>
        <v>-1010.1568188921121</v>
      </c>
      <c r="L471" s="356">
        <f t="shared" si="122"/>
        <v>1009146.66207322</v>
      </c>
      <c r="N471" s="356">
        <f t="shared" si="127"/>
        <v>448</v>
      </c>
      <c r="O471" s="357">
        <f t="shared" si="134"/>
        <v>37</v>
      </c>
      <c r="P471" s="357">
        <f t="shared" si="135"/>
        <v>4</v>
      </c>
      <c r="Q471" s="357">
        <f t="shared" si="136"/>
        <v>37</v>
      </c>
      <c r="R471" s="356">
        <f t="shared" si="128"/>
        <v>26625018.355432652</v>
      </c>
      <c r="S471" s="356">
        <f>IF($G$4="mensual",S468,IF($G$4="trimestral",S468,0))</f>
        <v>10000</v>
      </c>
      <c r="U471" s="356">
        <f t="shared" si="137"/>
        <v>212391.37669264936</v>
      </c>
      <c r="V471" s="359">
        <f t="shared" si="139"/>
        <v>-325.22844703784045</v>
      </c>
      <c r="X471" s="359">
        <f t="shared" si="138"/>
        <v>-26847.409732125303</v>
      </c>
      <c r="Y471" s="356">
        <f t="shared" si="123"/>
        <v>26820237.093946137</v>
      </c>
      <c r="AA471" s="357">
        <f>+Bono!J471</f>
        <v>486769.74729773524</v>
      </c>
      <c r="AC471" s="378">
        <f t="shared" si="129"/>
        <v>37.333333333333336</v>
      </c>
      <c r="AD471" s="356">
        <f t="shared" si="130"/>
        <v>28316153.50331709</v>
      </c>
    </row>
    <row r="472" spans="2:30" x14ac:dyDescent="0.25">
      <c r="B472" s="356">
        <f t="shared" si="124"/>
        <v>449</v>
      </c>
      <c r="C472" s="357">
        <f t="shared" si="131"/>
        <v>37</v>
      </c>
      <c r="D472" s="357">
        <f t="shared" si="132"/>
        <v>5</v>
      </c>
      <c r="E472" s="357">
        <f t="shared" si="133"/>
        <v>66</v>
      </c>
      <c r="F472" s="356">
        <f t="shared" si="125"/>
        <v>1009146.66207322</v>
      </c>
      <c r="H472" s="356">
        <f t="shared" ref="H472:H535" si="140">SUM(F472:G472)*$G$8</f>
        <v>8047.0771967313485</v>
      </c>
      <c r="I472" s="356">
        <v>0</v>
      </c>
      <c r="J472" s="356">
        <v>0</v>
      </c>
      <c r="K472" s="356">
        <f t="shared" si="126"/>
        <v>-1017.1937392699514</v>
      </c>
      <c r="L472" s="356">
        <f t="shared" ref="L472:L535" si="141">SUM(F472:K472)</f>
        <v>1016176.5455306814</v>
      </c>
      <c r="N472" s="356">
        <f t="shared" si="127"/>
        <v>449</v>
      </c>
      <c r="O472" s="357">
        <f t="shared" si="134"/>
        <v>37</v>
      </c>
      <c r="P472" s="357">
        <f t="shared" si="135"/>
        <v>5</v>
      </c>
      <c r="Q472" s="357">
        <f t="shared" si="136"/>
        <v>37</v>
      </c>
      <c r="R472" s="356">
        <f t="shared" si="128"/>
        <v>26820237.093946137</v>
      </c>
      <c r="S472" s="356">
        <f>IF($G$4="mensual",S471,0)</f>
        <v>10000</v>
      </c>
      <c r="U472" s="356">
        <f t="shared" si="137"/>
        <v>213948.07832790934</v>
      </c>
      <c r="V472" s="359">
        <f t="shared" si="139"/>
        <v>-325.22844703784045</v>
      </c>
      <c r="X472" s="359">
        <f t="shared" si="138"/>
        <v>-27044.185172274047</v>
      </c>
      <c r="Y472" s="356">
        <f t="shared" ref="Y472:Y535" si="142">SUM(R472:X472)</f>
        <v>27016815.758654732</v>
      </c>
      <c r="AA472" s="357">
        <f>+Bono!J472</f>
        <v>489787.77619277715</v>
      </c>
      <c r="AC472" s="378">
        <f t="shared" si="129"/>
        <v>37.416666666666664</v>
      </c>
      <c r="AD472" s="356">
        <f t="shared" si="130"/>
        <v>28522780.08037819</v>
      </c>
    </row>
    <row r="473" spans="2:30" x14ac:dyDescent="0.25">
      <c r="B473" s="356">
        <f t="shared" ref="B473:B536" si="143">+B472+1</f>
        <v>450</v>
      </c>
      <c r="C473" s="357">
        <f t="shared" si="131"/>
        <v>37</v>
      </c>
      <c r="D473" s="357">
        <f t="shared" si="132"/>
        <v>6</v>
      </c>
      <c r="E473" s="357">
        <f t="shared" si="133"/>
        <v>66</v>
      </c>
      <c r="F473" s="356">
        <f t="shared" ref="F473:F536" si="144">L472</f>
        <v>1016176.5455306814</v>
      </c>
      <c r="H473" s="356">
        <f t="shared" si="140"/>
        <v>8103.134474619973</v>
      </c>
      <c r="I473" s="356">
        <v>0</v>
      </c>
      <c r="J473" s="360">
        <f>-SUM(F473:H473)*$J$21</f>
        <v>-9218.517120047713</v>
      </c>
      <c r="K473" s="356">
        <f t="shared" ref="K473:K536" si="145">-SUM(F473:J473)*0.1%</f>
        <v>-1015.0611628852537</v>
      </c>
      <c r="L473" s="356">
        <f t="shared" si="141"/>
        <v>1014046.1017223684</v>
      </c>
      <c r="N473" s="356">
        <f t="shared" ref="N473:N536" si="146">+N472+1</f>
        <v>450</v>
      </c>
      <c r="O473" s="357">
        <f t="shared" si="134"/>
        <v>37</v>
      </c>
      <c r="P473" s="357">
        <f t="shared" si="135"/>
        <v>6</v>
      </c>
      <c r="Q473" s="357">
        <f t="shared" si="136"/>
        <v>37</v>
      </c>
      <c r="R473" s="356">
        <f t="shared" ref="R473:R536" si="147">Y472</f>
        <v>27016815.758654732</v>
      </c>
      <c r="S473" s="356">
        <f>IF($G$4="mensual",S472,0)</f>
        <v>10000</v>
      </c>
      <c r="U473" s="356">
        <f t="shared" si="137"/>
        <v>215515.62420562207</v>
      </c>
      <c r="V473" s="359">
        <f t="shared" si="139"/>
        <v>-325.22844703784045</v>
      </c>
      <c r="X473" s="359">
        <f t="shared" si="138"/>
        <v>-27242.331382860357</v>
      </c>
      <c r="Y473" s="356">
        <f t="shared" si="142"/>
        <v>27214763.823030457</v>
      </c>
      <c r="AA473" s="357">
        <f>+Bono!J473</f>
        <v>488384.6567015692</v>
      </c>
      <c r="AC473" s="378">
        <f t="shared" ref="AC473:AC536" si="148">+B473/12</f>
        <v>37.5</v>
      </c>
      <c r="AD473" s="356">
        <f t="shared" ref="AD473:AD536" si="149">+AA473+Y473+L473</f>
        <v>28717194.581454393</v>
      </c>
    </row>
    <row r="474" spans="2:30" x14ac:dyDescent="0.25">
      <c r="B474" s="356">
        <f t="shared" si="143"/>
        <v>451</v>
      </c>
      <c r="C474" s="357">
        <f t="shared" si="131"/>
        <v>37</v>
      </c>
      <c r="D474" s="357">
        <f t="shared" si="132"/>
        <v>7</v>
      </c>
      <c r="E474" s="357">
        <f t="shared" si="133"/>
        <v>66</v>
      </c>
      <c r="F474" s="356">
        <f t="shared" si="144"/>
        <v>1014046.1017223684</v>
      </c>
      <c r="H474" s="356">
        <f t="shared" si="140"/>
        <v>8086.146016516597</v>
      </c>
      <c r="I474" s="356">
        <v>0</v>
      </c>
      <c r="J474" s="356">
        <v>0</v>
      </c>
      <c r="K474" s="356">
        <f t="shared" si="145"/>
        <v>-1022.132247738885</v>
      </c>
      <c r="L474" s="356">
        <f t="shared" si="141"/>
        <v>1021110.1154911461</v>
      </c>
      <c r="N474" s="356">
        <f t="shared" si="146"/>
        <v>451</v>
      </c>
      <c r="O474" s="357">
        <f t="shared" si="134"/>
        <v>37</v>
      </c>
      <c r="P474" s="357">
        <f t="shared" si="135"/>
        <v>7</v>
      </c>
      <c r="Q474" s="357">
        <f t="shared" si="136"/>
        <v>37</v>
      </c>
      <c r="R474" s="356">
        <f t="shared" si="147"/>
        <v>27214763.823030457</v>
      </c>
      <c r="S474" s="356">
        <f>+IF($G$4="mensual",S468,IF($G$4="trimestral",S468,IF($G$4="semestral",S468,0)))</f>
        <v>10000</v>
      </c>
      <c r="U474" s="356">
        <f t="shared" si="137"/>
        <v>217094.08986858377</v>
      </c>
      <c r="V474" s="359">
        <f t="shared" si="139"/>
        <v>-325.22844703784045</v>
      </c>
      <c r="X474" s="359">
        <f t="shared" si="138"/>
        <v>-27441.85791289904</v>
      </c>
      <c r="Y474" s="356">
        <f t="shared" si="142"/>
        <v>27414090.826539103</v>
      </c>
      <c r="AA474" s="357">
        <f>+Bono!J474</f>
        <v>491412.6982222328</v>
      </c>
      <c r="AC474" s="378">
        <f t="shared" si="148"/>
        <v>37.583333333333336</v>
      </c>
      <c r="AD474" s="356">
        <f t="shared" si="149"/>
        <v>28926613.64025248</v>
      </c>
    </row>
    <row r="475" spans="2:30" x14ac:dyDescent="0.25">
      <c r="B475" s="356">
        <f t="shared" si="143"/>
        <v>452</v>
      </c>
      <c r="C475" s="357">
        <f t="shared" si="131"/>
        <v>37</v>
      </c>
      <c r="D475" s="357">
        <f t="shared" si="132"/>
        <v>8</v>
      </c>
      <c r="E475" s="357">
        <f t="shared" si="133"/>
        <v>66</v>
      </c>
      <c r="F475" s="356">
        <f t="shared" si="144"/>
        <v>1021110.1154911461</v>
      </c>
      <c r="H475" s="356">
        <f t="shared" si="140"/>
        <v>8142.47545430054</v>
      </c>
      <c r="I475" s="356">
        <v>0</v>
      </c>
      <c r="J475" s="356">
        <v>0</v>
      </c>
      <c r="K475" s="356">
        <f t="shared" si="145"/>
        <v>-1029.2525909454466</v>
      </c>
      <c r="L475" s="356">
        <f t="shared" si="141"/>
        <v>1028223.3383545012</v>
      </c>
      <c r="N475" s="356">
        <f t="shared" si="146"/>
        <v>452</v>
      </c>
      <c r="O475" s="357">
        <f t="shared" si="134"/>
        <v>37</v>
      </c>
      <c r="P475" s="357">
        <f t="shared" si="135"/>
        <v>8</v>
      </c>
      <c r="Q475" s="357">
        <f t="shared" si="136"/>
        <v>37</v>
      </c>
      <c r="R475" s="356">
        <f t="shared" si="147"/>
        <v>27414090.826539103</v>
      </c>
      <c r="S475" s="356">
        <f>IF($G$4="mensual",S474,0)</f>
        <v>10000</v>
      </c>
      <c r="U475" s="356">
        <f t="shared" si="137"/>
        <v>218683.55138583432</v>
      </c>
      <c r="V475" s="359">
        <f t="shared" si="139"/>
        <v>-325.22844703784045</v>
      </c>
      <c r="X475" s="359">
        <f t="shared" si="138"/>
        <v>-27642.77437792494</v>
      </c>
      <c r="Y475" s="356">
        <f t="shared" si="142"/>
        <v>27614806.375099976</v>
      </c>
      <c r="AA475" s="357">
        <f>+Bono!J475</f>
        <v>494459.5139515556</v>
      </c>
      <c r="AC475" s="378">
        <f t="shared" si="148"/>
        <v>37.666666666666664</v>
      </c>
      <c r="AD475" s="356">
        <f t="shared" si="149"/>
        <v>29137489.227406032</v>
      </c>
    </row>
    <row r="476" spans="2:30" x14ac:dyDescent="0.25">
      <c r="B476" s="356">
        <f t="shared" si="143"/>
        <v>453</v>
      </c>
      <c r="C476" s="357">
        <f t="shared" si="131"/>
        <v>37</v>
      </c>
      <c r="D476" s="357">
        <f t="shared" si="132"/>
        <v>9</v>
      </c>
      <c r="E476" s="357">
        <f t="shared" si="133"/>
        <v>66</v>
      </c>
      <c r="F476" s="356">
        <f t="shared" si="144"/>
        <v>1028223.3383545012</v>
      </c>
      <c r="H476" s="356">
        <f t="shared" si="140"/>
        <v>8199.197292315022</v>
      </c>
      <c r="I476" s="356">
        <v>0</v>
      </c>
      <c r="J476" s="360">
        <f>-SUM(F476:H476)*$J$21</f>
        <v>-9327.802820821347</v>
      </c>
      <c r="K476" s="356">
        <f t="shared" si="145"/>
        <v>-1027.094732825995</v>
      </c>
      <c r="L476" s="356">
        <f t="shared" si="141"/>
        <v>1026067.638093169</v>
      </c>
      <c r="N476" s="356">
        <f t="shared" si="146"/>
        <v>453</v>
      </c>
      <c r="O476" s="357">
        <f t="shared" si="134"/>
        <v>37</v>
      </c>
      <c r="P476" s="357">
        <f t="shared" si="135"/>
        <v>9</v>
      </c>
      <c r="Q476" s="357">
        <f t="shared" si="136"/>
        <v>37</v>
      </c>
      <c r="R476" s="356">
        <f t="shared" si="147"/>
        <v>27614806.375099976</v>
      </c>
      <c r="S476" s="356">
        <f>IF($G$4="mensual",S475,0)</f>
        <v>10000</v>
      </c>
      <c r="U476" s="356">
        <f t="shared" si="137"/>
        <v>220284.08535632316</v>
      </c>
      <c r="V476" s="359">
        <f t="shared" si="139"/>
        <v>-325.22844703784045</v>
      </c>
      <c r="X476" s="359">
        <f t="shared" si="138"/>
        <v>-27845.0904604563</v>
      </c>
      <c r="Y476" s="356">
        <f t="shared" si="142"/>
        <v>27816920.141548805</v>
      </c>
      <c r="AA476" s="357">
        <f>+Bono!J476</f>
        <v>493043.0110999908</v>
      </c>
      <c r="AC476" s="378">
        <f t="shared" si="148"/>
        <v>37.75</v>
      </c>
      <c r="AD476" s="356">
        <f t="shared" si="149"/>
        <v>29336030.790741965</v>
      </c>
    </row>
    <row r="477" spans="2:30" x14ac:dyDescent="0.25">
      <c r="B477" s="356">
        <f t="shared" si="143"/>
        <v>454</v>
      </c>
      <c r="C477" s="357">
        <f t="shared" si="131"/>
        <v>37</v>
      </c>
      <c r="D477" s="357">
        <f t="shared" si="132"/>
        <v>10</v>
      </c>
      <c r="E477" s="357">
        <f t="shared" si="133"/>
        <v>66</v>
      </c>
      <c r="F477" s="356">
        <f t="shared" si="144"/>
        <v>1026067.638093169</v>
      </c>
      <c r="H477" s="356">
        <f t="shared" si="140"/>
        <v>8182.007435708535</v>
      </c>
      <c r="I477" s="356">
        <v>0</v>
      </c>
      <c r="J477" s="356">
        <v>0</v>
      </c>
      <c r="K477" s="356">
        <f t="shared" si="145"/>
        <v>-1034.2496455288776</v>
      </c>
      <c r="L477" s="356">
        <f t="shared" si="141"/>
        <v>1033215.3958833487</v>
      </c>
      <c r="N477" s="356">
        <f t="shared" si="146"/>
        <v>454</v>
      </c>
      <c r="O477" s="357">
        <f t="shared" si="134"/>
        <v>37</v>
      </c>
      <c r="P477" s="357">
        <f t="shared" si="135"/>
        <v>10</v>
      </c>
      <c r="Q477" s="357">
        <f t="shared" si="136"/>
        <v>37</v>
      </c>
      <c r="R477" s="356">
        <f t="shared" si="147"/>
        <v>27816920.141548805</v>
      </c>
      <c r="S477" s="356">
        <f>IF($G$4="mensual",S468,IF($G$4="trimestral",S468,0))</f>
        <v>10000</v>
      </c>
      <c r="U477" s="356">
        <f t="shared" si="137"/>
        <v>221895.7689126008</v>
      </c>
      <c r="V477" s="359">
        <f t="shared" si="139"/>
        <v>-325.22844703784045</v>
      </c>
      <c r="X477" s="359">
        <f t="shared" si="138"/>
        <v>-28048.815910461406</v>
      </c>
      <c r="Y477" s="356">
        <f t="shared" si="142"/>
        <v>28020441.866103906</v>
      </c>
      <c r="AA477" s="357">
        <f>+Bono!J477</f>
        <v>496099.9349582603</v>
      </c>
      <c r="AC477" s="378">
        <f t="shared" si="148"/>
        <v>37.833333333333336</v>
      </c>
      <c r="AD477" s="356">
        <f t="shared" si="149"/>
        <v>29549757.196945515</v>
      </c>
    </row>
    <row r="478" spans="2:30" x14ac:dyDescent="0.25">
      <c r="B478" s="356">
        <f t="shared" si="143"/>
        <v>455</v>
      </c>
      <c r="C478" s="357">
        <f t="shared" si="131"/>
        <v>37</v>
      </c>
      <c r="D478" s="357">
        <f t="shared" si="132"/>
        <v>11</v>
      </c>
      <c r="E478" s="357">
        <f t="shared" si="133"/>
        <v>66</v>
      </c>
      <c r="F478" s="356">
        <f t="shared" si="144"/>
        <v>1033215.3958833487</v>
      </c>
      <c r="H478" s="356">
        <f t="shared" si="140"/>
        <v>8239.00466007922</v>
      </c>
      <c r="I478" s="356">
        <v>0</v>
      </c>
      <c r="J478" s="356">
        <v>0</v>
      </c>
      <c r="K478" s="356">
        <f t="shared" si="145"/>
        <v>-1041.454400543428</v>
      </c>
      <c r="L478" s="356">
        <f t="shared" si="141"/>
        <v>1040412.9461428844</v>
      </c>
      <c r="N478" s="356">
        <f t="shared" si="146"/>
        <v>455</v>
      </c>
      <c r="O478" s="357">
        <f t="shared" si="134"/>
        <v>37</v>
      </c>
      <c r="P478" s="357">
        <f t="shared" si="135"/>
        <v>11</v>
      </c>
      <c r="Q478" s="357">
        <f t="shared" si="136"/>
        <v>37</v>
      </c>
      <c r="R478" s="356">
        <f t="shared" si="147"/>
        <v>28020441.866103906</v>
      </c>
      <c r="S478" s="356">
        <f>IF($G$17="si",S466*(1+$G$20),S466)</f>
        <v>10000</v>
      </c>
      <c r="U478" s="356">
        <f t="shared" si="137"/>
        <v>223518.67972453585</v>
      </c>
      <c r="V478" s="359">
        <f t="shared" si="139"/>
        <v>-325.22844703784045</v>
      </c>
      <c r="X478" s="359">
        <f t="shared" si="138"/>
        <v>-28253.960545828442</v>
      </c>
      <c r="Y478" s="356">
        <f t="shared" si="142"/>
        <v>28225381.356835578</v>
      </c>
      <c r="AA478" s="357">
        <f>+Bono!J478</f>
        <v>499175.8120990322</v>
      </c>
      <c r="AC478" s="378">
        <f t="shared" si="148"/>
        <v>37.916666666666664</v>
      </c>
      <c r="AD478" s="356">
        <f t="shared" si="149"/>
        <v>29764970.115077496</v>
      </c>
    </row>
    <row r="479" spans="2:30" x14ac:dyDescent="0.25">
      <c r="B479" s="356">
        <f t="shared" si="143"/>
        <v>456</v>
      </c>
      <c r="C479" s="357">
        <f t="shared" si="131"/>
        <v>37</v>
      </c>
      <c r="D479" s="357">
        <f t="shared" si="132"/>
        <v>12</v>
      </c>
      <c r="E479" s="357">
        <f t="shared" si="133"/>
        <v>66</v>
      </c>
      <c r="F479" s="356">
        <f t="shared" si="144"/>
        <v>1040412.9461428844</v>
      </c>
      <c r="H479" s="356">
        <f t="shared" si="140"/>
        <v>8296.39893659285</v>
      </c>
      <c r="I479" s="356">
        <v>0</v>
      </c>
      <c r="J479" s="360">
        <f>-SUM(F479:H479)*$J$21</f>
        <v>-9438.384105715295</v>
      </c>
      <c r="K479" s="356">
        <f t="shared" si="145"/>
        <v>-1039.270960973762</v>
      </c>
      <c r="L479" s="356">
        <f t="shared" si="141"/>
        <v>1038231.690012788</v>
      </c>
      <c r="N479" s="356">
        <f t="shared" si="146"/>
        <v>456</v>
      </c>
      <c r="O479" s="357">
        <f t="shared" si="134"/>
        <v>37</v>
      </c>
      <c r="P479" s="357">
        <f t="shared" si="135"/>
        <v>12</v>
      </c>
      <c r="Q479" s="357">
        <f t="shared" si="136"/>
        <v>37</v>
      </c>
      <c r="R479" s="356">
        <f t="shared" si="147"/>
        <v>28225381.356835578</v>
      </c>
      <c r="S479" s="356">
        <f>IF($G$4="mensual",S478,0)</f>
        <v>10000</v>
      </c>
      <c r="U479" s="356">
        <f t="shared" si="137"/>
        <v>225152.8960030582</v>
      </c>
      <c r="V479" s="359">
        <f t="shared" si="139"/>
        <v>-325.22844703784045</v>
      </c>
      <c r="X479" s="359">
        <f t="shared" si="138"/>
        <v>-28460.53425283864</v>
      </c>
      <c r="Y479" s="356">
        <f t="shared" si="142"/>
        <v>28431748.49013876</v>
      </c>
      <c r="AA479" s="357">
        <f>+Bono!J479</f>
        <v>497745.7982327408</v>
      </c>
      <c r="AC479" s="378">
        <f t="shared" si="148"/>
        <v>38</v>
      </c>
      <c r="AD479" s="356">
        <f t="shared" si="149"/>
        <v>29967725.97838429</v>
      </c>
    </row>
    <row r="480" spans="2:30" x14ac:dyDescent="0.25">
      <c r="B480" s="356">
        <f t="shared" si="143"/>
        <v>457</v>
      </c>
      <c r="C480" s="357">
        <f t="shared" si="131"/>
        <v>38</v>
      </c>
      <c r="D480" s="357">
        <f t="shared" si="132"/>
        <v>1</v>
      </c>
      <c r="E480" s="357">
        <f t="shared" si="133"/>
        <v>67</v>
      </c>
      <c r="F480" s="356">
        <f t="shared" si="144"/>
        <v>1038231.690012788</v>
      </c>
      <c r="H480" s="356">
        <f t="shared" si="140"/>
        <v>8279.005293900054</v>
      </c>
      <c r="I480" s="356">
        <v>0</v>
      </c>
      <c r="J480" s="356">
        <v>0</v>
      </c>
      <c r="K480" s="356">
        <f t="shared" si="145"/>
        <v>-1046.5106953066881</v>
      </c>
      <c r="L480" s="356">
        <f t="shared" si="141"/>
        <v>1045464.1846113814</v>
      </c>
      <c r="N480" s="356">
        <f t="shared" si="146"/>
        <v>457</v>
      </c>
      <c r="O480" s="357">
        <f t="shared" si="134"/>
        <v>38</v>
      </c>
      <c r="P480" s="357">
        <f t="shared" si="135"/>
        <v>1</v>
      </c>
      <c r="Q480" s="357">
        <f t="shared" si="136"/>
        <v>38</v>
      </c>
      <c r="R480" s="356">
        <f t="shared" si="147"/>
        <v>28431748.49013876</v>
      </c>
      <c r="S480" s="356">
        <f>IF($G$17="si",S468*(1+$G$20),S468)</f>
        <v>10000</v>
      </c>
      <c r="U480" s="356">
        <f t="shared" si="137"/>
        <v>226798.4965039281</v>
      </c>
      <c r="V480" s="359">
        <f>(V479*(1+$G$18))</f>
        <v>-338.2375849193541</v>
      </c>
      <c r="X480" s="359">
        <f t="shared" si="138"/>
        <v>-28668.54698664269</v>
      </c>
      <c r="Y480" s="356">
        <f t="shared" si="142"/>
        <v>28639540.202071127</v>
      </c>
      <c r="AA480" s="357">
        <f>+Bono!J480</f>
        <v>500831.8799167228</v>
      </c>
      <c r="AC480" s="378">
        <f t="shared" si="148"/>
        <v>38.083333333333336</v>
      </c>
      <c r="AD480" s="356">
        <f t="shared" si="149"/>
        <v>30185836.26659923</v>
      </c>
    </row>
    <row r="481" spans="2:30" x14ac:dyDescent="0.25">
      <c r="B481" s="356">
        <f t="shared" si="143"/>
        <v>458</v>
      </c>
      <c r="C481" s="357">
        <f t="shared" si="131"/>
        <v>38</v>
      </c>
      <c r="D481" s="357">
        <f t="shared" si="132"/>
        <v>2</v>
      </c>
      <c r="E481" s="357">
        <f t="shared" si="133"/>
        <v>67</v>
      </c>
      <c r="F481" s="356">
        <f t="shared" si="144"/>
        <v>1045464.1846113814</v>
      </c>
      <c r="H481" s="356">
        <f t="shared" si="140"/>
        <v>8336.678221480524</v>
      </c>
      <c r="I481" s="356">
        <v>0</v>
      </c>
      <c r="J481" s="356">
        <v>0</v>
      </c>
      <c r="K481" s="356">
        <f t="shared" si="145"/>
        <v>-1053.8008628328619</v>
      </c>
      <c r="L481" s="356">
        <f t="shared" si="141"/>
        <v>1052747.061970029</v>
      </c>
      <c r="N481" s="356">
        <f t="shared" si="146"/>
        <v>458</v>
      </c>
      <c r="O481" s="357">
        <f t="shared" si="134"/>
        <v>38</v>
      </c>
      <c r="P481" s="357">
        <f t="shared" si="135"/>
        <v>2</v>
      </c>
      <c r="Q481" s="357">
        <f t="shared" si="136"/>
        <v>38</v>
      </c>
      <c r="R481" s="356">
        <f t="shared" si="147"/>
        <v>28639540.202071127</v>
      </c>
      <c r="S481" s="356">
        <f>IF($G$4="mensual",S480,0)</f>
        <v>10000</v>
      </c>
      <c r="U481" s="356">
        <f t="shared" si="137"/>
        <v>228455.4567948391</v>
      </c>
      <c r="V481" s="359">
        <f t="shared" si="139"/>
        <v>-338.2375849193541</v>
      </c>
      <c r="X481" s="359">
        <f t="shared" si="138"/>
        <v>-28877.995658865966</v>
      </c>
      <c r="Y481" s="356">
        <f t="shared" si="142"/>
        <v>28848779.42562218</v>
      </c>
      <c r="AA481" s="357">
        <f>+Bono!J481</f>
        <v>503937.0956651089</v>
      </c>
      <c r="AC481" s="378">
        <f t="shared" si="148"/>
        <v>38.166666666666664</v>
      </c>
      <c r="AD481" s="356">
        <f t="shared" si="149"/>
        <v>30405463.583257318</v>
      </c>
    </row>
    <row r="482" spans="2:30" x14ac:dyDescent="0.25">
      <c r="B482" s="356">
        <f t="shared" si="143"/>
        <v>459</v>
      </c>
      <c r="C482" s="357">
        <f t="shared" si="131"/>
        <v>38</v>
      </c>
      <c r="D482" s="357">
        <f t="shared" si="132"/>
        <v>3</v>
      </c>
      <c r="E482" s="357">
        <f t="shared" si="133"/>
        <v>67</v>
      </c>
      <c r="F482" s="356">
        <f t="shared" si="144"/>
        <v>1052747.061970029</v>
      </c>
      <c r="H482" s="356">
        <f t="shared" si="140"/>
        <v>8394.752908264865</v>
      </c>
      <c r="I482" s="356">
        <v>0</v>
      </c>
      <c r="J482" s="360">
        <f>-SUM(F482:H482)*$J$21</f>
        <v>-9550.276333904645</v>
      </c>
      <c r="K482" s="356">
        <f t="shared" si="145"/>
        <v>-1051.591538544389</v>
      </c>
      <c r="L482" s="356">
        <f t="shared" si="141"/>
        <v>1050539.947005845</v>
      </c>
      <c r="N482" s="356">
        <f t="shared" si="146"/>
        <v>459</v>
      </c>
      <c r="O482" s="357">
        <f t="shared" si="134"/>
        <v>38</v>
      </c>
      <c r="P482" s="357">
        <f t="shared" si="135"/>
        <v>3</v>
      </c>
      <c r="Q482" s="357">
        <f t="shared" si="136"/>
        <v>38</v>
      </c>
      <c r="R482" s="356">
        <f t="shared" si="147"/>
        <v>28848779.42562218</v>
      </c>
      <c r="S482" s="356">
        <f>IF($G$4="mensual",S481,0)</f>
        <v>10000</v>
      </c>
      <c r="U482" s="356">
        <f t="shared" si="137"/>
        <v>230123.95974666998</v>
      </c>
      <c r="V482" s="359">
        <f t="shared" si="139"/>
        <v>-338.2375849193541</v>
      </c>
      <c r="X482" s="359">
        <f t="shared" si="138"/>
        <v>-29088.903385368852</v>
      </c>
      <c r="Y482" s="356">
        <f t="shared" si="142"/>
        <v>29059476.244398564</v>
      </c>
      <c r="AA482" s="357">
        <f>+Bono!J482</f>
        <v>502493.4419121166</v>
      </c>
      <c r="AC482" s="378">
        <f t="shared" si="148"/>
        <v>38.25</v>
      </c>
      <c r="AD482" s="356">
        <f t="shared" si="149"/>
        <v>30612509.633316528</v>
      </c>
    </row>
    <row r="483" spans="2:30" x14ac:dyDescent="0.25">
      <c r="B483" s="356">
        <f t="shared" si="143"/>
        <v>460</v>
      </c>
      <c r="C483" s="357">
        <f t="shared" si="131"/>
        <v>38</v>
      </c>
      <c r="D483" s="357">
        <f t="shared" si="132"/>
        <v>4</v>
      </c>
      <c r="E483" s="357">
        <f t="shared" si="133"/>
        <v>67</v>
      </c>
      <c r="F483" s="356">
        <f t="shared" si="144"/>
        <v>1050539.947005845</v>
      </c>
      <c r="H483" s="356">
        <f t="shared" si="140"/>
        <v>8377.153063597725</v>
      </c>
      <c r="I483" s="356">
        <v>0</v>
      </c>
      <c r="J483" s="356">
        <v>0</v>
      </c>
      <c r="K483" s="356">
        <f t="shared" si="145"/>
        <v>-1058.9171000694425</v>
      </c>
      <c r="L483" s="356">
        <f t="shared" si="141"/>
        <v>1057858.1829693732</v>
      </c>
      <c r="N483" s="356">
        <f t="shared" si="146"/>
        <v>460</v>
      </c>
      <c r="O483" s="357">
        <f t="shared" si="134"/>
        <v>38</v>
      </c>
      <c r="P483" s="357">
        <f t="shared" si="135"/>
        <v>4</v>
      </c>
      <c r="Q483" s="357">
        <f t="shared" si="136"/>
        <v>38</v>
      </c>
      <c r="R483" s="356">
        <f t="shared" si="147"/>
        <v>29059476.244398564</v>
      </c>
      <c r="S483" s="356">
        <f>IF($G$4="mensual",S480,IF($G$4="trimestral",S480,0))</f>
        <v>10000</v>
      </c>
      <c r="U483" s="356">
        <f t="shared" si="137"/>
        <v>231804.08576751614</v>
      </c>
      <c r="V483" s="359">
        <f t="shared" si="139"/>
        <v>-338.2375849193541</v>
      </c>
      <c r="X483" s="359">
        <f t="shared" si="138"/>
        <v>-29301.28033016608</v>
      </c>
      <c r="Y483" s="356">
        <f t="shared" si="142"/>
        <v>29271640.812250994</v>
      </c>
      <c r="AA483" s="357">
        <f>+Bono!J483</f>
        <v>505608.95953760337</v>
      </c>
      <c r="AC483" s="378">
        <f t="shared" si="148"/>
        <v>38.333333333333336</v>
      </c>
      <c r="AD483" s="356">
        <f t="shared" si="149"/>
        <v>30835107.95475797</v>
      </c>
    </row>
    <row r="484" spans="2:30" x14ac:dyDescent="0.25">
      <c r="B484" s="356">
        <f t="shared" si="143"/>
        <v>461</v>
      </c>
      <c r="C484" s="357">
        <f t="shared" ref="C484:C547" si="150">C472+1</f>
        <v>38</v>
      </c>
      <c r="D484" s="357">
        <f t="shared" ref="D484:D547" si="151">D472</f>
        <v>5</v>
      </c>
      <c r="E484" s="357">
        <f t="shared" ref="E484:E547" si="152">E472+1</f>
        <v>67</v>
      </c>
      <c r="F484" s="356">
        <f t="shared" si="144"/>
        <v>1057858.1829693732</v>
      </c>
      <c r="H484" s="356">
        <f t="shared" si="140"/>
        <v>8435.509704862754</v>
      </c>
      <c r="I484" s="356">
        <v>0</v>
      </c>
      <c r="J484" s="356">
        <v>0</v>
      </c>
      <c r="K484" s="356">
        <f t="shared" si="145"/>
        <v>-1066.293692674236</v>
      </c>
      <c r="L484" s="356">
        <f t="shared" si="141"/>
        <v>1065227.3989815617</v>
      </c>
      <c r="N484" s="356">
        <f t="shared" si="146"/>
        <v>461</v>
      </c>
      <c r="O484" s="357">
        <f t="shared" ref="O484:O547" si="153">O472+1</f>
        <v>38</v>
      </c>
      <c r="P484" s="357">
        <f t="shared" ref="P484:P547" si="154">P472</f>
        <v>5</v>
      </c>
      <c r="Q484" s="357">
        <f t="shared" ref="Q484:Q547" si="155">Q472+1</f>
        <v>38</v>
      </c>
      <c r="R484" s="356">
        <f t="shared" si="147"/>
        <v>29271640.812250994</v>
      </c>
      <c r="S484" s="356">
        <f>IF($G$4="mensual",S483,0)</f>
        <v>10000</v>
      </c>
      <c r="U484" s="356">
        <f t="shared" ref="U484:U547" si="156">SUM(R484:T484)*$G$8</f>
        <v>233495.91582560912</v>
      </c>
      <c r="V484" s="359">
        <f t="shared" si="139"/>
        <v>-338.2375849193541</v>
      </c>
      <c r="X484" s="359">
        <f t="shared" si="138"/>
        <v>-29515.136728076603</v>
      </c>
      <c r="Y484" s="356">
        <f t="shared" si="142"/>
        <v>29485283.353763606</v>
      </c>
      <c r="AA484" s="357">
        <f>+Bono!J484</f>
        <v>508743.7937337458</v>
      </c>
      <c r="AC484" s="378">
        <f t="shared" si="148"/>
        <v>38.416666666666664</v>
      </c>
      <c r="AD484" s="356">
        <f t="shared" si="149"/>
        <v>31059254.546478912</v>
      </c>
    </row>
    <row r="485" spans="2:30" x14ac:dyDescent="0.25">
      <c r="B485" s="356">
        <f t="shared" si="143"/>
        <v>462</v>
      </c>
      <c r="C485" s="357">
        <f t="shared" si="150"/>
        <v>38</v>
      </c>
      <c r="D485" s="357">
        <f t="shared" si="151"/>
        <v>6</v>
      </c>
      <c r="E485" s="357">
        <f t="shared" si="152"/>
        <v>67</v>
      </c>
      <c r="F485" s="356">
        <f t="shared" si="144"/>
        <v>1065227.3989815617</v>
      </c>
      <c r="H485" s="356">
        <f t="shared" si="140"/>
        <v>8494.272868194872</v>
      </c>
      <c r="I485" s="356">
        <v>0</v>
      </c>
      <c r="J485" s="360">
        <f>-SUM(F485:H485)*$J$21</f>
        <v>-9663.49504664781</v>
      </c>
      <c r="K485" s="356">
        <f t="shared" si="145"/>
        <v>-1064.0581768031088</v>
      </c>
      <c r="L485" s="356">
        <f t="shared" si="141"/>
        <v>1062994.1186263056</v>
      </c>
      <c r="N485" s="356">
        <f t="shared" si="146"/>
        <v>462</v>
      </c>
      <c r="O485" s="357">
        <f t="shared" si="153"/>
        <v>38</v>
      </c>
      <c r="P485" s="357">
        <f t="shared" si="154"/>
        <v>6</v>
      </c>
      <c r="Q485" s="357">
        <f t="shared" si="155"/>
        <v>38</v>
      </c>
      <c r="R485" s="356">
        <f t="shared" si="147"/>
        <v>29485283.353763606</v>
      </c>
      <c r="S485" s="356">
        <f>IF($G$4="mensual",S484,0)</f>
        <v>10000</v>
      </c>
      <c r="U485" s="356">
        <f t="shared" si="156"/>
        <v>235199.53145321857</v>
      </c>
      <c r="V485" s="359">
        <f t="shared" si="139"/>
        <v>-338.2375849193541</v>
      </c>
      <c r="X485" s="359">
        <f t="shared" si="138"/>
        <v>-29730.482885216825</v>
      </c>
      <c r="Y485" s="356">
        <f t="shared" si="142"/>
        <v>29700414.16474669</v>
      </c>
      <c r="AA485" s="357">
        <f>+Bono!J485</f>
        <v>507286.3699928603</v>
      </c>
      <c r="AC485" s="378">
        <f t="shared" si="148"/>
        <v>38.5</v>
      </c>
      <c r="AD485" s="356">
        <f t="shared" si="149"/>
        <v>31270694.653365854</v>
      </c>
    </row>
    <row r="486" spans="2:30" x14ac:dyDescent="0.25">
      <c r="B486" s="356">
        <f t="shared" si="143"/>
        <v>463</v>
      </c>
      <c r="C486" s="357">
        <f t="shared" si="150"/>
        <v>38</v>
      </c>
      <c r="D486" s="357">
        <f t="shared" si="151"/>
        <v>7</v>
      </c>
      <c r="E486" s="357">
        <f t="shared" si="152"/>
        <v>67</v>
      </c>
      <c r="F486" s="356">
        <f t="shared" si="144"/>
        <v>1062994.1186263056</v>
      </c>
      <c r="H486" s="356">
        <f t="shared" si="140"/>
        <v>8476.464377024948</v>
      </c>
      <c r="I486" s="356">
        <v>0</v>
      </c>
      <c r="J486" s="356">
        <v>0</v>
      </c>
      <c r="K486" s="356">
        <f t="shared" si="145"/>
        <v>-1071.4705830033306</v>
      </c>
      <c r="L486" s="356">
        <f t="shared" si="141"/>
        <v>1070399.1124203273</v>
      </c>
      <c r="N486" s="356">
        <f t="shared" si="146"/>
        <v>463</v>
      </c>
      <c r="O486" s="357">
        <f t="shared" si="153"/>
        <v>38</v>
      </c>
      <c r="P486" s="357">
        <f t="shared" si="154"/>
        <v>7</v>
      </c>
      <c r="Q486" s="357">
        <f t="shared" si="155"/>
        <v>38</v>
      </c>
      <c r="R486" s="356">
        <f t="shared" si="147"/>
        <v>29700414.16474669</v>
      </c>
      <c r="S486" s="356">
        <f>+IF($G$4="mensual",S480,IF($G$4="trimestral",S480,IF($G$4="semestral",S480,0)))</f>
        <v>10000</v>
      </c>
      <c r="U486" s="356">
        <f t="shared" si="156"/>
        <v>236915.01475058164</v>
      </c>
      <c r="V486" s="359">
        <f t="shared" si="139"/>
        <v>-338.2375849193541</v>
      </c>
      <c r="X486" s="359">
        <f t="shared" si="138"/>
        <v>-29947.329179497272</v>
      </c>
      <c r="Y486" s="356">
        <f t="shared" si="142"/>
        <v>29917043.612732857</v>
      </c>
      <c r="AA486" s="357">
        <f>+Bono!J486</f>
        <v>510431.60432839295</v>
      </c>
      <c r="AC486" s="378">
        <f t="shared" si="148"/>
        <v>38.583333333333336</v>
      </c>
      <c r="AD486" s="356">
        <f t="shared" si="149"/>
        <v>31497874.32948158</v>
      </c>
    </row>
    <row r="487" spans="2:30" x14ac:dyDescent="0.25">
      <c r="B487" s="356">
        <f t="shared" si="143"/>
        <v>464</v>
      </c>
      <c r="C487" s="357">
        <f t="shared" si="150"/>
        <v>38</v>
      </c>
      <c r="D487" s="357">
        <f t="shared" si="151"/>
        <v>8</v>
      </c>
      <c r="E487" s="357">
        <f t="shared" si="152"/>
        <v>67</v>
      </c>
      <c r="F487" s="356">
        <f t="shared" si="144"/>
        <v>1070399.1124203273</v>
      </c>
      <c r="H487" s="356">
        <f t="shared" si="140"/>
        <v>8535.512837413637</v>
      </c>
      <c r="I487" s="356">
        <v>0</v>
      </c>
      <c r="J487" s="356">
        <v>0</v>
      </c>
      <c r="K487" s="356">
        <f t="shared" si="145"/>
        <v>-1078.934625257741</v>
      </c>
      <c r="L487" s="356">
        <f t="shared" si="141"/>
        <v>1077855.6906324832</v>
      </c>
      <c r="N487" s="356">
        <f t="shared" si="146"/>
        <v>464</v>
      </c>
      <c r="O487" s="357">
        <f t="shared" si="153"/>
        <v>38</v>
      </c>
      <c r="P487" s="357">
        <f t="shared" si="154"/>
        <v>8</v>
      </c>
      <c r="Q487" s="357">
        <f t="shared" si="155"/>
        <v>38</v>
      </c>
      <c r="R487" s="356">
        <f t="shared" si="147"/>
        <v>29917043.612732857</v>
      </c>
      <c r="S487" s="356">
        <f>IF($G$4="mensual",S486,0)</f>
        <v>10000</v>
      </c>
      <c r="U487" s="356">
        <f t="shared" si="156"/>
        <v>238642.44838985926</v>
      </c>
      <c r="V487" s="359">
        <f t="shared" si="139"/>
        <v>-338.2375849193541</v>
      </c>
      <c r="X487" s="359">
        <f t="shared" si="138"/>
        <v>-30165.686061122717</v>
      </c>
      <c r="Y487" s="356">
        <f t="shared" si="142"/>
        <v>30135182.137476675</v>
      </c>
      <c r="AA487" s="357">
        <f>+Bono!J487</f>
        <v>513596.3394816305</v>
      </c>
      <c r="AC487" s="378">
        <f t="shared" si="148"/>
        <v>38.666666666666664</v>
      </c>
      <c r="AD487" s="356">
        <f t="shared" si="149"/>
        <v>31726634.16759079</v>
      </c>
    </row>
    <row r="488" spans="2:30" x14ac:dyDescent="0.25">
      <c r="B488" s="356">
        <f t="shared" si="143"/>
        <v>465</v>
      </c>
      <c r="C488" s="357">
        <f t="shared" si="150"/>
        <v>38</v>
      </c>
      <c r="D488" s="357">
        <f t="shared" si="151"/>
        <v>9</v>
      </c>
      <c r="E488" s="357">
        <f t="shared" si="152"/>
        <v>67</v>
      </c>
      <c r="F488" s="356">
        <f t="shared" si="144"/>
        <v>1077855.6906324832</v>
      </c>
      <c r="H488" s="356">
        <f t="shared" si="140"/>
        <v>8594.972639196472</v>
      </c>
      <c r="I488" s="356">
        <v>0</v>
      </c>
      <c r="J488" s="360">
        <f>-SUM(F488:H488)*$J$21</f>
        <v>-9778.055969445119</v>
      </c>
      <c r="K488" s="356">
        <f t="shared" si="145"/>
        <v>-1076.6726073022348</v>
      </c>
      <c r="L488" s="356">
        <f t="shared" si="141"/>
        <v>1075595.9346949325</v>
      </c>
      <c r="N488" s="356">
        <f t="shared" si="146"/>
        <v>465</v>
      </c>
      <c r="O488" s="357">
        <f t="shared" si="153"/>
        <v>38</v>
      </c>
      <c r="P488" s="357">
        <f t="shared" si="154"/>
        <v>9</v>
      </c>
      <c r="Q488" s="357">
        <f t="shared" si="155"/>
        <v>38</v>
      </c>
      <c r="R488" s="356">
        <f t="shared" si="147"/>
        <v>30135182.137476675</v>
      </c>
      <c r="S488" s="356">
        <f>IF($G$4="mensual",S487,0)</f>
        <v>10000</v>
      </c>
      <c r="U488" s="356">
        <f t="shared" si="156"/>
        <v>240381.91561912035</v>
      </c>
      <c r="V488" s="359">
        <f t="shared" si="139"/>
        <v>-338.2375849193541</v>
      </c>
      <c r="X488" s="359">
        <f t="shared" si="138"/>
        <v>-30385.564053095797</v>
      </c>
      <c r="Y488" s="356">
        <f t="shared" si="142"/>
        <v>30354840.25145778</v>
      </c>
      <c r="AA488" s="357">
        <f>+Bono!J488</f>
        <v>512125.01441071625</v>
      </c>
      <c r="AC488" s="378">
        <f t="shared" si="148"/>
        <v>38.75</v>
      </c>
      <c r="AD488" s="356">
        <f t="shared" si="149"/>
        <v>31942561.200563427</v>
      </c>
    </row>
    <row r="489" spans="2:30" x14ac:dyDescent="0.25">
      <c r="B489" s="356">
        <f t="shared" si="143"/>
        <v>466</v>
      </c>
      <c r="C489" s="357">
        <f t="shared" si="150"/>
        <v>38</v>
      </c>
      <c r="D489" s="357">
        <f t="shared" si="151"/>
        <v>10</v>
      </c>
      <c r="E489" s="357">
        <f t="shared" si="152"/>
        <v>67</v>
      </c>
      <c r="F489" s="356">
        <f t="shared" si="144"/>
        <v>1075595.9346949325</v>
      </c>
      <c r="H489" s="356">
        <f t="shared" si="140"/>
        <v>8576.953028015394</v>
      </c>
      <c r="I489" s="356">
        <v>0</v>
      </c>
      <c r="J489" s="356">
        <v>0</v>
      </c>
      <c r="K489" s="356">
        <f t="shared" si="145"/>
        <v>-1084.172887722948</v>
      </c>
      <c r="L489" s="356">
        <f t="shared" si="141"/>
        <v>1083088.714835225</v>
      </c>
      <c r="N489" s="356">
        <f t="shared" si="146"/>
        <v>466</v>
      </c>
      <c r="O489" s="357">
        <f t="shared" si="153"/>
        <v>38</v>
      </c>
      <c r="P489" s="357">
        <f t="shared" si="154"/>
        <v>10</v>
      </c>
      <c r="Q489" s="357">
        <f t="shared" si="155"/>
        <v>38</v>
      </c>
      <c r="R489" s="356">
        <f t="shared" si="147"/>
        <v>30354840.25145778</v>
      </c>
      <c r="S489" s="356">
        <f>IF($G$4="mensual",S480,IF($G$4="trimestral",S480,0))</f>
        <v>10000</v>
      </c>
      <c r="U489" s="356">
        <f t="shared" si="156"/>
        <v>242133.50026635383</v>
      </c>
      <c r="V489" s="359">
        <f t="shared" si="139"/>
        <v>-338.2375849193541</v>
      </c>
      <c r="X489" s="359">
        <f t="shared" si="138"/>
        <v>-30606.973751724137</v>
      </c>
      <c r="Y489" s="356">
        <f t="shared" si="142"/>
        <v>30576028.540387493</v>
      </c>
      <c r="AA489" s="357">
        <f>+Bono!J489</f>
        <v>515300.24890288763</v>
      </c>
      <c r="AC489" s="378">
        <f t="shared" si="148"/>
        <v>38.833333333333336</v>
      </c>
      <c r="AD489" s="356">
        <f t="shared" si="149"/>
        <v>32174417.504125606</v>
      </c>
    </row>
    <row r="490" spans="2:30" x14ac:dyDescent="0.25">
      <c r="B490" s="356">
        <f t="shared" si="143"/>
        <v>467</v>
      </c>
      <c r="C490" s="357">
        <f t="shared" si="150"/>
        <v>38</v>
      </c>
      <c r="D490" s="357">
        <f t="shared" si="151"/>
        <v>11</v>
      </c>
      <c r="E490" s="357">
        <f t="shared" si="152"/>
        <v>67</v>
      </c>
      <c r="F490" s="356">
        <f t="shared" si="144"/>
        <v>1083088.714835225</v>
      </c>
      <c r="H490" s="356">
        <f t="shared" si="140"/>
        <v>8636.701509056988</v>
      </c>
      <c r="I490" s="356">
        <v>0</v>
      </c>
      <c r="J490" s="356">
        <v>0</v>
      </c>
      <c r="K490" s="356">
        <f t="shared" si="145"/>
        <v>-1091.725416344282</v>
      </c>
      <c r="L490" s="356">
        <f t="shared" si="141"/>
        <v>1090633.6909279376</v>
      </c>
      <c r="N490" s="356">
        <f t="shared" si="146"/>
        <v>467</v>
      </c>
      <c r="O490" s="357">
        <f t="shared" si="153"/>
        <v>38</v>
      </c>
      <c r="P490" s="357">
        <f t="shared" si="154"/>
        <v>11</v>
      </c>
      <c r="Q490" s="357">
        <f t="shared" si="155"/>
        <v>38</v>
      </c>
      <c r="R490" s="356">
        <f t="shared" si="147"/>
        <v>30576028.540387493</v>
      </c>
      <c r="S490" s="356">
        <f>IF($G$17="si",S478*(1+$G$20),S478)</f>
        <v>10000</v>
      </c>
      <c r="U490" s="356">
        <f t="shared" si="156"/>
        <v>243897.2867435083</v>
      </c>
      <c r="V490" s="359">
        <f t="shared" si="139"/>
        <v>-338.2375849193541</v>
      </c>
      <c r="X490" s="359">
        <f t="shared" si="138"/>
        <v>-30829.925827131</v>
      </c>
      <c r="Y490" s="356">
        <f t="shared" si="142"/>
        <v>30798757.66371895</v>
      </c>
      <c r="AA490" s="357">
        <f>+Bono!J490</f>
        <v>518495.17021721485</v>
      </c>
      <c r="AC490" s="378">
        <f t="shared" si="148"/>
        <v>38.916666666666664</v>
      </c>
      <c r="AD490" s="356">
        <f t="shared" si="149"/>
        <v>32407886.524864104</v>
      </c>
    </row>
    <row r="491" spans="2:30" x14ac:dyDescent="0.25">
      <c r="B491" s="356">
        <f t="shared" si="143"/>
        <v>468</v>
      </c>
      <c r="C491" s="357">
        <f t="shared" si="150"/>
        <v>38</v>
      </c>
      <c r="D491" s="357">
        <f t="shared" si="151"/>
        <v>12</v>
      </c>
      <c r="E491" s="357">
        <f t="shared" si="152"/>
        <v>67</v>
      </c>
      <c r="F491" s="356">
        <f t="shared" si="144"/>
        <v>1090633.6909279376</v>
      </c>
      <c r="H491" s="356">
        <f t="shared" si="140"/>
        <v>8696.866207953</v>
      </c>
      <c r="I491" s="356">
        <v>0</v>
      </c>
      <c r="J491" s="360">
        <f>-SUM(F491:H491)*$J$21</f>
        <v>-9893.975014223017</v>
      </c>
      <c r="K491" s="356">
        <f t="shared" si="145"/>
        <v>-1089.4365821216677</v>
      </c>
      <c r="L491" s="356">
        <f t="shared" si="141"/>
        <v>1088347.145539546</v>
      </c>
      <c r="N491" s="356">
        <f t="shared" si="146"/>
        <v>468</v>
      </c>
      <c r="O491" s="357">
        <f t="shared" si="153"/>
        <v>38</v>
      </c>
      <c r="P491" s="357">
        <f t="shared" si="154"/>
        <v>12</v>
      </c>
      <c r="Q491" s="357">
        <f t="shared" si="155"/>
        <v>38</v>
      </c>
      <c r="R491" s="356">
        <f t="shared" si="147"/>
        <v>30798757.66371895</v>
      </c>
      <c r="S491" s="356">
        <f>IF($G$4="mensual",S490,0)</f>
        <v>10000</v>
      </c>
      <c r="U491" s="356">
        <f t="shared" si="156"/>
        <v>245673.36005055998</v>
      </c>
      <c r="V491" s="359">
        <f t="shared" si="139"/>
        <v>-338.2375849193541</v>
      </c>
      <c r="X491" s="359">
        <f t="shared" ref="X491:X554" si="157">-SUM(R491:U491)*0.1%</f>
        <v>-31054.43102376951</v>
      </c>
      <c r="Y491" s="356">
        <f t="shared" si="142"/>
        <v>31023038.35516082</v>
      </c>
      <c r="AA491" s="357">
        <f>+Bono!J491</f>
        <v>517009.81122135743</v>
      </c>
      <c r="AC491" s="378">
        <f t="shared" si="148"/>
        <v>39</v>
      </c>
      <c r="AD491" s="356">
        <f t="shared" si="149"/>
        <v>32628395.311921723</v>
      </c>
    </row>
    <row r="492" spans="2:30" x14ac:dyDescent="0.25">
      <c r="B492" s="356">
        <f t="shared" si="143"/>
        <v>469</v>
      </c>
      <c r="C492" s="357">
        <f t="shared" si="150"/>
        <v>39</v>
      </c>
      <c r="D492" s="357">
        <f t="shared" si="151"/>
        <v>1</v>
      </c>
      <c r="E492" s="357">
        <f t="shared" si="152"/>
        <v>68</v>
      </c>
      <c r="F492" s="356">
        <f t="shared" si="144"/>
        <v>1088347.145539546</v>
      </c>
      <c r="H492" s="356">
        <f t="shared" si="140"/>
        <v>8678.632973928903</v>
      </c>
      <c r="I492" s="356">
        <v>0</v>
      </c>
      <c r="J492" s="356">
        <v>0</v>
      </c>
      <c r="K492" s="356">
        <f t="shared" si="145"/>
        <v>-1097.025778513475</v>
      </c>
      <c r="L492" s="356">
        <f t="shared" si="141"/>
        <v>1095928.7527349615</v>
      </c>
      <c r="N492" s="356">
        <f t="shared" si="146"/>
        <v>469</v>
      </c>
      <c r="O492" s="357">
        <f t="shared" si="153"/>
        <v>39</v>
      </c>
      <c r="P492" s="357">
        <f t="shared" si="154"/>
        <v>1</v>
      </c>
      <c r="Q492" s="357">
        <f t="shared" si="155"/>
        <v>39</v>
      </c>
      <c r="R492" s="356">
        <f t="shared" si="147"/>
        <v>31023038.35516082</v>
      </c>
      <c r="S492" s="356">
        <f>IF($G$17="si",S480*(1+$G$20),S480)</f>
        <v>10000</v>
      </c>
      <c r="U492" s="356">
        <f t="shared" si="156"/>
        <v>247461.80577960907</v>
      </c>
      <c r="V492" s="359">
        <f>(V491*(1+$G$18))</f>
        <v>-351.7670883161283</v>
      </c>
      <c r="X492" s="359">
        <f t="shared" si="157"/>
        <v>-31280.50016094043</v>
      </c>
      <c r="Y492" s="356">
        <f t="shared" si="142"/>
        <v>31248867.893691175</v>
      </c>
      <c r="AA492" s="357">
        <f>+Bono!J492</f>
        <v>520215.33202035615</v>
      </c>
      <c r="AC492" s="378">
        <f t="shared" si="148"/>
        <v>39.083333333333336</v>
      </c>
      <c r="AD492" s="356">
        <f t="shared" si="149"/>
        <v>32865011.978446495</v>
      </c>
    </row>
    <row r="493" spans="2:30" x14ac:dyDescent="0.25">
      <c r="B493" s="356">
        <f t="shared" si="143"/>
        <v>470</v>
      </c>
      <c r="C493" s="357">
        <f t="shared" si="150"/>
        <v>39</v>
      </c>
      <c r="D493" s="357">
        <f t="shared" si="151"/>
        <v>2</v>
      </c>
      <c r="E493" s="357">
        <f t="shared" si="152"/>
        <v>68</v>
      </c>
      <c r="F493" s="356">
        <f t="shared" si="144"/>
        <v>1095928.7527349615</v>
      </c>
      <c r="H493" s="356">
        <f t="shared" si="140"/>
        <v>8739.089774381933</v>
      </c>
      <c r="I493" s="356">
        <v>0</v>
      </c>
      <c r="J493" s="356">
        <v>0</v>
      </c>
      <c r="K493" s="356">
        <f t="shared" si="145"/>
        <v>-1104.6678425093432</v>
      </c>
      <c r="L493" s="356">
        <f t="shared" si="141"/>
        <v>1103563.1746668338</v>
      </c>
      <c r="N493" s="356">
        <f t="shared" si="146"/>
        <v>470</v>
      </c>
      <c r="O493" s="357">
        <f t="shared" si="153"/>
        <v>39</v>
      </c>
      <c r="P493" s="357">
        <f t="shared" si="154"/>
        <v>2</v>
      </c>
      <c r="Q493" s="357">
        <f t="shared" si="155"/>
        <v>39</v>
      </c>
      <c r="R493" s="356">
        <f t="shared" si="147"/>
        <v>31248867.893691175</v>
      </c>
      <c r="S493" s="356">
        <f>IF($G$4="mensual",S492,0)</f>
        <v>10000</v>
      </c>
      <c r="U493" s="356">
        <f t="shared" si="156"/>
        <v>249262.60223284466</v>
      </c>
      <c r="V493" s="359">
        <f t="shared" si="139"/>
        <v>-351.7670883161283</v>
      </c>
      <c r="X493" s="359">
        <f t="shared" si="157"/>
        <v>-31508.13049592402</v>
      </c>
      <c r="Y493" s="356">
        <f t="shared" si="142"/>
        <v>31476270.598339777</v>
      </c>
      <c r="AA493" s="357">
        <f>+Bono!J493</f>
        <v>523440.72742012603</v>
      </c>
      <c r="AC493" s="378">
        <f t="shared" si="148"/>
        <v>39.166666666666664</v>
      </c>
      <c r="AD493" s="356">
        <f t="shared" si="149"/>
        <v>33103274.500426736</v>
      </c>
    </row>
    <row r="494" spans="2:30" x14ac:dyDescent="0.25">
      <c r="B494" s="356">
        <f t="shared" si="143"/>
        <v>471</v>
      </c>
      <c r="C494" s="357">
        <f t="shared" si="150"/>
        <v>39</v>
      </c>
      <c r="D494" s="357">
        <f t="shared" si="151"/>
        <v>3</v>
      </c>
      <c r="E494" s="357">
        <f t="shared" si="152"/>
        <v>68</v>
      </c>
      <c r="F494" s="356">
        <f t="shared" si="144"/>
        <v>1103563.1746668338</v>
      </c>
      <c r="H494" s="356">
        <f t="shared" si="140"/>
        <v>8799.967726960185</v>
      </c>
      <c r="I494" s="356">
        <v>0</v>
      </c>
      <c r="J494" s="360">
        <f>-SUM(F494:H494)*$J$21</f>
        <v>-10011.268281544146</v>
      </c>
      <c r="K494" s="356">
        <f t="shared" si="145"/>
        <v>-1102.3518741122498</v>
      </c>
      <c r="L494" s="356">
        <f t="shared" si="141"/>
        <v>1101249.5222381377</v>
      </c>
      <c r="N494" s="356">
        <f t="shared" si="146"/>
        <v>471</v>
      </c>
      <c r="O494" s="357">
        <f t="shared" si="153"/>
        <v>39</v>
      </c>
      <c r="P494" s="357">
        <f t="shared" si="154"/>
        <v>3</v>
      </c>
      <c r="Q494" s="357">
        <f t="shared" si="155"/>
        <v>39</v>
      </c>
      <c r="R494" s="356">
        <f t="shared" si="147"/>
        <v>31476270.598339777</v>
      </c>
      <c r="S494" s="356">
        <f>IF($G$4="mensual",S493,0)</f>
        <v>10000</v>
      </c>
      <c r="U494" s="356">
        <f t="shared" si="156"/>
        <v>251075.94333362512</v>
      </c>
      <c r="V494" s="359">
        <f t="shared" si="139"/>
        <v>-351.7670883161283</v>
      </c>
      <c r="X494" s="359">
        <f t="shared" si="157"/>
        <v>-31737.346541673403</v>
      </c>
      <c r="Y494" s="356">
        <f t="shared" si="142"/>
        <v>31705257.428043414</v>
      </c>
      <c r="AA494" s="357">
        <f>+Bono!J494</f>
        <v>521941.20063968195</v>
      </c>
      <c r="AC494" s="378">
        <f t="shared" si="148"/>
        <v>39.25</v>
      </c>
      <c r="AD494" s="356">
        <f t="shared" si="149"/>
        <v>33328448.150921237</v>
      </c>
    </row>
    <row r="495" spans="2:30" x14ac:dyDescent="0.25">
      <c r="B495" s="356">
        <f t="shared" si="143"/>
        <v>472</v>
      </c>
      <c r="C495" s="357">
        <f t="shared" si="150"/>
        <v>39</v>
      </c>
      <c r="D495" s="357">
        <f t="shared" si="151"/>
        <v>4</v>
      </c>
      <c r="E495" s="357">
        <f t="shared" si="152"/>
        <v>68</v>
      </c>
      <c r="F495" s="356">
        <f t="shared" si="144"/>
        <v>1101249.5222381377</v>
      </c>
      <c r="H495" s="356">
        <f t="shared" si="140"/>
        <v>8781.518337590089</v>
      </c>
      <c r="I495" s="356">
        <v>0</v>
      </c>
      <c r="J495" s="356">
        <v>0</v>
      </c>
      <c r="K495" s="356">
        <f t="shared" si="145"/>
        <v>-1110.031040575728</v>
      </c>
      <c r="L495" s="356">
        <f t="shared" si="141"/>
        <v>1108921.009535152</v>
      </c>
      <c r="N495" s="356">
        <f t="shared" si="146"/>
        <v>472</v>
      </c>
      <c r="O495" s="357">
        <f t="shared" si="153"/>
        <v>39</v>
      </c>
      <c r="P495" s="357">
        <f t="shared" si="154"/>
        <v>4</v>
      </c>
      <c r="Q495" s="357">
        <f t="shared" si="155"/>
        <v>39</v>
      </c>
      <c r="R495" s="356">
        <f t="shared" si="147"/>
        <v>31705257.428043414</v>
      </c>
      <c r="S495" s="356">
        <f>IF($G$4="mensual",S492,IF($G$4="trimestral",S492,0))</f>
        <v>10000</v>
      </c>
      <c r="U495" s="356">
        <f t="shared" si="156"/>
        <v>252901.9164700514</v>
      </c>
      <c r="V495" s="359">
        <f t="shared" si="139"/>
        <v>-351.7670883161283</v>
      </c>
      <c r="X495" s="359">
        <f t="shared" si="157"/>
        <v>-31968.159344513464</v>
      </c>
      <c r="Y495" s="356">
        <f t="shared" si="142"/>
        <v>31935839.418080635</v>
      </c>
      <c r="AA495" s="357">
        <f>+Bono!J495</f>
        <v>525177.29662508</v>
      </c>
      <c r="AC495" s="378">
        <f t="shared" si="148"/>
        <v>39.333333333333336</v>
      </c>
      <c r="AD495" s="356">
        <f t="shared" si="149"/>
        <v>33569937.72424087</v>
      </c>
    </row>
    <row r="496" spans="2:30" x14ac:dyDescent="0.25">
      <c r="B496" s="356">
        <f t="shared" si="143"/>
        <v>473</v>
      </c>
      <c r="C496" s="357">
        <f t="shared" si="150"/>
        <v>39</v>
      </c>
      <c r="D496" s="357">
        <f t="shared" si="151"/>
        <v>5</v>
      </c>
      <c r="E496" s="357">
        <f t="shared" si="152"/>
        <v>68</v>
      </c>
      <c r="F496" s="356">
        <f t="shared" si="144"/>
        <v>1108921.009535152</v>
      </c>
      <c r="H496" s="356">
        <f t="shared" si="140"/>
        <v>8842.691854595032</v>
      </c>
      <c r="I496" s="356">
        <v>0</v>
      </c>
      <c r="J496" s="356">
        <v>0</v>
      </c>
      <c r="K496" s="356">
        <f t="shared" si="145"/>
        <v>-1117.763701389747</v>
      </c>
      <c r="L496" s="356">
        <f t="shared" si="141"/>
        <v>1116645.9376883572</v>
      </c>
      <c r="N496" s="356">
        <f t="shared" si="146"/>
        <v>473</v>
      </c>
      <c r="O496" s="357">
        <f t="shared" si="153"/>
        <v>39</v>
      </c>
      <c r="P496" s="357">
        <f t="shared" si="154"/>
        <v>5</v>
      </c>
      <c r="Q496" s="357">
        <f t="shared" si="155"/>
        <v>39</v>
      </c>
      <c r="R496" s="356">
        <f t="shared" si="147"/>
        <v>31935839.418080635</v>
      </c>
      <c r="S496" s="356">
        <f>IF($G$4="mensual",S495,0)</f>
        <v>10000</v>
      </c>
      <c r="U496" s="356">
        <f t="shared" si="156"/>
        <v>254740.6096389843</v>
      </c>
      <c r="V496" s="359">
        <f t="shared" si="139"/>
        <v>-351.7670883161283</v>
      </c>
      <c r="X496" s="359">
        <f t="shared" si="157"/>
        <v>-32200.58002771962</v>
      </c>
      <c r="Y496" s="356">
        <f t="shared" si="142"/>
        <v>32168027.680603586</v>
      </c>
      <c r="AA496" s="357">
        <f>+Bono!J496</f>
        <v>528433.4567809516</v>
      </c>
      <c r="AC496" s="378">
        <f t="shared" si="148"/>
        <v>39.416666666666664</v>
      </c>
      <c r="AD496" s="356">
        <f t="shared" si="149"/>
        <v>33813107.07507289</v>
      </c>
    </row>
    <row r="497" spans="2:30" x14ac:dyDescent="0.25">
      <c r="B497" s="356">
        <f t="shared" si="143"/>
        <v>474</v>
      </c>
      <c r="C497" s="357">
        <f t="shared" si="150"/>
        <v>39</v>
      </c>
      <c r="D497" s="357">
        <f t="shared" si="151"/>
        <v>6</v>
      </c>
      <c r="E497" s="357">
        <f t="shared" si="152"/>
        <v>68</v>
      </c>
      <c r="F497" s="356">
        <f t="shared" si="144"/>
        <v>1116645.9376883572</v>
      </c>
      <c r="H497" s="356">
        <f t="shared" si="140"/>
        <v>8904.291516491883</v>
      </c>
      <c r="I497" s="356">
        <v>0</v>
      </c>
      <c r="J497" s="360">
        <f>-SUM(F497:H497)*$J$21</f>
        <v>-10129.952062843644</v>
      </c>
      <c r="K497" s="356">
        <f t="shared" si="145"/>
        <v>-1115.4202771420055</v>
      </c>
      <c r="L497" s="356">
        <f t="shared" si="141"/>
        <v>1114304.8568648635</v>
      </c>
      <c r="N497" s="356">
        <f t="shared" si="146"/>
        <v>474</v>
      </c>
      <c r="O497" s="357">
        <f t="shared" si="153"/>
        <v>39</v>
      </c>
      <c r="P497" s="357">
        <f t="shared" si="154"/>
        <v>6</v>
      </c>
      <c r="Q497" s="357">
        <f t="shared" si="155"/>
        <v>39</v>
      </c>
      <c r="R497" s="356">
        <f t="shared" si="147"/>
        <v>32168027.680603586</v>
      </c>
      <c r="S497" s="356">
        <f>IF($G$4="mensual",S496,0)</f>
        <v>10000</v>
      </c>
      <c r="U497" s="356">
        <f t="shared" si="156"/>
        <v>256592.11145028548</v>
      </c>
      <c r="V497" s="359">
        <f t="shared" ref="V497:V560" si="158">V496</f>
        <v>-351.7670883161283</v>
      </c>
      <c r="X497" s="359">
        <f t="shared" si="157"/>
        <v>-32434.619792053873</v>
      </c>
      <c r="Y497" s="356">
        <f t="shared" si="142"/>
        <v>32401833.4051735</v>
      </c>
      <c r="AA497" s="357">
        <f>+Bono!J497</f>
        <v>526919.6270794853</v>
      </c>
      <c r="AC497" s="378">
        <f t="shared" si="148"/>
        <v>39.5</v>
      </c>
      <c r="AD497" s="356">
        <f t="shared" si="149"/>
        <v>34043057.88911785</v>
      </c>
    </row>
    <row r="498" spans="2:30" x14ac:dyDescent="0.25">
      <c r="B498" s="356">
        <f t="shared" si="143"/>
        <v>475</v>
      </c>
      <c r="C498" s="357">
        <f t="shared" si="150"/>
        <v>39</v>
      </c>
      <c r="D498" s="357">
        <f t="shared" si="151"/>
        <v>7</v>
      </c>
      <c r="E498" s="357">
        <f t="shared" si="152"/>
        <v>68</v>
      </c>
      <c r="F498" s="356">
        <f t="shared" si="144"/>
        <v>1114304.8568648635</v>
      </c>
      <c r="H498" s="356">
        <f t="shared" si="140"/>
        <v>8885.62340924993</v>
      </c>
      <c r="I498" s="356">
        <v>0</v>
      </c>
      <c r="J498" s="356">
        <v>0</v>
      </c>
      <c r="K498" s="356">
        <f t="shared" si="145"/>
        <v>-1123.1904802741135</v>
      </c>
      <c r="L498" s="356">
        <f t="shared" si="141"/>
        <v>1122067.2897938392</v>
      </c>
      <c r="N498" s="356">
        <f t="shared" si="146"/>
        <v>475</v>
      </c>
      <c r="O498" s="357">
        <f t="shared" si="153"/>
        <v>39</v>
      </c>
      <c r="P498" s="357">
        <f t="shared" si="154"/>
        <v>7</v>
      </c>
      <c r="Q498" s="357">
        <f t="shared" si="155"/>
        <v>39</v>
      </c>
      <c r="R498" s="356">
        <f t="shared" si="147"/>
        <v>32401833.4051735</v>
      </c>
      <c r="S498" s="356">
        <f>+IF($G$4="mensual",S492,IF($G$4="trimestral",S492,IF($G$4="semestral",S492,0)))</f>
        <v>10000</v>
      </c>
      <c r="U498" s="356">
        <f t="shared" si="156"/>
        <v>258456.51113108755</v>
      </c>
      <c r="V498" s="359">
        <f t="shared" si="158"/>
        <v>-351.7670883161283</v>
      </c>
      <c r="X498" s="359">
        <f t="shared" si="157"/>
        <v>-32670.289916304588</v>
      </c>
      <c r="Y498" s="356">
        <f t="shared" si="142"/>
        <v>32637267.85929997</v>
      </c>
      <c r="AA498" s="357">
        <f>+Bono!J498</f>
        <v>530186.589886272</v>
      </c>
      <c r="AC498" s="378">
        <f t="shared" si="148"/>
        <v>39.583333333333336</v>
      </c>
      <c r="AD498" s="356">
        <f t="shared" si="149"/>
        <v>34289521.73898008</v>
      </c>
    </row>
    <row r="499" spans="2:30" x14ac:dyDescent="0.25">
      <c r="B499" s="356">
        <f t="shared" si="143"/>
        <v>476</v>
      </c>
      <c r="C499" s="357">
        <f t="shared" si="150"/>
        <v>39</v>
      </c>
      <c r="D499" s="357">
        <f t="shared" si="151"/>
        <v>8</v>
      </c>
      <c r="E499" s="357">
        <f t="shared" si="152"/>
        <v>68</v>
      </c>
      <c r="F499" s="356">
        <f t="shared" si="144"/>
        <v>1122067.2897938392</v>
      </c>
      <c r="H499" s="356">
        <f t="shared" si="140"/>
        <v>8947.52213949553</v>
      </c>
      <c r="I499" s="356">
        <v>0</v>
      </c>
      <c r="J499" s="356">
        <v>0</v>
      </c>
      <c r="K499" s="356">
        <f t="shared" si="145"/>
        <v>-1131.0148119333346</v>
      </c>
      <c r="L499" s="356">
        <f t="shared" si="141"/>
        <v>1129883.7971214014</v>
      </c>
      <c r="N499" s="356">
        <f t="shared" si="146"/>
        <v>476</v>
      </c>
      <c r="O499" s="357">
        <f t="shared" si="153"/>
        <v>39</v>
      </c>
      <c r="P499" s="357">
        <f t="shared" si="154"/>
        <v>8</v>
      </c>
      <c r="Q499" s="357">
        <f t="shared" si="155"/>
        <v>39</v>
      </c>
      <c r="R499" s="356">
        <f t="shared" si="147"/>
        <v>32637267.85929997</v>
      </c>
      <c r="S499" s="356">
        <f>IF($G$4="mensual",S498,0)</f>
        <v>10000</v>
      </c>
      <c r="U499" s="356">
        <f t="shared" si="156"/>
        <v>260333.89853009433</v>
      </c>
      <c r="V499" s="359">
        <f t="shared" si="158"/>
        <v>-351.7670883161283</v>
      </c>
      <c r="X499" s="359">
        <f t="shared" si="157"/>
        <v>-32907.60175783007</v>
      </c>
      <c r="Y499" s="356">
        <f t="shared" si="142"/>
        <v>32874342.388983916</v>
      </c>
      <c r="AA499" s="357">
        <f>+Bono!J499</f>
        <v>533473.808241405</v>
      </c>
      <c r="AC499" s="378">
        <f t="shared" si="148"/>
        <v>39.666666666666664</v>
      </c>
      <c r="AD499" s="356">
        <f t="shared" si="149"/>
        <v>34537699.99434672</v>
      </c>
    </row>
    <row r="500" spans="2:30" x14ac:dyDescent="0.25">
      <c r="B500" s="356">
        <f t="shared" si="143"/>
        <v>477</v>
      </c>
      <c r="C500" s="357">
        <f t="shared" si="150"/>
        <v>39</v>
      </c>
      <c r="D500" s="357">
        <f t="shared" si="151"/>
        <v>9</v>
      </c>
      <c r="E500" s="357">
        <f t="shared" si="152"/>
        <v>68</v>
      </c>
      <c r="F500" s="356">
        <f t="shared" si="144"/>
        <v>1129883.7971214014</v>
      </c>
      <c r="H500" s="356">
        <f t="shared" si="140"/>
        <v>9009.852066589066</v>
      </c>
      <c r="I500" s="356">
        <v>0</v>
      </c>
      <c r="J500" s="360">
        <f>-SUM(F500:H500)*$J$21</f>
        <v>-10250.042842691915</v>
      </c>
      <c r="K500" s="356">
        <f t="shared" si="145"/>
        <v>-1128.6436063452984</v>
      </c>
      <c r="L500" s="356">
        <f t="shared" si="141"/>
        <v>1127514.962738953</v>
      </c>
      <c r="N500" s="356">
        <f t="shared" si="146"/>
        <v>477</v>
      </c>
      <c r="O500" s="357">
        <f t="shared" si="153"/>
        <v>39</v>
      </c>
      <c r="P500" s="357">
        <f t="shared" si="154"/>
        <v>9</v>
      </c>
      <c r="Q500" s="357">
        <f t="shared" si="155"/>
        <v>39</v>
      </c>
      <c r="R500" s="356">
        <f t="shared" si="147"/>
        <v>32874342.388983916</v>
      </c>
      <c r="S500" s="356">
        <f>IF($G$4="mensual",S499,0)</f>
        <v>10000</v>
      </c>
      <c r="U500" s="356">
        <f t="shared" si="156"/>
        <v>262224.3641219104</v>
      </c>
      <c r="V500" s="359">
        <f t="shared" si="158"/>
        <v>-351.7670883161283</v>
      </c>
      <c r="X500" s="359">
        <f t="shared" si="157"/>
        <v>-33146.56675310583</v>
      </c>
      <c r="Y500" s="356">
        <f t="shared" si="142"/>
        <v>33113068.419264406</v>
      </c>
      <c r="AA500" s="357">
        <f>+Bono!J500</f>
        <v>531945.5391935105</v>
      </c>
      <c r="AC500" s="378">
        <f t="shared" si="148"/>
        <v>39.75</v>
      </c>
      <c r="AD500" s="356">
        <f t="shared" si="149"/>
        <v>34772528.92119687</v>
      </c>
    </row>
    <row r="501" spans="2:30" x14ac:dyDescent="0.25">
      <c r="B501" s="356">
        <f t="shared" si="143"/>
        <v>478</v>
      </c>
      <c r="C501" s="357">
        <f t="shared" si="150"/>
        <v>39</v>
      </c>
      <c r="D501" s="357">
        <f t="shared" si="151"/>
        <v>10</v>
      </c>
      <c r="E501" s="357">
        <f t="shared" si="152"/>
        <v>68</v>
      </c>
      <c r="F501" s="356">
        <f t="shared" si="144"/>
        <v>1127514.962738953</v>
      </c>
      <c r="H501" s="356">
        <f t="shared" si="140"/>
        <v>8990.962648570607</v>
      </c>
      <c r="I501" s="356">
        <v>0</v>
      </c>
      <c r="J501" s="356">
        <v>0</v>
      </c>
      <c r="K501" s="356">
        <f t="shared" si="145"/>
        <v>-1136.5059253875236</v>
      </c>
      <c r="L501" s="356">
        <f t="shared" si="141"/>
        <v>1135369.419462136</v>
      </c>
      <c r="N501" s="356">
        <f t="shared" si="146"/>
        <v>478</v>
      </c>
      <c r="O501" s="357">
        <f t="shared" si="153"/>
        <v>39</v>
      </c>
      <c r="P501" s="357">
        <f t="shared" si="154"/>
        <v>10</v>
      </c>
      <c r="Q501" s="357">
        <f t="shared" si="155"/>
        <v>39</v>
      </c>
      <c r="R501" s="356">
        <f t="shared" si="147"/>
        <v>33113068.419264406</v>
      </c>
      <c r="S501" s="356">
        <f>IF($G$4="mensual",S492,IF($G$4="trimestral",S492,0))</f>
        <v>10000</v>
      </c>
      <c r="U501" s="356">
        <f t="shared" si="156"/>
        <v>264127.9990114018</v>
      </c>
      <c r="V501" s="359">
        <f t="shared" si="158"/>
        <v>-351.7670883161283</v>
      </c>
      <c r="X501" s="359">
        <f t="shared" si="157"/>
        <v>-33387.19641827581</v>
      </c>
      <c r="Y501" s="356">
        <f t="shared" si="142"/>
        <v>33353457.454769216</v>
      </c>
      <c r="AA501" s="357">
        <f>+Bono!J501</f>
        <v>535243.6632383738</v>
      </c>
      <c r="AC501" s="378">
        <f t="shared" si="148"/>
        <v>39.833333333333336</v>
      </c>
      <c r="AD501" s="356">
        <f t="shared" si="149"/>
        <v>35024070.53746973</v>
      </c>
    </row>
    <row r="502" spans="2:30" x14ac:dyDescent="0.25">
      <c r="B502" s="356">
        <f t="shared" si="143"/>
        <v>479</v>
      </c>
      <c r="C502" s="357">
        <f t="shared" si="150"/>
        <v>39</v>
      </c>
      <c r="D502" s="357">
        <f t="shared" si="151"/>
        <v>11</v>
      </c>
      <c r="E502" s="357">
        <f t="shared" si="152"/>
        <v>68</v>
      </c>
      <c r="F502" s="356">
        <f t="shared" si="144"/>
        <v>1135369.419462136</v>
      </c>
      <c r="H502" s="356">
        <f t="shared" si="140"/>
        <v>9053.595189474016</v>
      </c>
      <c r="I502" s="356">
        <v>0</v>
      </c>
      <c r="J502" s="356">
        <v>0</v>
      </c>
      <c r="K502" s="356">
        <f t="shared" si="145"/>
        <v>-1144.4230146516102</v>
      </c>
      <c r="L502" s="356">
        <f t="shared" si="141"/>
        <v>1143278.5916369585</v>
      </c>
      <c r="N502" s="356">
        <f t="shared" si="146"/>
        <v>479</v>
      </c>
      <c r="O502" s="357">
        <f t="shared" si="153"/>
        <v>39</v>
      </c>
      <c r="P502" s="357">
        <f t="shared" si="154"/>
        <v>11</v>
      </c>
      <c r="Q502" s="357">
        <f t="shared" si="155"/>
        <v>39</v>
      </c>
      <c r="R502" s="356">
        <f t="shared" si="147"/>
        <v>33353457.454769216</v>
      </c>
      <c r="S502" s="356">
        <f>IF($G$17="si",S490*(1+$G$20),S490)</f>
        <v>10000</v>
      </c>
      <c r="U502" s="356">
        <f t="shared" si="156"/>
        <v>266044.89493808587</v>
      </c>
      <c r="V502" s="359">
        <f t="shared" si="158"/>
        <v>-351.7670883161283</v>
      </c>
      <c r="X502" s="359">
        <f t="shared" si="157"/>
        <v>-33629.502349707305</v>
      </c>
      <c r="Y502" s="356">
        <f t="shared" si="142"/>
        <v>33595521.080269285</v>
      </c>
      <c r="AA502" s="357">
        <f>+Bono!J502</f>
        <v>538562.236034874</v>
      </c>
      <c r="AC502" s="378">
        <f t="shared" si="148"/>
        <v>39.916666666666664</v>
      </c>
      <c r="AD502" s="356">
        <f t="shared" si="149"/>
        <v>35277361.90794112</v>
      </c>
    </row>
    <row r="503" spans="2:30" x14ac:dyDescent="0.25">
      <c r="B503" s="356">
        <f t="shared" si="143"/>
        <v>480</v>
      </c>
      <c r="C503" s="357">
        <f t="shared" si="150"/>
        <v>39</v>
      </c>
      <c r="D503" s="357">
        <f t="shared" si="151"/>
        <v>12</v>
      </c>
      <c r="E503" s="357">
        <f t="shared" si="152"/>
        <v>68</v>
      </c>
      <c r="F503" s="356">
        <f t="shared" si="144"/>
        <v>1143278.5916369585</v>
      </c>
      <c r="H503" s="356">
        <f t="shared" si="140"/>
        <v>9116.664039072428</v>
      </c>
      <c r="I503" s="356">
        <v>0</v>
      </c>
      <c r="J503" s="360">
        <f>-SUM(F503:H503)*$J$21</f>
        <v>-10371.55730108428</v>
      </c>
      <c r="K503" s="356">
        <f t="shared" si="145"/>
        <v>-1142.0236983749467</v>
      </c>
      <c r="L503" s="356">
        <f t="shared" si="141"/>
        <v>1140881.6746765717</v>
      </c>
      <c r="N503" s="356">
        <f t="shared" si="146"/>
        <v>480</v>
      </c>
      <c r="O503" s="357">
        <f t="shared" si="153"/>
        <v>39</v>
      </c>
      <c r="P503" s="357">
        <f t="shared" si="154"/>
        <v>12</v>
      </c>
      <c r="Q503" s="357">
        <f t="shared" si="155"/>
        <v>39</v>
      </c>
      <c r="R503" s="356">
        <f t="shared" si="147"/>
        <v>33595521.080269285</v>
      </c>
      <c r="S503" s="356">
        <f>IF($G$4="mensual",S502,0)</f>
        <v>10000</v>
      </c>
      <c r="U503" s="356">
        <f t="shared" si="156"/>
        <v>267975.144280553</v>
      </c>
      <c r="V503" s="359">
        <f t="shared" si="158"/>
        <v>-351.7670883161283</v>
      </c>
      <c r="X503" s="359">
        <f t="shared" si="157"/>
        <v>-33873.49622454984</v>
      </c>
      <c r="Y503" s="356">
        <f t="shared" si="142"/>
        <v>33839270.96123697</v>
      </c>
      <c r="AA503" s="357">
        <f>+Bono!J503</f>
        <v>537019.3899138805</v>
      </c>
      <c r="AC503" s="378">
        <f t="shared" si="148"/>
        <v>40</v>
      </c>
      <c r="AD503" s="356">
        <f t="shared" si="149"/>
        <v>35517172.02582742</v>
      </c>
    </row>
    <row r="504" spans="2:30" x14ac:dyDescent="0.25">
      <c r="B504" s="356">
        <f t="shared" si="143"/>
        <v>481</v>
      </c>
      <c r="C504" s="357">
        <f t="shared" si="150"/>
        <v>40</v>
      </c>
      <c r="D504" s="357">
        <f t="shared" si="151"/>
        <v>1</v>
      </c>
      <c r="E504" s="357">
        <f t="shared" si="152"/>
        <v>69</v>
      </c>
      <c r="F504" s="356">
        <f t="shared" si="144"/>
        <v>1140881.6746765717</v>
      </c>
      <c r="H504" s="356">
        <f t="shared" si="140"/>
        <v>9097.550686633882</v>
      </c>
      <c r="I504" s="356">
        <v>0</v>
      </c>
      <c r="J504" s="356">
        <v>0</v>
      </c>
      <c r="K504" s="356">
        <f t="shared" si="145"/>
        <v>-1149.9792253632056</v>
      </c>
      <c r="L504" s="356">
        <f t="shared" si="141"/>
        <v>1148829.2461378425</v>
      </c>
      <c r="N504" s="356">
        <f t="shared" si="146"/>
        <v>481</v>
      </c>
      <c r="O504" s="357">
        <f t="shared" si="153"/>
        <v>40</v>
      </c>
      <c r="P504" s="357">
        <f t="shared" si="154"/>
        <v>1</v>
      </c>
      <c r="Q504" s="357">
        <f t="shared" si="155"/>
        <v>40</v>
      </c>
      <c r="R504" s="356">
        <f t="shared" si="147"/>
        <v>33839270.96123697</v>
      </c>
      <c r="S504" s="356">
        <f>IF($G$17="si",S492*(1+$G$20),S492)</f>
        <v>10000</v>
      </c>
      <c r="U504" s="356">
        <f t="shared" si="156"/>
        <v>269918.8400609179</v>
      </c>
      <c r="V504" s="359">
        <f>(V503*(1+$G$18))</f>
        <v>-365.83777184877346</v>
      </c>
      <c r="X504" s="359">
        <f t="shared" si="157"/>
        <v>-34119.189801297885</v>
      </c>
      <c r="Y504" s="356">
        <f t="shared" si="142"/>
        <v>34084704.77372474</v>
      </c>
      <c r="AA504" s="357">
        <f>+Bono!J504</f>
        <v>540348.9724217403</v>
      </c>
      <c r="AC504" s="378">
        <f t="shared" si="148"/>
        <v>40.083333333333336</v>
      </c>
      <c r="AD504" s="356">
        <f t="shared" si="149"/>
        <v>35773882.99228433</v>
      </c>
    </row>
    <row r="505" spans="2:30" x14ac:dyDescent="0.25">
      <c r="B505" s="356">
        <f t="shared" si="143"/>
        <v>482</v>
      </c>
      <c r="C505" s="357">
        <f t="shared" si="150"/>
        <v>40</v>
      </c>
      <c r="D505" s="357">
        <f t="shared" si="151"/>
        <v>2</v>
      </c>
      <c r="E505" s="357">
        <f t="shared" si="152"/>
        <v>69</v>
      </c>
      <c r="F505" s="356">
        <f t="shared" si="144"/>
        <v>1148829.2461378425</v>
      </c>
      <c r="H505" s="356">
        <f t="shared" si="140"/>
        <v>9160.925737534804</v>
      </c>
      <c r="I505" s="356">
        <v>0</v>
      </c>
      <c r="J505" s="356">
        <v>0</v>
      </c>
      <c r="K505" s="356">
        <f t="shared" si="145"/>
        <v>-1157.9901718753774</v>
      </c>
      <c r="L505" s="356">
        <f t="shared" si="141"/>
        <v>1156832.181703502</v>
      </c>
      <c r="N505" s="356">
        <f t="shared" si="146"/>
        <v>482</v>
      </c>
      <c r="O505" s="357">
        <f t="shared" si="153"/>
        <v>40</v>
      </c>
      <c r="P505" s="357">
        <f t="shared" si="154"/>
        <v>2</v>
      </c>
      <c r="Q505" s="357">
        <f t="shared" si="155"/>
        <v>40</v>
      </c>
      <c r="R505" s="356">
        <f t="shared" si="147"/>
        <v>34084704.77372474</v>
      </c>
      <c r="S505" s="356">
        <f>IF($G$4="mensual",S504,0)</f>
        <v>10000</v>
      </c>
      <c r="U505" s="356">
        <f t="shared" si="156"/>
        <v>271875.96374769666</v>
      </c>
      <c r="V505" s="359">
        <f t="shared" si="158"/>
        <v>-365.83777184877346</v>
      </c>
      <c r="X505" s="359">
        <f t="shared" si="157"/>
        <v>-34366.58073747244</v>
      </c>
      <c r="Y505" s="356">
        <f t="shared" si="142"/>
        <v>34331848.31896312</v>
      </c>
      <c r="AA505" s="357">
        <f>+Bono!J505</f>
        <v>543699.1987273565</v>
      </c>
      <c r="AC505" s="378">
        <f t="shared" si="148"/>
        <v>40.166666666666664</v>
      </c>
      <c r="AD505" s="356">
        <f t="shared" si="149"/>
        <v>36032379.69939397</v>
      </c>
    </row>
    <row r="506" spans="2:30" x14ac:dyDescent="0.25">
      <c r="B506" s="356">
        <f t="shared" si="143"/>
        <v>483</v>
      </c>
      <c r="C506" s="357">
        <f t="shared" si="150"/>
        <v>40</v>
      </c>
      <c r="D506" s="357">
        <f t="shared" si="151"/>
        <v>3</v>
      </c>
      <c r="E506" s="357">
        <f t="shared" si="152"/>
        <v>69</v>
      </c>
      <c r="F506" s="356">
        <f t="shared" si="144"/>
        <v>1156832.181703502</v>
      </c>
      <c r="H506" s="356">
        <f t="shared" si="140"/>
        <v>9224.742269578841</v>
      </c>
      <c r="I506" s="356">
        <v>0</v>
      </c>
      <c r="J506" s="360">
        <f>-SUM(F506:H506)*$J$21</f>
        <v>-10494.512315757729</v>
      </c>
      <c r="K506" s="356">
        <f t="shared" si="145"/>
        <v>-1155.562411657323</v>
      </c>
      <c r="L506" s="356">
        <f t="shared" si="141"/>
        <v>1154406.8492456658</v>
      </c>
      <c r="N506" s="356">
        <f t="shared" si="146"/>
        <v>483</v>
      </c>
      <c r="O506" s="357">
        <f t="shared" si="153"/>
        <v>40</v>
      </c>
      <c r="P506" s="357">
        <f t="shared" si="154"/>
        <v>3</v>
      </c>
      <c r="Q506" s="357">
        <f t="shared" si="155"/>
        <v>40</v>
      </c>
      <c r="R506" s="356">
        <f t="shared" si="147"/>
        <v>34331848.31896312</v>
      </c>
      <c r="S506" s="356">
        <f>IF($G$4="mensual",S505,0)</f>
        <v>10000</v>
      </c>
      <c r="U506" s="356">
        <f t="shared" si="156"/>
        <v>273846.7210835246</v>
      </c>
      <c r="V506" s="359">
        <f t="shared" si="158"/>
        <v>-365.83777184877346</v>
      </c>
      <c r="X506" s="359">
        <f t="shared" si="157"/>
        <v>-34615.69504004664</v>
      </c>
      <c r="Y506" s="356">
        <f t="shared" si="142"/>
        <v>34580713.507234745</v>
      </c>
      <c r="AA506" s="357">
        <f>+Bono!J506</f>
        <v>542141.6364929159</v>
      </c>
      <c r="AC506" s="378">
        <f t="shared" si="148"/>
        <v>40.25</v>
      </c>
      <c r="AD506" s="356">
        <f t="shared" si="149"/>
        <v>36277261.99297333</v>
      </c>
    </row>
    <row r="507" spans="2:30" x14ac:dyDescent="0.25">
      <c r="B507" s="356">
        <f t="shared" si="143"/>
        <v>484</v>
      </c>
      <c r="C507" s="357">
        <f t="shared" si="150"/>
        <v>40</v>
      </c>
      <c r="D507" s="357">
        <f t="shared" si="151"/>
        <v>4</v>
      </c>
      <c r="E507" s="357">
        <f t="shared" si="152"/>
        <v>69</v>
      </c>
      <c r="F507" s="356">
        <f t="shared" si="144"/>
        <v>1154406.8492456658</v>
      </c>
      <c r="H507" s="356">
        <f t="shared" si="140"/>
        <v>9205.402327973277</v>
      </c>
      <c r="I507" s="356">
        <v>0</v>
      </c>
      <c r="J507" s="356">
        <v>0</v>
      </c>
      <c r="K507" s="356">
        <f t="shared" si="145"/>
        <v>-1163.612251573639</v>
      </c>
      <c r="L507" s="356">
        <f t="shared" si="141"/>
        <v>1162448.6393220653</v>
      </c>
      <c r="N507" s="356">
        <f t="shared" si="146"/>
        <v>484</v>
      </c>
      <c r="O507" s="357">
        <f t="shared" si="153"/>
        <v>40</v>
      </c>
      <c r="P507" s="357">
        <f t="shared" si="154"/>
        <v>4</v>
      </c>
      <c r="Q507" s="357">
        <f t="shared" si="155"/>
        <v>40</v>
      </c>
      <c r="R507" s="356">
        <f t="shared" si="147"/>
        <v>34580713.507234745</v>
      </c>
      <c r="S507" s="356">
        <f>IF($G$4="mensual",S504,IF($G$4="trimestral",S504,0))</f>
        <v>10000</v>
      </c>
      <c r="U507" s="356">
        <f t="shared" si="156"/>
        <v>275831.2070426681</v>
      </c>
      <c r="V507" s="359">
        <f t="shared" si="158"/>
        <v>-365.83777184877346</v>
      </c>
      <c r="X507" s="359">
        <f t="shared" si="157"/>
        <v>-34866.544714277414</v>
      </c>
      <c r="Y507" s="356">
        <f t="shared" si="142"/>
        <v>34831312.33179129</v>
      </c>
      <c r="AA507" s="357">
        <f>+Bono!J507</f>
        <v>545502.9775237095</v>
      </c>
      <c r="AC507" s="378">
        <f t="shared" si="148"/>
        <v>40.333333333333336</v>
      </c>
      <c r="AD507" s="356">
        <f t="shared" si="149"/>
        <v>36539263.94863706</v>
      </c>
    </row>
    <row r="508" spans="2:30" x14ac:dyDescent="0.25">
      <c r="B508" s="356">
        <f t="shared" si="143"/>
        <v>485</v>
      </c>
      <c r="C508" s="357">
        <f t="shared" si="150"/>
        <v>40</v>
      </c>
      <c r="D508" s="357">
        <f t="shared" si="151"/>
        <v>5</v>
      </c>
      <c r="E508" s="357">
        <f t="shared" si="152"/>
        <v>69</v>
      </c>
      <c r="F508" s="356">
        <f t="shared" si="144"/>
        <v>1162448.6393220653</v>
      </c>
      <c r="H508" s="356">
        <f t="shared" si="140"/>
        <v>9269.528691342251</v>
      </c>
      <c r="I508" s="356">
        <v>0</v>
      </c>
      <c r="J508" s="356">
        <v>0</v>
      </c>
      <c r="K508" s="356">
        <f t="shared" si="145"/>
        <v>-1171.7181680134076</v>
      </c>
      <c r="L508" s="356">
        <f t="shared" si="141"/>
        <v>1170546.4498453941</v>
      </c>
      <c r="N508" s="356">
        <f t="shared" si="146"/>
        <v>485</v>
      </c>
      <c r="O508" s="357">
        <f t="shared" si="153"/>
        <v>40</v>
      </c>
      <c r="P508" s="357">
        <f t="shared" si="154"/>
        <v>5</v>
      </c>
      <c r="Q508" s="357">
        <f t="shared" si="155"/>
        <v>40</v>
      </c>
      <c r="R508" s="356">
        <f t="shared" si="147"/>
        <v>34831312.33179129</v>
      </c>
      <c r="S508" s="356">
        <f>IF($G$4="mensual",S507,0)</f>
        <v>10000</v>
      </c>
      <c r="U508" s="356">
        <f t="shared" si="156"/>
        <v>277829.5172610002</v>
      </c>
      <c r="V508" s="359">
        <f t="shared" si="158"/>
        <v>-365.83777184877346</v>
      </c>
      <c r="X508" s="359">
        <f t="shared" si="157"/>
        <v>-35119.14184905229</v>
      </c>
      <c r="Y508" s="356">
        <f t="shared" si="142"/>
        <v>35083656.869431384</v>
      </c>
      <c r="AA508" s="357">
        <f>+Bono!J508</f>
        <v>548885.1592587855</v>
      </c>
      <c r="AC508" s="378">
        <f t="shared" si="148"/>
        <v>40.416666666666664</v>
      </c>
      <c r="AD508" s="356">
        <f t="shared" si="149"/>
        <v>36803088.47853556</v>
      </c>
    </row>
    <row r="509" spans="2:30" x14ac:dyDescent="0.25">
      <c r="B509" s="356">
        <f t="shared" si="143"/>
        <v>486</v>
      </c>
      <c r="C509" s="357">
        <f t="shared" si="150"/>
        <v>40</v>
      </c>
      <c r="D509" s="357">
        <f t="shared" si="151"/>
        <v>6</v>
      </c>
      <c r="E509" s="357">
        <f t="shared" si="152"/>
        <v>69</v>
      </c>
      <c r="F509" s="356">
        <f t="shared" si="144"/>
        <v>1170546.4498453941</v>
      </c>
      <c r="H509" s="356">
        <f t="shared" si="140"/>
        <v>9334.10176962193</v>
      </c>
      <c r="I509" s="356">
        <v>0</v>
      </c>
      <c r="J509" s="360">
        <f>-SUM(F509:H509)*$J$21</f>
        <v>-10618.924964535147</v>
      </c>
      <c r="K509" s="356">
        <f t="shared" si="145"/>
        <v>-1169.261626650481</v>
      </c>
      <c r="L509" s="356">
        <f t="shared" si="141"/>
        <v>1168092.3650238304</v>
      </c>
      <c r="N509" s="356">
        <f t="shared" si="146"/>
        <v>486</v>
      </c>
      <c r="O509" s="357">
        <f t="shared" si="153"/>
        <v>40</v>
      </c>
      <c r="P509" s="357">
        <f t="shared" si="154"/>
        <v>6</v>
      </c>
      <c r="Q509" s="357">
        <f t="shared" si="155"/>
        <v>40</v>
      </c>
      <c r="R509" s="356">
        <f t="shared" si="147"/>
        <v>35083656.869431384</v>
      </c>
      <c r="S509" s="356">
        <f>IF($G$4="mensual",S508,0)</f>
        <v>10000</v>
      </c>
      <c r="U509" s="356">
        <f t="shared" si="156"/>
        <v>279841.7480406091</v>
      </c>
      <c r="V509" s="359">
        <f t="shared" si="158"/>
        <v>-365.83777184877346</v>
      </c>
      <c r="X509" s="359">
        <f t="shared" si="157"/>
        <v>-35373.498617471996</v>
      </c>
      <c r="Y509" s="356">
        <f t="shared" si="142"/>
        <v>35337759.281082675</v>
      </c>
      <c r="AA509" s="357">
        <f>+Bono!J509</f>
        <v>547312.7405443429</v>
      </c>
      <c r="AC509" s="378">
        <f t="shared" si="148"/>
        <v>40.5</v>
      </c>
      <c r="AD509" s="356">
        <f t="shared" si="149"/>
        <v>37053164.386650845</v>
      </c>
    </row>
    <row r="510" spans="2:30" x14ac:dyDescent="0.25">
      <c r="B510" s="356">
        <f t="shared" si="143"/>
        <v>487</v>
      </c>
      <c r="C510" s="357">
        <f t="shared" si="150"/>
        <v>40</v>
      </c>
      <c r="D510" s="357">
        <f t="shared" si="151"/>
        <v>7</v>
      </c>
      <c r="E510" s="357">
        <f t="shared" si="152"/>
        <v>69</v>
      </c>
      <c r="F510" s="356">
        <f t="shared" si="144"/>
        <v>1168092.3650238304</v>
      </c>
      <c r="H510" s="356">
        <f t="shared" si="140"/>
        <v>9314.53255263034</v>
      </c>
      <c r="I510" s="356">
        <v>0</v>
      </c>
      <c r="J510" s="356">
        <v>0</v>
      </c>
      <c r="K510" s="356">
        <f t="shared" si="145"/>
        <v>-1177.4068975764608</v>
      </c>
      <c r="L510" s="356">
        <f t="shared" si="141"/>
        <v>1176229.4906788843</v>
      </c>
      <c r="N510" s="356">
        <f t="shared" si="146"/>
        <v>487</v>
      </c>
      <c r="O510" s="357">
        <f t="shared" si="153"/>
        <v>40</v>
      </c>
      <c r="P510" s="357">
        <f t="shared" si="154"/>
        <v>7</v>
      </c>
      <c r="Q510" s="357">
        <f t="shared" si="155"/>
        <v>40</v>
      </c>
      <c r="R510" s="356">
        <f t="shared" si="147"/>
        <v>35337759.281082675</v>
      </c>
      <c r="S510" s="356">
        <f>+IF($G$4="mensual",S504,IF($G$4="trimestral",S504,IF($G$4="semestral",S504,0)))</f>
        <v>10000</v>
      </c>
      <c r="U510" s="356">
        <f t="shared" si="156"/>
        <v>281867.9963544396</v>
      </c>
      <c r="V510" s="359">
        <f t="shared" si="158"/>
        <v>-365.83777184877346</v>
      </c>
      <c r="X510" s="359">
        <f t="shared" si="157"/>
        <v>-35629.62727743712</v>
      </c>
      <c r="Y510" s="356">
        <f t="shared" si="142"/>
        <v>35593631.81238783</v>
      </c>
      <c r="AA510" s="357">
        <f>+Bono!J510</f>
        <v>550706.1430200663</v>
      </c>
      <c r="AC510" s="378">
        <f t="shared" si="148"/>
        <v>40.583333333333336</v>
      </c>
      <c r="AD510" s="356">
        <f t="shared" si="149"/>
        <v>37320567.44608678</v>
      </c>
    </row>
    <row r="511" spans="2:30" x14ac:dyDescent="0.25">
      <c r="B511" s="356">
        <f t="shared" si="143"/>
        <v>488</v>
      </c>
      <c r="C511" s="357">
        <f t="shared" si="150"/>
        <v>40</v>
      </c>
      <c r="D511" s="357">
        <f t="shared" si="151"/>
        <v>8</v>
      </c>
      <c r="E511" s="357">
        <f t="shared" si="152"/>
        <v>69</v>
      </c>
      <c r="F511" s="356">
        <f t="shared" si="144"/>
        <v>1176229.4906788843</v>
      </c>
      <c r="H511" s="356">
        <f t="shared" si="140"/>
        <v>9379.419135291375</v>
      </c>
      <c r="I511" s="356">
        <v>0</v>
      </c>
      <c r="J511" s="356">
        <v>0</v>
      </c>
      <c r="K511" s="356">
        <f t="shared" si="145"/>
        <v>-1185.6089098141756</v>
      </c>
      <c r="L511" s="356">
        <f t="shared" si="141"/>
        <v>1184423.3009043615</v>
      </c>
      <c r="N511" s="356">
        <f t="shared" si="146"/>
        <v>488</v>
      </c>
      <c r="O511" s="357">
        <f t="shared" si="153"/>
        <v>40</v>
      </c>
      <c r="P511" s="357">
        <f t="shared" si="154"/>
        <v>8</v>
      </c>
      <c r="Q511" s="357">
        <f t="shared" si="155"/>
        <v>40</v>
      </c>
      <c r="R511" s="356">
        <f t="shared" si="147"/>
        <v>35593631.81238783</v>
      </c>
      <c r="S511" s="356">
        <f>IF($G$4="mensual",S510,0)</f>
        <v>10000</v>
      </c>
      <c r="U511" s="356">
        <f t="shared" si="156"/>
        <v>283908.359850966</v>
      </c>
      <c r="V511" s="359">
        <f t="shared" si="158"/>
        <v>-365.83777184877346</v>
      </c>
      <c r="X511" s="359">
        <f t="shared" si="157"/>
        <v>-35887.5401722388</v>
      </c>
      <c r="Y511" s="356">
        <f t="shared" si="142"/>
        <v>35851286.79429471</v>
      </c>
      <c r="AA511" s="357">
        <f>+Bono!J511</f>
        <v>554120.5849847496</v>
      </c>
      <c r="AC511" s="378">
        <f t="shared" si="148"/>
        <v>40.666666666666664</v>
      </c>
      <c r="AD511" s="356">
        <f t="shared" si="149"/>
        <v>37589830.68018382</v>
      </c>
    </row>
    <row r="512" spans="2:30" x14ac:dyDescent="0.25">
      <c r="B512" s="356">
        <f t="shared" si="143"/>
        <v>489</v>
      </c>
      <c r="C512" s="357">
        <f t="shared" si="150"/>
        <v>40</v>
      </c>
      <c r="D512" s="357">
        <f t="shared" si="151"/>
        <v>9</v>
      </c>
      <c r="E512" s="357">
        <f t="shared" si="152"/>
        <v>69</v>
      </c>
      <c r="F512" s="356">
        <f t="shared" si="144"/>
        <v>1184423.3009043615</v>
      </c>
      <c r="H512" s="356">
        <f t="shared" si="140"/>
        <v>9444.757728677117</v>
      </c>
      <c r="I512" s="356">
        <v>0</v>
      </c>
      <c r="J512" s="360">
        <f>-SUM(F512:H512)*$J$21</f>
        <v>-10744.812527697348</v>
      </c>
      <c r="K512" s="356">
        <f t="shared" si="145"/>
        <v>-1183.1232461053412</v>
      </c>
      <c r="L512" s="356">
        <f t="shared" si="141"/>
        <v>1181940.1228592359</v>
      </c>
      <c r="N512" s="356">
        <f t="shared" si="146"/>
        <v>489</v>
      </c>
      <c r="O512" s="357">
        <f t="shared" si="153"/>
        <v>40</v>
      </c>
      <c r="P512" s="357">
        <f t="shared" si="154"/>
        <v>9</v>
      </c>
      <c r="Q512" s="357">
        <f t="shared" si="155"/>
        <v>40</v>
      </c>
      <c r="R512" s="356">
        <f t="shared" si="147"/>
        <v>35851286.79429471</v>
      </c>
      <c r="S512" s="356">
        <f>IF($G$4="mensual",S511,0)</f>
        <v>10000</v>
      </c>
      <c r="U512" s="356">
        <f t="shared" si="156"/>
        <v>285962.9368588981</v>
      </c>
      <c r="V512" s="359">
        <f t="shared" si="158"/>
        <v>-365.83777184877346</v>
      </c>
      <c r="X512" s="359">
        <f t="shared" si="157"/>
        <v>-36147.249731153606</v>
      </c>
      <c r="Y512" s="356">
        <f t="shared" si="142"/>
        <v>36110736.643650606</v>
      </c>
      <c r="AA512" s="357">
        <f>+Bono!J512</f>
        <v>552533.1680848928</v>
      </c>
      <c r="AC512" s="378">
        <f t="shared" si="148"/>
        <v>40.75</v>
      </c>
      <c r="AD512" s="356">
        <f t="shared" si="149"/>
        <v>37845209.934594736</v>
      </c>
    </row>
    <row r="513" spans="2:30" x14ac:dyDescent="0.25">
      <c r="B513" s="356">
        <f t="shared" si="143"/>
        <v>490</v>
      </c>
      <c r="C513" s="357">
        <f t="shared" si="150"/>
        <v>40</v>
      </c>
      <c r="D513" s="357">
        <f t="shared" si="151"/>
        <v>10</v>
      </c>
      <c r="E513" s="357">
        <f t="shared" si="152"/>
        <v>69</v>
      </c>
      <c r="F513" s="356">
        <f t="shared" si="144"/>
        <v>1181940.1228592359</v>
      </c>
      <c r="H513" s="356">
        <f t="shared" si="140"/>
        <v>9424.956518235314</v>
      </c>
      <c r="I513" s="356">
        <v>0</v>
      </c>
      <c r="J513" s="356">
        <v>0</v>
      </c>
      <c r="K513" s="356">
        <f t="shared" si="145"/>
        <v>-1191.3650793774714</v>
      </c>
      <c r="L513" s="356">
        <f t="shared" si="141"/>
        <v>1190173.7142980937</v>
      </c>
      <c r="N513" s="356">
        <f t="shared" si="146"/>
        <v>490</v>
      </c>
      <c r="O513" s="357">
        <f t="shared" si="153"/>
        <v>40</v>
      </c>
      <c r="P513" s="357">
        <f t="shared" si="154"/>
        <v>10</v>
      </c>
      <c r="Q513" s="357">
        <f t="shared" si="155"/>
        <v>40</v>
      </c>
      <c r="R513" s="356">
        <f t="shared" si="147"/>
        <v>36110736.643650606</v>
      </c>
      <c r="S513" s="356">
        <f>IF($G$4="mensual",S504,IF($G$4="trimestral",S504,0))</f>
        <v>10000</v>
      </c>
      <c r="U513" s="356">
        <f t="shared" si="156"/>
        <v>288031.82639192</v>
      </c>
      <c r="V513" s="359">
        <f t="shared" si="158"/>
        <v>-365.83777184877346</v>
      </c>
      <c r="X513" s="359">
        <f t="shared" si="157"/>
        <v>-36408.76847004253</v>
      </c>
      <c r="Y513" s="356">
        <f t="shared" si="142"/>
        <v>36371993.86380064</v>
      </c>
      <c r="AA513" s="357">
        <f>+Bono!J513</f>
        <v>555958.9378168997</v>
      </c>
      <c r="AC513" s="378">
        <f t="shared" si="148"/>
        <v>40.833333333333336</v>
      </c>
      <c r="AD513" s="356">
        <f t="shared" si="149"/>
        <v>38118126.51591563</v>
      </c>
    </row>
    <row r="514" spans="2:30" x14ac:dyDescent="0.25">
      <c r="B514" s="356">
        <f t="shared" si="143"/>
        <v>491</v>
      </c>
      <c r="C514" s="357">
        <f t="shared" si="150"/>
        <v>40</v>
      </c>
      <c r="D514" s="357">
        <f t="shared" si="151"/>
        <v>11</v>
      </c>
      <c r="E514" s="357">
        <f t="shared" si="152"/>
        <v>69</v>
      </c>
      <c r="F514" s="356">
        <f t="shared" si="144"/>
        <v>1190173.7142980937</v>
      </c>
      <c r="H514" s="356">
        <f t="shared" si="140"/>
        <v>9490.612332602986</v>
      </c>
      <c r="I514" s="356">
        <v>0</v>
      </c>
      <c r="J514" s="356">
        <v>0</v>
      </c>
      <c r="K514" s="356">
        <f t="shared" si="145"/>
        <v>-1199.6643266306967</v>
      </c>
      <c r="L514" s="356">
        <f t="shared" si="141"/>
        <v>1198464.662304066</v>
      </c>
      <c r="N514" s="356">
        <f t="shared" si="146"/>
        <v>491</v>
      </c>
      <c r="O514" s="357">
        <f t="shared" si="153"/>
        <v>40</v>
      </c>
      <c r="P514" s="357">
        <f t="shared" si="154"/>
        <v>11</v>
      </c>
      <c r="Q514" s="357">
        <f t="shared" si="155"/>
        <v>40</v>
      </c>
      <c r="R514" s="356">
        <f t="shared" si="147"/>
        <v>36371993.86380064</v>
      </c>
      <c r="S514" s="356">
        <f>IF($G$17="si",S502*(1+$G$20),S502)</f>
        <v>10000</v>
      </c>
      <c r="U514" s="356">
        <f t="shared" si="156"/>
        <v>290115.1281534613</v>
      </c>
      <c r="V514" s="359">
        <f t="shared" si="158"/>
        <v>-365.83777184877346</v>
      </c>
      <c r="X514" s="359">
        <f t="shared" si="157"/>
        <v>-36672.1089919541</v>
      </c>
      <c r="Y514" s="356">
        <f t="shared" si="142"/>
        <v>36635071.0451903</v>
      </c>
      <c r="AA514" s="357">
        <f>+Bono!J514</f>
        <v>559405.9477186099</v>
      </c>
      <c r="AC514" s="378">
        <f t="shared" si="148"/>
        <v>40.916666666666664</v>
      </c>
      <c r="AD514" s="356">
        <f t="shared" si="149"/>
        <v>38392941.655212976</v>
      </c>
    </row>
    <row r="515" spans="2:30" x14ac:dyDescent="0.25">
      <c r="B515" s="356">
        <f t="shared" si="143"/>
        <v>492</v>
      </c>
      <c r="C515" s="357">
        <f t="shared" si="150"/>
        <v>40</v>
      </c>
      <c r="D515" s="357">
        <f t="shared" si="151"/>
        <v>12</v>
      </c>
      <c r="E515" s="357">
        <f t="shared" si="152"/>
        <v>69</v>
      </c>
      <c r="F515" s="356">
        <f t="shared" si="144"/>
        <v>1198464.662304066</v>
      </c>
      <c r="H515" s="356">
        <f t="shared" si="140"/>
        <v>9556.72551629135</v>
      </c>
      <c r="I515" s="356">
        <v>0</v>
      </c>
      <c r="J515" s="360">
        <f>-SUM(F515:H515)*$J$21</f>
        <v>-10872.192490383217</v>
      </c>
      <c r="K515" s="356">
        <f t="shared" si="145"/>
        <v>-1197.149195329974</v>
      </c>
      <c r="L515" s="356">
        <f t="shared" si="141"/>
        <v>1195952.046134644</v>
      </c>
      <c r="N515" s="356">
        <f t="shared" si="146"/>
        <v>492</v>
      </c>
      <c r="O515" s="357">
        <f t="shared" si="153"/>
        <v>40</v>
      </c>
      <c r="P515" s="357">
        <f t="shared" si="154"/>
        <v>12</v>
      </c>
      <c r="Q515" s="357">
        <f t="shared" si="155"/>
        <v>40</v>
      </c>
      <c r="R515" s="356">
        <f t="shared" si="147"/>
        <v>36635071.0451903</v>
      </c>
      <c r="S515" s="356">
        <f>IF($G$4="mensual",S514,0)</f>
        <v>10000</v>
      </c>
      <c r="U515" s="356">
        <f t="shared" si="156"/>
        <v>292212.94254150265</v>
      </c>
      <c r="V515" s="359">
        <f t="shared" si="158"/>
        <v>-365.83777184877346</v>
      </c>
      <c r="X515" s="359">
        <f t="shared" si="157"/>
        <v>-36937.283987731804</v>
      </c>
      <c r="Y515" s="356">
        <f t="shared" si="142"/>
        <v>36899980.86597222</v>
      </c>
      <c r="AA515" s="357">
        <f>+Bono!J515</f>
        <v>557803.3895762999</v>
      </c>
      <c r="AC515" s="378">
        <f t="shared" si="148"/>
        <v>41</v>
      </c>
      <c r="AD515" s="356">
        <f t="shared" si="149"/>
        <v>38653736.301683165</v>
      </c>
    </row>
    <row r="516" spans="2:30" x14ac:dyDescent="0.25">
      <c r="B516" s="356">
        <f t="shared" si="143"/>
        <v>493</v>
      </c>
      <c r="C516" s="357">
        <f t="shared" si="150"/>
        <v>41</v>
      </c>
      <c r="D516" s="357">
        <f t="shared" si="151"/>
        <v>1</v>
      </c>
      <c r="E516" s="357">
        <f t="shared" si="152"/>
        <v>70</v>
      </c>
      <c r="F516" s="356">
        <f t="shared" si="144"/>
        <v>1195952.046134644</v>
      </c>
      <c r="H516" s="356">
        <f t="shared" si="140"/>
        <v>9536.689562112444</v>
      </c>
      <c r="I516" s="356">
        <v>0</v>
      </c>
      <c r="J516" s="356">
        <v>0</v>
      </c>
      <c r="K516" s="356">
        <f t="shared" si="145"/>
        <v>-1205.4887356967565</v>
      </c>
      <c r="L516" s="356">
        <f t="shared" si="141"/>
        <v>1204283.2469610597</v>
      </c>
      <c r="N516" s="356">
        <f t="shared" si="146"/>
        <v>493</v>
      </c>
      <c r="O516" s="357">
        <f t="shared" si="153"/>
        <v>41</v>
      </c>
      <c r="P516" s="357">
        <f t="shared" si="154"/>
        <v>1</v>
      </c>
      <c r="Q516" s="357">
        <f t="shared" si="155"/>
        <v>41</v>
      </c>
      <c r="R516" s="356">
        <f t="shared" si="147"/>
        <v>36899980.86597222</v>
      </c>
      <c r="S516" s="356">
        <f>IF($G$17="si",S504*(1+$G$20),S504)</f>
        <v>10000</v>
      </c>
      <c r="U516" s="356">
        <f t="shared" si="156"/>
        <v>294325.37065341347</v>
      </c>
      <c r="V516" s="359">
        <f>(V515*(1+$G$18))</f>
        <v>-380.4712827227244</v>
      </c>
      <c r="X516" s="359">
        <f t="shared" si="157"/>
        <v>-37204.306236625634</v>
      </c>
      <c r="Y516" s="356">
        <f t="shared" si="142"/>
        <v>37166721.45910629</v>
      </c>
      <c r="AA516" s="357">
        <f>+Bono!J516</f>
        <v>561261.8352928614</v>
      </c>
      <c r="AC516" s="378">
        <f t="shared" si="148"/>
        <v>41.083333333333336</v>
      </c>
      <c r="AD516" s="356">
        <f t="shared" si="149"/>
        <v>38932266.54136021</v>
      </c>
    </row>
    <row r="517" spans="2:30" x14ac:dyDescent="0.25">
      <c r="B517" s="356">
        <f t="shared" si="143"/>
        <v>494</v>
      </c>
      <c r="C517" s="357">
        <f t="shared" si="150"/>
        <v>41</v>
      </c>
      <c r="D517" s="357">
        <f t="shared" si="151"/>
        <v>2</v>
      </c>
      <c r="E517" s="357">
        <f t="shared" si="152"/>
        <v>70</v>
      </c>
      <c r="F517" s="356">
        <f t="shared" si="144"/>
        <v>1204283.2469610597</v>
      </c>
      <c r="H517" s="356">
        <f t="shared" si="140"/>
        <v>9603.123727443683</v>
      </c>
      <c r="I517" s="356">
        <v>0</v>
      </c>
      <c r="J517" s="356">
        <v>0</v>
      </c>
      <c r="K517" s="356">
        <f t="shared" si="145"/>
        <v>-1213.8863706885033</v>
      </c>
      <c r="L517" s="356">
        <f t="shared" si="141"/>
        <v>1212672.484317815</v>
      </c>
      <c r="N517" s="356">
        <f t="shared" si="146"/>
        <v>494</v>
      </c>
      <c r="O517" s="357">
        <f t="shared" si="153"/>
        <v>41</v>
      </c>
      <c r="P517" s="357">
        <f t="shared" si="154"/>
        <v>2</v>
      </c>
      <c r="Q517" s="357">
        <f t="shared" si="155"/>
        <v>41</v>
      </c>
      <c r="R517" s="356">
        <f t="shared" si="147"/>
        <v>37166721.45910629</v>
      </c>
      <c r="S517" s="356">
        <f>IF($G$4="mensual",S516,0)</f>
        <v>10000</v>
      </c>
      <c r="U517" s="356">
        <f t="shared" si="156"/>
        <v>296452.3976011536</v>
      </c>
      <c r="V517" s="359">
        <f t="shared" si="158"/>
        <v>-380.4712827227244</v>
      </c>
      <c r="X517" s="359">
        <f t="shared" si="157"/>
        <v>-37473.17385670744</v>
      </c>
      <c r="Y517" s="356">
        <f t="shared" si="142"/>
        <v>37435320.21156801</v>
      </c>
      <c r="AA517" s="357">
        <f>+Bono!J517</f>
        <v>564741.7237740206</v>
      </c>
      <c r="AC517" s="378">
        <f t="shared" si="148"/>
        <v>41.166666666666664</v>
      </c>
      <c r="AD517" s="356">
        <f t="shared" si="149"/>
        <v>39212734.41965985</v>
      </c>
    </row>
    <row r="518" spans="2:30" x14ac:dyDescent="0.25">
      <c r="B518" s="356">
        <f t="shared" si="143"/>
        <v>495</v>
      </c>
      <c r="C518" s="357">
        <f t="shared" si="150"/>
        <v>41</v>
      </c>
      <c r="D518" s="357">
        <f t="shared" si="151"/>
        <v>3</v>
      </c>
      <c r="E518" s="357">
        <f t="shared" si="152"/>
        <v>70</v>
      </c>
      <c r="F518" s="356">
        <f t="shared" si="144"/>
        <v>1212672.484317815</v>
      </c>
      <c r="H518" s="356">
        <f t="shared" si="140"/>
        <v>9670.020684217854</v>
      </c>
      <c r="I518" s="356">
        <v>0</v>
      </c>
      <c r="J518" s="360">
        <f>-SUM(F518:H518)*$J$21</f>
        <v>-11001.082545018297</v>
      </c>
      <c r="K518" s="356">
        <f t="shared" si="145"/>
        <v>-1211.3414224570145</v>
      </c>
      <c r="L518" s="356">
        <f t="shared" si="141"/>
        <v>1210130.0810345574</v>
      </c>
      <c r="N518" s="356">
        <f t="shared" si="146"/>
        <v>495</v>
      </c>
      <c r="O518" s="357">
        <f t="shared" si="153"/>
        <v>41</v>
      </c>
      <c r="P518" s="357">
        <f t="shared" si="154"/>
        <v>3</v>
      </c>
      <c r="Q518" s="357">
        <f t="shared" si="155"/>
        <v>41</v>
      </c>
      <c r="R518" s="356">
        <f t="shared" si="147"/>
        <v>37435320.21156801</v>
      </c>
      <c r="S518" s="356">
        <f>IF($G$4="mensual",S517,0)</f>
        <v>10000</v>
      </c>
      <c r="U518" s="356">
        <f t="shared" si="156"/>
        <v>298594.24177231174</v>
      </c>
      <c r="V518" s="359">
        <f t="shared" si="158"/>
        <v>-380.4712827227244</v>
      </c>
      <c r="X518" s="359">
        <f t="shared" si="157"/>
        <v>-37743.91445334032</v>
      </c>
      <c r="Y518" s="356">
        <f t="shared" si="142"/>
        <v>37705790.06760426</v>
      </c>
      <c r="AA518" s="357">
        <f>+Bono!J518</f>
        <v>563123.8799676986</v>
      </c>
      <c r="AC518" s="378">
        <f t="shared" si="148"/>
        <v>41.25</v>
      </c>
      <c r="AD518" s="356">
        <f t="shared" si="149"/>
        <v>39479044.02860651</v>
      </c>
    </row>
    <row r="519" spans="2:30" x14ac:dyDescent="0.25">
      <c r="B519" s="356">
        <f t="shared" si="143"/>
        <v>496</v>
      </c>
      <c r="C519" s="357">
        <f t="shared" si="150"/>
        <v>41</v>
      </c>
      <c r="D519" s="357">
        <f t="shared" si="151"/>
        <v>4</v>
      </c>
      <c r="E519" s="357">
        <f t="shared" si="152"/>
        <v>70</v>
      </c>
      <c r="F519" s="356">
        <f t="shared" si="144"/>
        <v>1210130.0810345574</v>
      </c>
      <c r="H519" s="356">
        <f t="shared" si="140"/>
        <v>9649.747203410252</v>
      </c>
      <c r="I519" s="356">
        <v>0</v>
      </c>
      <c r="J519" s="356">
        <v>0</v>
      </c>
      <c r="K519" s="356">
        <f t="shared" si="145"/>
        <v>-1219.7798282379676</v>
      </c>
      <c r="L519" s="356">
        <f t="shared" si="141"/>
        <v>1218560.0484097295</v>
      </c>
      <c r="N519" s="356">
        <f t="shared" si="146"/>
        <v>496</v>
      </c>
      <c r="O519" s="357">
        <f t="shared" si="153"/>
        <v>41</v>
      </c>
      <c r="P519" s="357">
        <f t="shared" si="154"/>
        <v>4</v>
      </c>
      <c r="Q519" s="357">
        <f t="shared" si="155"/>
        <v>41</v>
      </c>
      <c r="R519" s="356">
        <f t="shared" si="147"/>
        <v>37705790.06760426</v>
      </c>
      <c r="S519" s="356">
        <f>IF($G$4="mensual",S516,IF($G$4="trimestral",S516,0))</f>
        <v>10000</v>
      </c>
      <c r="U519" s="356">
        <f t="shared" si="156"/>
        <v>300751.0063861302</v>
      </c>
      <c r="V519" s="359">
        <f t="shared" si="158"/>
        <v>-380.4712827227244</v>
      </c>
      <c r="X519" s="359">
        <f t="shared" si="157"/>
        <v>-38016.54107399039</v>
      </c>
      <c r="Y519" s="356">
        <f t="shared" si="142"/>
        <v>37978144.06163368</v>
      </c>
      <c r="AA519" s="357">
        <f>+Bono!J519</f>
        <v>566615.3133418255</v>
      </c>
      <c r="AC519" s="378">
        <f t="shared" si="148"/>
        <v>41.333333333333336</v>
      </c>
      <c r="AD519" s="356">
        <f t="shared" si="149"/>
        <v>39763319.42338523</v>
      </c>
    </row>
    <row r="520" spans="2:30" x14ac:dyDescent="0.25">
      <c r="B520" s="356">
        <f t="shared" si="143"/>
        <v>497</v>
      </c>
      <c r="C520" s="357">
        <f t="shared" si="150"/>
        <v>41</v>
      </c>
      <c r="D520" s="357">
        <f t="shared" si="151"/>
        <v>5</v>
      </c>
      <c r="E520" s="357">
        <f t="shared" si="152"/>
        <v>70</v>
      </c>
      <c r="F520" s="356">
        <f t="shared" si="144"/>
        <v>1218560.0484097295</v>
      </c>
      <c r="H520" s="356">
        <f t="shared" si="140"/>
        <v>9716.968947070953</v>
      </c>
      <c r="I520" s="356">
        <v>0</v>
      </c>
      <c r="J520" s="356">
        <v>0</v>
      </c>
      <c r="K520" s="356">
        <f t="shared" si="145"/>
        <v>-1228.2770173568003</v>
      </c>
      <c r="L520" s="356">
        <f t="shared" si="141"/>
        <v>1227048.7403394436</v>
      </c>
      <c r="N520" s="356">
        <f t="shared" si="146"/>
        <v>497</v>
      </c>
      <c r="O520" s="357">
        <f t="shared" si="153"/>
        <v>41</v>
      </c>
      <c r="P520" s="357">
        <f t="shared" si="154"/>
        <v>5</v>
      </c>
      <c r="Q520" s="357">
        <f t="shared" si="155"/>
        <v>41</v>
      </c>
      <c r="R520" s="356">
        <f t="shared" si="147"/>
        <v>37978144.06163368</v>
      </c>
      <c r="S520" s="356">
        <f>IF($G$4="mensual",S519,0)</f>
        <v>10000</v>
      </c>
      <c r="U520" s="356">
        <f t="shared" si="156"/>
        <v>302922.79538089357</v>
      </c>
      <c r="V520" s="359">
        <f t="shared" si="158"/>
        <v>-380.4712827227244</v>
      </c>
      <c r="X520" s="359">
        <f t="shared" si="157"/>
        <v>-38291.066857014564</v>
      </c>
      <c r="Y520" s="356">
        <f t="shared" si="142"/>
        <v>38252395.31887483</v>
      </c>
      <c r="AA520" s="357">
        <f>+Bono!J520</f>
        <v>570128.3940078532</v>
      </c>
      <c r="AC520" s="378">
        <f t="shared" si="148"/>
        <v>41.416666666666664</v>
      </c>
      <c r="AD520" s="356">
        <f t="shared" si="149"/>
        <v>40049572.453222126</v>
      </c>
    </row>
    <row r="521" spans="2:30" x14ac:dyDescent="0.25">
      <c r="B521" s="356">
        <f t="shared" si="143"/>
        <v>498</v>
      </c>
      <c r="C521" s="357">
        <f t="shared" si="150"/>
        <v>41</v>
      </c>
      <c r="D521" s="357">
        <f t="shared" si="151"/>
        <v>6</v>
      </c>
      <c r="E521" s="357">
        <f t="shared" si="152"/>
        <v>70</v>
      </c>
      <c r="F521" s="356">
        <f t="shared" si="144"/>
        <v>1227048.7403394436</v>
      </c>
      <c r="H521" s="356">
        <f t="shared" si="140"/>
        <v>9784.658968576194</v>
      </c>
      <c r="I521" s="356">
        <v>0</v>
      </c>
      <c r="J521" s="360">
        <f>-SUM(F521:H521)*$J$21</f>
        <v>-11131.50059377218</v>
      </c>
      <c r="K521" s="356">
        <f t="shared" si="145"/>
        <v>-1225.7018987142476</v>
      </c>
      <c r="L521" s="356">
        <f t="shared" si="141"/>
        <v>1224476.1968155333</v>
      </c>
      <c r="N521" s="356">
        <f t="shared" si="146"/>
        <v>498</v>
      </c>
      <c r="O521" s="357">
        <f t="shared" si="153"/>
        <v>41</v>
      </c>
      <c r="P521" s="357">
        <f t="shared" si="154"/>
        <v>6</v>
      </c>
      <c r="Q521" s="357">
        <f t="shared" si="155"/>
        <v>41</v>
      </c>
      <c r="R521" s="356">
        <f t="shared" si="147"/>
        <v>38252395.31887483</v>
      </c>
      <c r="S521" s="356">
        <f>IF($G$4="mensual",S520,0)</f>
        <v>10000</v>
      </c>
      <c r="U521" s="356">
        <f t="shared" si="156"/>
        <v>305109.7134189379</v>
      </c>
      <c r="V521" s="359">
        <f t="shared" si="158"/>
        <v>-380.4712827227244</v>
      </c>
      <c r="X521" s="359">
        <f t="shared" si="157"/>
        <v>-38567.50503229377</v>
      </c>
      <c r="Y521" s="356">
        <f t="shared" si="142"/>
        <v>38528557.05597875</v>
      </c>
      <c r="AA521" s="357">
        <f>+Bono!J521</f>
        <v>568495.1187384258</v>
      </c>
      <c r="AC521" s="378">
        <f t="shared" si="148"/>
        <v>41.5</v>
      </c>
      <c r="AD521" s="356">
        <f t="shared" si="149"/>
        <v>40321528.371532716</v>
      </c>
    </row>
    <row r="522" spans="2:30" x14ac:dyDescent="0.25">
      <c r="B522" s="356">
        <f t="shared" si="143"/>
        <v>499</v>
      </c>
      <c r="C522" s="357">
        <f t="shared" si="150"/>
        <v>41</v>
      </c>
      <c r="D522" s="357">
        <f t="shared" si="151"/>
        <v>7</v>
      </c>
      <c r="E522" s="357">
        <f t="shared" si="152"/>
        <v>70</v>
      </c>
      <c r="F522" s="356">
        <f t="shared" si="144"/>
        <v>1224476.1968155333</v>
      </c>
      <c r="H522" s="356">
        <f t="shared" si="140"/>
        <v>9764.145145257067</v>
      </c>
      <c r="I522" s="356">
        <v>0</v>
      </c>
      <c r="J522" s="356">
        <v>0</v>
      </c>
      <c r="K522" s="356">
        <f t="shared" si="145"/>
        <v>-1234.2403419607904</v>
      </c>
      <c r="L522" s="356">
        <f t="shared" si="141"/>
        <v>1233006.1016188296</v>
      </c>
      <c r="N522" s="356">
        <f t="shared" si="146"/>
        <v>499</v>
      </c>
      <c r="O522" s="357">
        <f t="shared" si="153"/>
        <v>41</v>
      </c>
      <c r="P522" s="357">
        <f t="shared" si="154"/>
        <v>7</v>
      </c>
      <c r="Q522" s="357">
        <f t="shared" si="155"/>
        <v>41</v>
      </c>
      <c r="R522" s="356">
        <f t="shared" si="147"/>
        <v>38528557.05597875</v>
      </c>
      <c r="S522" s="356">
        <f>+IF($G$4="mensual",S516,IF($G$4="trimestral",S516,IF($G$4="semestral",S516,0)))</f>
        <v>10000</v>
      </c>
      <c r="U522" s="356">
        <f t="shared" si="156"/>
        <v>307311.8658916946</v>
      </c>
      <c r="V522" s="359">
        <f t="shared" si="158"/>
        <v>-380.4712827227244</v>
      </c>
      <c r="X522" s="359">
        <f t="shared" si="157"/>
        <v>-38845.868921870446</v>
      </c>
      <c r="Y522" s="356">
        <f t="shared" si="142"/>
        <v>38806642.58166586</v>
      </c>
      <c r="AA522" s="357">
        <f>+Bono!J522</f>
        <v>572019.8544159563</v>
      </c>
      <c r="AC522" s="378">
        <f t="shared" si="148"/>
        <v>41.583333333333336</v>
      </c>
      <c r="AD522" s="356">
        <f t="shared" si="149"/>
        <v>40611668.53770064</v>
      </c>
    </row>
    <row r="523" spans="2:30" x14ac:dyDescent="0.25">
      <c r="B523" s="356">
        <f t="shared" si="143"/>
        <v>500</v>
      </c>
      <c r="C523" s="357">
        <f t="shared" si="150"/>
        <v>41</v>
      </c>
      <c r="D523" s="357">
        <f t="shared" si="151"/>
        <v>8</v>
      </c>
      <c r="E523" s="357">
        <f t="shared" si="152"/>
        <v>70</v>
      </c>
      <c r="F523" s="356">
        <f t="shared" si="144"/>
        <v>1233006.1016188296</v>
      </c>
      <c r="H523" s="356">
        <f t="shared" si="140"/>
        <v>9832.163804003732</v>
      </c>
      <c r="I523" s="356">
        <v>0</v>
      </c>
      <c r="J523" s="356">
        <v>0</v>
      </c>
      <c r="K523" s="356">
        <f t="shared" si="145"/>
        <v>-1242.8382654228335</v>
      </c>
      <c r="L523" s="356">
        <f t="shared" si="141"/>
        <v>1241595.4271574107</v>
      </c>
      <c r="N523" s="356">
        <f t="shared" si="146"/>
        <v>500</v>
      </c>
      <c r="O523" s="357">
        <f t="shared" si="153"/>
        <v>41</v>
      </c>
      <c r="P523" s="357">
        <f t="shared" si="154"/>
        <v>8</v>
      </c>
      <c r="Q523" s="357">
        <f t="shared" si="155"/>
        <v>41</v>
      </c>
      <c r="R523" s="356">
        <f t="shared" si="147"/>
        <v>38806642.58166586</v>
      </c>
      <c r="S523" s="356">
        <f>IF($G$4="mensual",S522,0)</f>
        <v>10000</v>
      </c>
      <c r="U523" s="356">
        <f t="shared" si="156"/>
        <v>309529.3589247691</v>
      </c>
      <c r="V523" s="359">
        <f t="shared" si="158"/>
        <v>-380.4712827227244</v>
      </c>
      <c r="X523" s="359">
        <f t="shared" si="157"/>
        <v>-39126.171940590626</v>
      </c>
      <c r="Y523" s="356">
        <f t="shared" si="142"/>
        <v>39086665.29736732</v>
      </c>
      <c r="AA523" s="357">
        <f>+Bono!J523</f>
        <v>575566.4438635316</v>
      </c>
      <c r="AC523" s="378">
        <f t="shared" si="148"/>
        <v>41.666666666666664</v>
      </c>
      <c r="AD523" s="356">
        <f t="shared" si="149"/>
        <v>40903827.16838826</v>
      </c>
    </row>
    <row r="524" spans="2:30" x14ac:dyDescent="0.25">
      <c r="B524" s="356">
        <f t="shared" si="143"/>
        <v>501</v>
      </c>
      <c r="C524" s="357">
        <f t="shared" si="150"/>
        <v>41</v>
      </c>
      <c r="D524" s="357">
        <f t="shared" si="151"/>
        <v>9</v>
      </c>
      <c r="E524" s="357">
        <f t="shared" si="152"/>
        <v>70</v>
      </c>
      <c r="F524" s="356">
        <f t="shared" si="144"/>
        <v>1241595.4271574107</v>
      </c>
      <c r="H524" s="356">
        <f t="shared" si="140"/>
        <v>9900.656292037947</v>
      </c>
      <c r="I524" s="356">
        <v>0</v>
      </c>
      <c r="J524" s="360">
        <f>-SUM(F524:H524)*$J$21</f>
        <v>-11263.46475104504</v>
      </c>
      <c r="K524" s="356">
        <f t="shared" si="145"/>
        <v>-1240.2326186984037</v>
      </c>
      <c r="L524" s="356">
        <f t="shared" si="141"/>
        <v>1238992.3860797053</v>
      </c>
      <c r="N524" s="356">
        <f t="shared" si="146"/>
        <v>501</v>
      </c>
      <c r="O524" s="357">
        <f t="shared" si="153"/>
        <v>41</v>
      </c>
      <c r="P524" s="357">
        <f t="shared" si="154"/>
        <v>9</v>
      </c>
      <c r="Q524" s="357">
        <f t="shared" si="155"/>
        <v>41</v>
      </c>
      <c r="R524" s="356">
        <f t="shared" si="147"/>
        <v>39086665.29736732</v>
      </c>
      <c r="S524" s="356">
        <f>IF($G$4="mensual",S523,0)</f>
        <v>10000</v>
      </c>
      <c r="U524" s="356">
        <f t="shared" si="156"/>
        <v>311762.29938305554</v>
      </c>
      <c r="V524" s="359">
        <f t="shared" si="158"/>
        <v>-380.4712827227244</v>
      </c>
      <c r="X524" s="359">
        <f t="shared" si="157"/>
        <v>-39408.42759675038</v>
      </c>
      <c r="Y524" s="356">
        <f t="shared" si="142"/>
        <v>39368638.69787091</v>
      </c>
      <c r="AA524" s="357">
        <f>+Bono!J524</f>
        <v>573917.5899412314</v>
      </c>
      <c r="AC524" s="378">
        <f t="shared" si="148"/>
        <v>41.75</v>
      </c>
      <c r="AD524" s="356">
        <f t="shared" si="149"/>
        <v>41181548.67389185</v>
      </c>
    </row>
    <row r="525" spans="2:30" x14ac:dyDescent="0.25">
      <c r="B525" s="356">
        <f t="shared" si="143"/>
        <v>502</v>
      </c>
      <c r="C525" s="357">
        <f t="shared" si="150"/>
        <v>41</v>
      </c>
      <c r="D525" s="357">
        <f t="shared" si="151"/>
        <v>10</v>
      </c>
      <c r="E525" s="357">
        <f t="shared" si="152"/>
        <v>70</v>
      </c>
      <c r="F525" s="356">
        <f t="shared" si="144"/>
        <v>1238992.3860797053</v>
      </c>
      <c r="H525" s="356">
        <f t="shared" si="140"/>
        <v>9879.89927694212</v>
      </c>
      <c r="I525" s="356">
        <v>0</v>
      </c>
      <c r="J525" s="356">
        <v>0</v>
      </c>
      <c r="K525" s="356">
        <f t="shared" si="145"/>
        <v>-1248.8722853566474</v>
      </c>
      <c r="L525" s="356">
        <f t="shared" si="141"/>
        <v>1247623.4130712906</v>
      </c>
      <c r="N525" s="356">
        <f t="shared" si="146"/>
        <v>502</v>
      </c>
      <c r="O525" s="357">
        <f t="shared" si="153"/>
        <v>41</v>
      </c>
      <c r="P525" s="357">
        <f t="shared" si="154"/>
        <v>10</v>
      </c>
      <c r="Q525" s="357">
        <f t="shared" si="155"/>
        <v>41</v>
      </c>
      <c r="R525" s="356">
        <f t="shared" si="147"/>
        <v>39368638.69787091</v>
      </c>
      <c r="S525" s="356">
        <f>IF($G$4="mensual",S516,IF($G$4="trimestral",S516,0))</f>
        <v>10000</v>
      </c>
      <c r="U525" s="356">
        <f t="shared" si="156"/>
        <v>314010.7948758867</v>
      </c>
      <c r="V525" s="359">
        <f t="shared" si="158"/>
        <v>-380.4712827227244</v>
      </c>
      <c r="X525" s="359">
        <f t="shared" si="157"/>
        <v>-39692.6494927468</v>
      </c>
      <c r="Y525" s="356">
        <f t="shared" si="142"/>
        <v>39652576.37197133</v>
      </c>
      <c r="AA525" s="357">
        <f>+Bono!J525</f>
        <v>577475.945569187</v>
      </c>
      <c r="AC525" s="378">
        <f t="shared" si="148"/>
        <v>41.833333333333336</v>
      </c>
      <c r="AD525" s="356">
        <f t="shared" si="149"/>
        <v>41477675.73061181</v>
      </c>
    </row>
    <row r="526" spans="2:30" x14ac:dyDescent="0.25">
      <c r="B526" s="356">
        <f t="shared" si="143"/>
        <v>503</v>
      </c>
      <c r="C526" s="357">
        <f t="shared" si="150"/>
        <v>41</v>
      </c>
      <c r="D526" s="357">
        <f t="shared" si="151"/>
        <v>11</v>
      </c>
      <c r="E526" s="357">
        <f t="shared" si="152"/>
        <v>70</v>
      </c>
      <c r="F526" s="356">
        <f t="shared" si="144"/>
        <v>1247623.4130712906</v>
      </c>
      <c r="H526" s="356">
        <f t="shared" si="140"/>
        <v>9948.72429821868</v>
      </c>
      <c r="I526" s="356">
        <v>0</v>
      </c>
      <c r="J526" s="356">
        <v>0</v>
      </c>
      <c r="K526" s="356">
        <f t="shared" si="145"/>
        <v>-1257.5721373695094</v>
      </c>
      <c r="L526" s="356">
        <f t="shared" si="141"/>
        <v>1256314.5652321398</v>
      </c>
      <c r="N526" s="356">
        <f t="shared" si="146"/>
        <v>503</v>
      </c>
      <c r="O526" s="357">
        <f t="shared" si="153"/>
        <v>41</v>
      </c>
      <c r="P526" s="357">
        <f t="shared" si="154"/>
        <v>11</v>
      </c>
      <c r="Q526" s="357">
        <f t="shared" si="155"/>
        <v>41</v>
      </c>
      <c r="R526" s="356">
        <f t="shared" si="147"/>
        <v>39652576.37197133</v>
      </c>
      <c r="S526" s="356">
        <f>IF($G$17="si",S514*(1+$G$20),S514)</f>
        <v>10000</v>
      </c>
      <c r="U526" s="356">
        <f t="shared" si="156"/>
        <v>316274.95376221975</v>
      </c>
      <c r="V526" s="359">
        <f t="shared" si="158"/>
        <v>-380.4712827227244</v>
      </c>
      <c r="X526" s="359">
        <f t="shared" si="157"/>
        <v>-39978.85132573355</v>
      </c>
      <c r="Y526" s="356">
        <f t="shared" si="142"/>
        <v>39938492.003125094</v>
      </c>
      <c r="AA526" s="357">
        <f>+Bono!J526</f>
        <v>581056.3634147798</v>
      </c>
      <c r="AC526" s="378">
        <f t="shared" si="148"/>
        <v>41.916666666666664</v>
      </c>
      <c r="AD526" s="356">
        <f t="shared" si="149"/>
        <v>41775862.931772016</v>
      </c>
    </row>
    <row r="527" spans="2:30" x14ac:dyDescent="0.25">
      <c r="B527" s="356">
        <f t="shared" si="143"/>
        <v>504</v>
      </c>
      <c r="C527" s="357">
        <f t="shared" si="150"/>
        <v>41</v>
      </c>
      <c r="D527" s="357">
        <f t="shared" si="151"/>
        <v>12</v>
      </c>
      <c r="E527" s="357">
        <f t="shared" si="152"/>
        <v>70</v>
      </c>
      <c r="F527" s="356">
        <f t="shared" si="144"/>
        <v>1256314.5652321398</v>
      </c>
      <c r="H527" s="356">
        <f t="shared" si="140"/>
        <v>10018.028766038262</v>
      </c>
      <c r="I527" s="356">
        <v>0</v>
      </c>
      <c r="J527" s="360">
        <f>-SUM(F527:H527)*$J$21</f>
        <v>-11396.993345983605</v>
      </c>
      <c r="K527" s="356">
        <f t="shared" si="145"/>
        <v>-1254.9356006521946</v>
      </c>
      <c r="L527" s="356">
        <f t="shared" si="141"/>
        <v>1253680.6650515425</v>
      </c>
      <c r="N527" s="356">
        <f t="shared" si="146"/>
        <v>504</v>
      </c>
      <c r="O527" s="357">
        <f t="shared" si="153"/>
        <v>41</v>
      </c>
      <c r="P527" s="357">
        <f t="shared" si="154"/>
        <v>12</v>
      </c>
      <c r="Q527" s="357">
        <f t="shared" si="155"/>
        <v>41</v>
      </c>
      <c r="R527" s="356">
        <f t="shared" si="147"/>
        <v>39938492.003125094</v>
      </c>
      <c r="S527" s="356">
        <f>IF($G$4="mensual",S526,0)</f>
        <v>10000</v>
      </c>
      <c r="U527" s="356">
        <f t="shared" si="156"/>
        <v>318554.88515585853</v>
      </c>
      <c r="V527" s="359">
        <f t="shared" si="158"/>
        <v>-380.4712827227244</v>
      </c>
      <c r="X527" s="359">
        <f t="shared" si="157"/>
        <v>-40267.04688828095</v>
      </c>
      <c r="Y527" s="356">
        <f t="shared" si="142"/>
        <v>40226399.370109946</v>
      </c>
      <c r="AA527" s="357">
        <f>+Bono!J527</f>
        <v>579391.7822459006</v>
      </c>
      <c r="AC527" s="378">
        <f t="shared" si="148"/>
        <v>42</v>
      </c>
      <c r="AD527" s="356">
        <f t="shared" si="149"/>
        <v>42059471.81740739</v>
      </c>
    </row>
    <row r="528" spans="2:30" x14ac:dyDescent="0.25">
      <c r="B528" s="356">
        <f t="shared" si="143"/>
        <v>505</v>
      </c>
      <c r="C528" s="357">
        <f t="shared" si="150"/>
        <v>42</v>
      </c>
      <c r="D528" s="357">
        <f t="shared" si="151"/>
        <v>1</v>
      </c>
      <c r="E528" s="357">
        <f t="shared" si="152"/>
        <v>71</v>
      </c>
      <c r="F528" s="356">
        <f t="shared" si="144"/>
        <v>1253680.6650515425</v>
      </c>
      <c r="H528" s="356">
        <f t="shared" si="140"/>
        <v>9997.025676122463</v>
      </c>
      <c r="I528" s="356">
        <v>0</v>
      </c>
      <c r="J528" s="356">
        <v>0</v>
      </c>
      <c r="K528" s="356">
        <f t="shared" si="145"/>
        <v>-1263.6776907276649</v>
      </c>
      <c r="L528" s="356">
        <f t="shared" si="141"/>
        <v>1262414.0130369372</v>
      </c>
      <c r="N528" s="356">
        <f t="shared" si="146"/>
        <v>505</v>
      </c>
      <c r="O528" s="357">
        <f t="shared" si="153"/>
        <v>42</v>
      </c>
      <c r="P528" s="357">
        <f t="shared" si="154"/>
        <v>1</v>
      </c>
      <c r="Q528" s="357">
        <f t="shared" si="155"/>
        <v>42</v>
      </c>
      <c r="R528" s="356">
        <f t="shared" si="147"/>
        <v>40226399.370109946</v>
      </c>
      <c r="S528" s="356">
        <f>IF($G$17="si",S516*(1+$G$20),S516)</f>
        <v>10000</v>
      </c>
      <c r="U528" s="356">
        <f t="shared" si="156"/>
        <v>320850.69893071166</v>
      </c>
      <c r="V528" s="359">
        <f>(V527*(1+$G$18))</f>
        <v>-395.6901340316334</v>
      </c>
      <c r="X528" s="359">
        <f t="shared" si="157"/>
        <v>-40557.25006904066</v>
      </c>
      <c r="Y528" s="356">
        <f t="shared" si="142"/>
        <v>40516297.128837585</v>
      </c>
      <c r="AA528" s="357">
        <f>+Bono!J528</f>
        <v>582984.0785011123</v>
      </c>
      <c r="AC528" s="378">
        <f t="shared" si="148"/>
        <v>42.083333333333336</v>
      </c>
      <c r="AD528" s="356">
        <f t="shared" si="149"/>
        <v>42361695.220375635</v>
      </c>
    </row>
    <row r="529" spans="2:30" x14ac:dyDescent="0.25">
      <c r="B529" s="356">
        <f t="shared" si="143"/>
        <v>506</v>
      </c>
      <c r="C529" s="357">
        <f t="shared" si="150"/>
        <v>42</v>
      </c>
      <c r="D529" s="357">
        <f t="shared" si="151"/>
        <v>2</v>
      </c>
      <c r="E529" s="357">
        <f t="shared" si="152"/>
        <v>71</v>
      </c>
      <c r="F529" s="356">
        <f t="shared" si="144"/>
        <v>1262414.0130369372</v>
      </c>
      <c r="H529" s="356">
        <f t="shared" si="140"/>
        <v>10066.666619372485</v>
      </c>
      <c r="I529" s="356">
        <v>0</v>
      </c>
      <c r="J529" s="356">
        <v>0</v>
      </c>
      <c r="K529" s="356">
        <f t="shared" si="145"/>
        <v>-1272.4806796563098</v>
      </c>
      <c r="L529" s="356">
        <f t="shared" si="141"/>
        <v>1271208.1989766534</v>
      </c>
      <c r="N529" s="356">
        <f t="shared" si="146"/>
        <v>506</v>
      </c>
      <c r="O529" s="357">
        <f t="shared" si="153"/>
        <v>42</v>
      </c>
      <c r="P529" s="357">
        <f t="shared" si="154"/>
        <v>2</v>
      </c>
      <c r="Q529" s="357">
        <f t="shared" si="155"/>
        <v>42</v>
      </c>
      <c r="R529" s="356">
        <f t="shared" si="147"/>
        <v>40516297.128837585</v>
      </c>
      <c r="S529" s="356">
        <f>IF($G$4="mensual",S528,0)</f>
        <v>10000</v>
      </c>
      <c r="U529" s="356">
        <f t="shared" si="156"/>
        <v>323162.38436883036</v>
      </c>
      <c r="V529" s="359">
        <f t="shared" si="158"/>
        <v>-395.6901340316334</v>
      </c>
      <c r="X529" s="359">
        <f t="shared" si="157"/>
        <v>-40849.45951320641</v>
      </c>
      <c r="Y529" s="356">
        <f t="shared" si="142"/>
        <v>40808214.36355917</v>
      </c>
      <c r="AA529" s="357">
        <f>+Bono!J529</f>
        <v>586598.6474097868</v>
      </c>
      <c r="AC529" s="378">
        <f t="shared" si="148"/>
        <v>42.166666666666664</v>
      </c>
      <c r="AD529" s="356">
        <f t="shared" si="149"/>
        <v>42666021.20994561</v>
      </c>
    </row>
    <row r="530" spans="2:30" x14ac:dyDescent="0.25">
      <c r="B530" s="356">
        <f t="shared" si="143"/>
        <v>507</v>
      </c>
      <c r="C530" s="357">
        <f t="shared" si="150"/>
        <v>42</v>
      </c>
      <c r="D530" s="357">
        <f t="shared" si="151"/>
        <v>3</v>
      </c>
      <c r="E530" s="357">
        <f t="shared" si="152"/>
        <v>71</v>
      </c>
      <c r="F530" s="356">
        <f t="shared" si="144"/>
        <v>1271208.1989766534</v>
      </c>
      <c r="H530" s="356">
        <f t="shared" si="140"/>
        <v>10136.792693013673</v>
      </c>
      <c r="I530" s="356">
        <v>0</v>
      </c>
      <c r="J530" s="360">
        <f>-SUM(F530:H530)*$J$21</f>
        <v>-11532.104925027004</v>
      </c>
      <c r="K530" s="356">
        <f t="shared" si="145"/>
        <v>-1269.8128867446399</v>
      </c>
      <c r="L530" s="356">
        <f t="shared" si="141"/>
        <v>1268543.073857895</v>
      </c>
      <c r="N530" s="356">
        <f t="shared" si="146"/>
        <v>507</v>
      </c>
      <c r="O530" s="357">
        <f t="shared" si="153"/>
        <v>42</v>
      </c>
      <c r="P530" s="357">
        <f t="shared" si="154"/>
        <v>3</v>
      </c>
      <c r="Q530" s="357">
        <f t="shared" si="155"/>
        <v>42</v>
      </c>
      <c r="R530" s="356">
        <f t="shared" si="147"/>
        <v>40808214.36355917</v>
      </c>
      <c r="S530" s="356">
        <f>IF($G$4="mensual",S529,0)</f>
        <v>10000</v>
      </c>
      <c r="U530" s="356">
        <f t="shared" si="156"/>
        <v>325490.17339211755</v>
      </c>
      <c r="V530" s="359">
        <f t="shared" si="158"/>
        <v>-395.6901340316334</v>
      </c>
      <c r="X530" s="359">
        <f t="shared" si="157"/>
        <v>-41143.70453695129</v>
      </c>
      <c r="Y530" s="356">
        <f t="shared" si="142"/>
        <v>41102165.1422803</v>
      </c>
      <c r="AA530" s="357">
        <f>+Bono!J530</f>
        <v>584918.1889832929</v>
      </c>
      <c r="AC530" s="378">
        <f t="shared" si="148"/>
        <v>42.25</v>
      </c>
      <c r="AD530" s="356">
        <f t="shared" si="149"/>
        <v>42955626.40512149</v>
      </c>
    </row>
    <row r="531" spans="2:30" x14ac:dyDescent="0.25">
      <c r="B531" s="356">
        <f t="shared" si="143"/>
        <v>508</v>
      </c>
      <c r="C531" s="357">
        <f t="shared" si="150"/>
        <v>42</v>
      </c>
      <c r="D531" s="357">
        <f t="shared" si="151"/>
        <v>4</v>
      </c>
      <c r="E531" s="357">
        <f t="shared" si="152"/>
        <v>71</v>
      </c>
      <c r="F531" s="356">
        <f t="shared" si="144"/>
        <v>1268543.073857895</v>
      </c>
      <c r="H531" s="356">
        <f t="shared" si="140"/>
        <v>10115.540611056094</v>
      </c>
      <c r="I531" s="356">
        <v>0</v>
      </c>
      <c r="J531" s="356">
        <v>0</v>
      </c>
      <c r="K531" s="356">
        <f t="shared" si="145"/>
        <v>-1278.6586144689513</v>
      </c>
      <c r="L531" s="356">
        <f t="shared" si="141"/>
        <v>1277379.9558544823</v>
      </c>
      <c r="N531" s="356">
        <f t="shared" si="146"/>
        <v>508</v>
      </c>
      <c r="O531" s="357">
        <f t="shared" si="153"/>
        <v>42</v>
      </c>
      <c r="P531" s="357">
        <f t="shared" si="154"/>
        <v>4</v>
      </c>
      <c r="Q531" s="357">
        <f t="shared" si="155"/>
        <v>42</v>
      </c>
      <c r="R531" s="356">
        <f t="shared" si="147"/>
        <v>41102165.1422803</v>
      </c>
      <c r="S531" s="356">
        <f>IF($G$4="mensual",S528,IF($G$4="trimestral",S528,0))</f>
        <v>10000</v>
      </c>
      <c r="U531" s="356">
        <f t="shared" si="156"/>
        <v>327834.17818082543</v>
      </c>
      <c r="V531" s="359">
        <f t="shared" si="158"/>
        <v>-395.6901340316334</v>
      </c>
      <c r="X531" s="359">
        <f t="shared" si="157"/>
        <v>-41439.99932046113</v>
      </c>
      <c r="Y531" s="356">
        <f t="shared" si="142"/>
        <v>41398163.631006636</v>
      </c>
      <c r="AA531" s="357">
        <f>+Bono!J531</f>
        <v>588544.7496012999</v>
      </c>
      <c r="AC531" s="378">
        <f t="shared" si="148"/>
        <v>42.333333333333336</v>
      </c>
      <c r="AD531" s="356">
        <f t="shared" si="149"/>
        <v>43264088.336462416</v>
      </c>
    </row>
    <row r="532" spans="2:30" x14ac:dyDescent="0.25">
      <c r="B532" s="356">
        <f t="shared" si="143"/>
        <v>509</v>
      </c>
      <c r="C532" s="357">
        <f t="shared" si="150"/>
        <v>42</v>
      </c>
      <c r="D532" s="357">
        <f t="shared" si="151"/>
        <v>5</v>
      </c>
      <c r="E532" s="357">
        <f t="shared" si="152"/>
        <v>71</v>
      </c>
      <c r="F532" s="356">
        <f t="shared" si="144"/>
        <v>1277379.9558544823</v>
      </c>
      <c r="H532" s="356">
        <f t="shared" si="140"/>
        <v>10186.007149050532</v>
      </c>
      <c r="I532" s="356">
        <v>0</v>
      </c>
      <c r="J532" s="356">
        <v>0</v>
      </c>
      <c r="K532" s="356">
        <f t="shared" si="145"/>
        <v>-1287.5659630035327</v>
      </c>
      <c r="L532" s="356">
        <f t="shared" si="141"/>
        <v>1286278.3970405292</v>
      </c>
      <c r="N532" s="356">
        <f t="shared" si="146"/>
        <v>509</v>
      </c>
      <c r="O532" s="357">
        <f t="shared" si="153"/>
        <v>42</v>
      </c>
      <c r="P532" s="357">
        <f t="shared" si="154"/>
        <v>5</v>
      </c>
      <c r="Q532" s="357">
        <f t="shared" si="155"/>
        <v>42</v>
      </c>
      <c r="R532" s="356">
        <f t="shared" si="147"/>
        <v>41398163.631006636</v>
      </c>
      <c r="S532" s="356">
        <f>IF($G$4="mensual",S531,0)</f>
        <v>10000</v>
      </c>
      <c r="U532" s="356">
        <f t="shared" si="156"/>
        <v>330194.51169667253</v>
      </c>
      <c r="V532" s="359">
        <f t="shared" si="158"/>
        <v>-395.6901340316334</v>
      </c>
      <c r="X532" s="359">
        <f t="shared" si="157"/>
        <v>-41738.35814270331</v>
      </c>
      <c r="Y532" s="356">
        <f t="shared" si="142"/>
        <v>41696224.09442657</v>
      </c>
      <c r="AA532" s="357">
        <f>+Bono!J532</f>
        <v>592193.7953157935</v>
      </c>
      <c r="AC532" s="378">
        <f t="shared" si="148"/>
        <v>42.416666666666664</v>
      </c>
      <c r="AD532" s="356">
        <f t="shared" si="149"/>
        <v>43574696.2867829</v>
      </c>
    </row>
    <row r="533" spans="2:30" x14ac:dyDescent="0.25">
      <c r="B533" s="356">
        <f t="shared" si="143"/>
        <v>510</v>
      </c>
      <c r="C533" s="357">
        <f t="shared" si="150"/>
        <v>42</v>
      </c>
      <c r="D533" s="357">
        <f t="shared" si="151"/>
        <v>6</v>
      </c>
      <c r="E533" s="357">
        <f t="shared" si="152"/>
        <v>71</v>
      </c>
      <c r="F533" s="356">
        <f t="shared" si="144"/>
        <v>1286278.3970405292</v>
      </c>
      <c r="H533" s="356">
        <f t="shared" si="140"/>
        <v>10256.964568666412</v>
      </c>
      <c r="I533" s="356">
        <v>0</v>
      </c>
      <c r="J533" s="360">
        <f>-SUM(F533:H533)*$J$21</f>
        <v>-11668.818254482761</v>
      </c>
      <c r="K533" s="356">
        <f t="shared" si="145"/>
        <v>-1284.866543354713</v>
      </c>
      <c r="L533" s="356">
        <f t="shared" si="141"/>
        <v>1283581.6768113582</v>
      </c>
      <c r="N533" s="356">
        <f t="shared" si="146"/>
        <v>510</v>
      </c>
      <c r="O533" s="357">
        <f t="shared" si="153"/>
        <v>42</v>
      </c>
      <c r="P533" s="357">
        <f t="shared" si="154"/>
        <v>6</v>
      </c>
      <c r="Q533" s="357">
        <f t="shared" si="155"/>
        <v>42</v>
      </c>
      <c r="R533" s="356">
        <f t="shared" si="147"/>
        <v>41696224.09442657</v>
      </c>
      <c r="S533" s="356">
        <f>IF($G$4="mensual",S532,0)</f>
        <v>10000</v>
      </c>
      <c r="U533" s="356">
        <f t="shared" si="156"/>
        <v>332571.2876882872</v>
      </c>
      <c r="V533" s="359">
        <f t="shared" si="158"/>
        <v>-395.6901340316334</v>
      </c>
      <c r="X533" s="359">
        <f t="shared" si="157"/>
        <v>-42038.795382114855</v>
      </c>
      <c r="Y533" s="356">
        <f t="shared" si="142"/>
        <v>41996360.89659871</v>
      </c>
      <c r="AA533" s="357">
        <f>+Bono!J533</f>
        <v>590497.3081898001</v>
      </c>
      <c r="AC533" s="378">
        <f t="shared" si="148"/>
        <v>42.5</v>
      </c>
      <c r="AD533" s="356">
        <f t="shared" si="149"/>
        <v>43870439.88159987</v>
      </c>
    </row>
    <row r="534" spans="2:30" x14ac:dyDescent="0.25">
      <c r="B534" s="356">
        <f t="shared" si="143"/>
        <v>511</v>
      </c>
      <c r="C534" s="357">
        <f t="shared" si="150"/>
        <v>42</v>
      </c>
      <c r="D534" s="357">
        <f t="shared" si="151"/>
        <v>7</v>
      </c>
      <c r="E534" s="357">
        <f t="shared" si="152"/>
        <v>71</v>
      </c>
      <c r="F534" s="356">
        <f t="shared" si="144"/>
        <v>1283581.6768113582</v>
      </c>
      <c r="H534" s="356">
        <f t="shared" si="140"/>
        <v>10235.460542861536</v>
      </c>
      <c r="I534" s="356">
        <v>0</v>
      </c>
      <c r="J534" s="356">
        <v>0</v>
      </c>
      <c r="K534" s="356">
        <f t="shared" si="145"/>
        <v>-1293.8171373542198</v>
      </c>
      <c r="L534" s="356">
        <f t="shared" si="141"/>
        <v>1292523.3202168655</v>
      </c>
      <c r="N534" s="356">
        <f t="shared" si="146"/>
        <v>511</v>
      </c>
      <c r="O534" s="357">
        <f t="shared" si="153"/>
        <v>42</v>
      </c>
      <c r="P534" s="357">
        <f t="shared" si="154"/>
        <v>7</v>
      </c>
      <c r="Q534" s="357">
        <f t="shared" si="155"/>
        <v>42</v>
      </c>
      <c r="R534" s="356">
        <f t="shared" si="147"/>
        <v>41996360.89659871</v>
      </c>
      <c r="S534" s="356">
        <f>+IF($G$4="mensual",S528,IF($G$4="trimestral",S528,IF($G$4="semestral",S528,0)))</f>
        <v>10000</v>
      </c>
      <c r="U534" s="356">
        <f t="shared" si="156"/>
        <v>334964.62069669</v>
      </c>
      <c r="V534" s="359">
        <f t="shared" si="158"/>
        <v>-395.6901340316334</v>
      </c>
      <c r="X534" s="359">
        <f t="shared" si="157"/>
        <v>-42341.32551729541</v>
      </c>
      <c r="Y534" s="356">
        <f t="shared" si="142"/>
        <v>42298588.501644075</v>
      </c>
      <c r="AA534" s="357">
        <f>+Bono!J534</f>
        <v>594158.4599940252</v>
      </c>
      <c r="AC534" s="378">
        <f t="shared" si="148"/>
        <v>42.583333333333336</v>
      </c>
      <c r="AD534" s="356">
        <f t="shared" si="149"/>
        <v>44185270.281854965</v>
      </c>
    </row>
    <row r="535" spans="2:30" x14ac:dyDescent="0.25">
      <c r="B535" s="356">
        <f t="shared" si="143"/>
        <v>512</v>
      </c>
      <c r="C535" s="357">
        <f t="shared" si="150"/>
        <v>42</v>
      </c>
      <c r="D535" s="357">
        <f t="shared" si="151"/>
        <v>8</v>
      </c>
      <c r="E535" s="357">
        <f t="shared" si="152"/>
        <v>71</v>
      </c>
      <c r="F535" s="356">
        <f t="shared" si="144"/>
        <v>1292523.3202168655</v>
      </c>
      <c r="H535" s="356">
        <f t="shared" si="140"/>
        <v>10306.762463042234</v>
      </c>
      <c r="I535" s="356">
        <v>0</v>
      </c>
      <c r="J535" s="356">
        <v>0</v>
      </c>
      <c r="K535" s="356">
        <f t="shared" si="145"/>
        <v>-1302.8300826799077</v>
      </c>
      <c r="L535" s="356">
        <f t="shared" si="141"/>
        <v>1301527.252597228</v>
      </c>
      <c r="N535" s="356">
        <f t="shared" si="146"/>
        <v>512</v>
      </c>
      <c r="O535" s="357">
        <f t="shared" si="153"/>
        <v>42</v>
      </c>
      <c r="P535" s="357">
        <f t="shared" si="154"/>
        <v>8</v>
      </c>
      <c r="Q535" s="357">
        <f t="shared" si="155"/>
        <v>42</v>
      </c>
      <c r="R535" s="356">
        <f t="shared" si="147"/>
        <v>42298588.501644075</v>
      </c>
      <c r="S535" s="356">
        <f>IF($G$4="mensual",S534,0)</f>
        <v>10000</v>
      </c>
      <c r="U535" s="356">
        <f t="shared" si="156"/>
        <v>337374.62606081297</v>
      </c>
      <c r="V535" s="359">
        <f t="shared" si="158"/>
        <v>-395.6901340316334</v>
      </c>
      <c r="X535" s="359">
        <f t="shared" si="157"/>
        <v>-42645.96312770489</v>
      </c>
      <c r="Y535" s="356">
        <f t="shared" si="142"/>
        <v>42602921.47444315</v>
      </c>
      <c r="AA535" s="357">
        <f>+Bono!J535</f>
        <v>597842.3113641037</v>
      </c>
      <c r="AC535" s="378">
        <f t="shared" si="148"/>
        <v>42.666666666666664</v>
      </c>
      <c r="AD535" s="356">
        <f t="shared" si="149"/>
        <v>44502291.03840449</v>
      </c>
    </row>
    <row r="536" spans="2:30" x14ac:dyDescent="0.25">
      <c r="B536" s="356">
        <f t="shared" si="143"/>
        <v>513</v>
      </c>
      <c r="C536" s="357">
        <f t="shared" si="150"/>
        <v>42</v>
      </c>
      <c r="D536" s="357">
        <f t="shared" si="151"/>
        <v>9</v>
      </c>
      <c r="E536" s="357">
        <f t="shared" si="152"/>
        <v>71</v>
      </c>
      <c r="F536" s="356">
        <f t="shared" si="144"/>
        <v>1301527.252597228</v>
      </c>
      <c r="H536" s="356">
        <f t="shared" ref="H536:H599" si="159">SUM(F536:G536)*$G$8</f>
        <v>10378.561084255598</v>
      </c>
      <c r="I536" s="356">
        <v>0</v>
      </c>
      <c r="J536" s="360">
        <f>-SUM(F536:H536)*$J$21</f>
        <v>-11807.152323133352</v>
      </c>
      <c r="K536" s="356">
        <f t="shared" si="145"/>
        <v>-1300.0986613583502</v>
      </c>
      <c r="L536" s="356">
        <f t="shared" ref="L536:L599" si="160">SUM(F536:K536)</f>
        <v>1298798.562696992</v>
      </c>
      <c r="N536" s="356">
        <f t="shared" si="146"/>
        <v>513</v>
      </c>
      <c r="O536" s="357">
        <f t="shared" si="153"/>
        <v>42</v>
      </c>
      <c r="P536" s="357">
        <f t="shared" si="154"/>
        <v>9</v>
      </c>
      <c r="Q536" s="357">
        <f t="shared" si="155"/>
        <v>42</v>
      </c>
      <c r="R536" s="356">
        <f t="shared" si="147"/>
        <v>42602921.47444315</v>
      </c>
      <c r="S536" s="356">
        <f>IF($G$4="mensual",S535,0)</f>
        <v>10000</v>
      </c>
      <c r="U536" s="356">
        <f t="shared" si="156"/>
        <v>339801.41992305854</v>
      </c>
      <c r="V536" s="359">
        <f t="shared" si="158"/>
        <v>-395.6901340316334</v>
      </c>
      <c r="X536" s="359">
        <f t="shared" si="157"/>
        <v>-42952.72289436621</v>
      </c>
      <c r="Y536" s="356">
        <f t="shared" ref="Y536:Y599" si="161">SUM(R536:X536)</f>
        <v>42909374.481337816</v>
      </c>
      <c r="AA536" s="357">
        <f>+Bono!J536</f>
        <v>596129.6426522296</v>
      </c>
      <c r="AC536" s="378">
        <f t="shared" si="148"/>
        <v>42.75</v>
      </c>
      <c r="AD536" s="356">
        <f t="shared" si="149"/>
        <v>44804302.68668704</v>
      </c>
    </row>
    <row r="537" spans="2:30" x14ac:dyDescent="0.25">
      <c r="B537" s="356">
        <f t="shared" ref="B537:B600" si="162">+B536+1</f>
        <v>514</v>
      </c>
      <c r="C537" s="357">
        <f t="shared" si="150"/>
        <v>42</v>
      </c>
      <c r="D537" s="357">
        <f t="shared" si="151"/>
        <v>10</v>
      </c>
      <c r="E537" s="357">
        <f t="shared" si="152"/>
        <v>71</v>
      </c>
      <c r="F537" s="356">
        <f t="shared" ref="F537:F600" si="163">L536</f>
        <v>1298798.562696992</v>
      </c>
      <c r="H537" s="356">
        <f t="shared" si="159"/>
        <v>10356.802127804183</v>
      </c>
      <c r="I537" s="356">
        <v>0</v>
      </c>
      <c r="J537" s="356">
        <v>0</v>
      </c>
      <c r="K537" s="356">
        <f t="shared" ref="K537:K600" si="164">-SUM(F537:J537)*0.1%</f>
        <v>-1309.1553648247962</v>
      </c>
      <c r="L537" s="356">
        <f t="shared" si="160"/>
        <v>1307846.2094599714</v>
      </c>
      <c r="N537" s="356">
        <f t="shared" ref="N537:N600" si="165">+N536+1</f>
        <v>514</v>
      </c>
      <c r="O537" s="357">
        <f t="shared" si="153"/>
        <v>42</v>
      </c>
      <c r="P537" s="357">
        <f t="shared" si="154"/>
        <v>10</v>
      </c>
      <c r="Q537" s="357">
        <f t="shared" si="155"/>
        <v>42</v>
      </c>
      <c r="R537" s="356">
        <f t="shared" ref="R537:R600" si="166">Y536</f>
        <v>42909374.481337816</v>
      </c>
      <c r="S537" s="356">
        <f>IF($G$4="mensual",S528,IF($G$4="trimestral",S528,0))</f>
        <v>10000</v>
      </c>
      <c r="U537" s="356">
        <f t="shared" si="156"/>
        <v>342245.1192348964</v>
      </c>
      <c r="V537" s="359">
        <f t="shared" si="158"/>
        <v>-395.6901340316334</v>
      </c>
      <c r="X537" s="359">
        <f t="shared" si="157"/>
        <v>-43261.61960057271</v>
      </c>
      <c r="Y537" s="356">
        <f t="shared" si="161"/>
        <v>43217962.29083811</v>
      </c>
      <c r="AA537" s="357">
        <f>+Bono!J537</f>
        <v>599825.7155834321</v>
      </c>
      <c r="AC537" s="378">
        <f t="shared" ref="AC537:AC600" si="167">+B537/12</f>
        <v>42.833333333333336</v>
      </c>
      <c r="AD537" s="356">
        <f t="shared" ref="AD537:AD600" si="168">+AA537+Y537+L537</f>
        <v>45125634.215881504</v>
      </c>
    </row>
    <row r="538" spans="2:30" x14ac:dyDescent="0.25">
      <c r="B538" s="356">
        <f t="shared" si="162"/>
        <v>515</v>
      </c>
      <c r="C538" s="357">
        <f t="shared" si="150"/>
        <v>42</v>
      </c>
      <c r="D538" s="357">
        <f t="shared" si="151"/>
        <v>11</v>
      </c>
      <c r="E538" s="357">
        <f t="shared" si="152"/>
        <v>71</v>
      </c>
      <c r="F538" s="356">
        <f t="shared" si="163"/>
        <v>1307846.2094599714</v>
      </c>
      <c r="H538" s="356">
        <f t="shared" si="159"/>
        <v>10428.949333643299</v>
      </c>
      <c r="I538" s="356">
        <v>0</v>
      </c>
      <c r="J538" s="356">
        <v>0</v>
      </c>
      <c r="K538" s="356">
        <f t="shared" si="164"/>
        <v>-1318.2751587936148</v>
      </c>
      <c r="L538" s="356">
        <f t="shared" si="160"/>
        <v>1316956.883634821</v>
      </c>
      <c r="N538" s="356">
        <f t="shared" si="165"/>
        <v>515</v>
      </c>
      <c r="O538" s="357">
        <f t="shared" si="153"/>
        <v>42</v>
      </c>
      <c r="P538" s="357">
        <f t="shared" si="154"/>
        <v>11</v>
      </c>
      <c r="Q538" s="357">
        <f t="shared" si="155"/>
        <v>42</v>
      </c>
      <c r="R538" s="356">
        <f t="shared" si="166"/>
        <v>43217962.29083811</v>
      </c>
      <c r="S538" s="356">
        <f>IF($G$17="si",S526*(1+$G$20),S526)</f>
        <v>10000</v>
      </c>
      <c r="U538" s="356">
        <f t="shared" si="156"/>
        <v>344705.84176249953</v>
      </c>
      <c r="V538" s="359">
        <f t="shared" si="158"/>
        <v>-395.6901340316334</v>
      </c>
      <c r="X538" s="359">
        <f t="shared" si="157"/>
        <v>-43572.66813260061</v>
      </c>
      <c r="Y538" s="356">
        <f t="shared" si="161"/>
        <v>43528699.77433397</v>
      </c>
      <c r="AA538" s="357">
        <f>+Bono!J538</f>
        <v>603544.7045955261</v>
      </c>
      <c r="AC538" s="378">
        <f t="shared" si="167"/>
        <v>42.916666666666664</v>
      </c>
      <c r="AD538" s="356">
        <f t="shared" si="168"/>
        <v>45449201.36256432</v>
      </c>
    </row>
    <row r="539" spans="2:30" x14ac:dyDescent="0.25">
      <c r="B539" s="356">
        <f t="shared" si="162"/>
        <v>516</v>
      </c>
      <c r="C539" s="357">
        <f t="shared" si="150"/>
        <v>42</v>
      </c>
      <c r="D539" s="357">
        <f t="shared" si="151"/>
        <v>12</v>
      </c>
      <c r="E539" s="357">
        <f t="shared" si="152"/>
        <v>71</v>
      </c>
      <c r="F539" s="356">
        <f t="shared" si="163"/>
        <v>1316956.883634821</v>
      </c>
      <c r="H539" s="356">
        <f t="shared" si="159"/>
        <v>10501.599128915537</v>
      </c>
      <c r="I539" s="356">
        <v>0</v>
      </c>
      <c r="J539" s="360">
        <f>-SUM(F539:H539)*$J$21</f>
        <v>-11947.12634487363</v>
      </c>
      <c r="K539" s="356">
        <f t="shared" si="164"/>
        <v>-1315.511356418863</v>
      </c>
      <c r="L539" s="356">
        <f t="shared" si="160"/>
        <v>1314195.845062444</v>
      </c>
      <c r="N539" s="356">
        <f t="shared" si="165"/>
        <v>516</v>
      </c>
      <c r="O539" s="357">
        <f t="shared" si="153"/>
        <v>42</v>
      </c>
      <c r="P539" s="357">
        <f t="shared" si="154"/>
        <v>12</v>
      </c>
      <c r="Q539" s="357">
        <f t="shared" si="155"/>
        <v>42</v>
      </c>
      <c r="R539" s="356">
        <f t="shared" si="166"/>
        <v>43528699.77433397</v>
      </c>
      <c r="S539" s="356">
        <f>IF($G$4="mensual",S538,0)</f>
        <v>10000</v>
      </c>
      <c r="U539" s="356">
        <f t="shared" si="156"/>
        <v>347183.7060924197</v>
      </c>
      <c r="V539" s="359">
        <f t="shared" si="158"/>
        <v>-395.6901340316334</v>
      </c>
      <c r="X539" s="359">
        <f t="shared" si="157"/>
        <v>-43885.88348042639</v>
      </c>
      <c r="Y539" s="356">
        <f t="shared" si="161"/>
        <v>43841601.90681192</v>
      </c>
      <c r="AA539" s="357">
        <f>+Bono!J539</f>
        <v>601815.6999531154</v>
      </c>
      <c r="AC539" s="378">
        <f t="shared" si="167"/>
        <v>43</v>
      </c>
      <c r="AD539" s="356">
        <f t="shared" si="168"/>
        <v>45757613.45182748</v>
      </c>
    </row>
    <row r="540" spans="2:30" x14ac:dyDescent="0.25">
      <c r="B540" s="356">
        <f t="shared" si="162"/>
        <v>517</v>
      </c>
      <c r="C540" s="357">
        <f t="shared" si="150"/>
        <v>43</v>
      </c>
      <c r="D540" s="357">
        <f t="shared" si="151"/>
        <v>1</v>
      </c>
      <c r="E540" s="357">
        <f t="shared" si="152"/>
        <v>72</v>
      </c>
      <c r="F540" s="356">
        <f t="shared" si="163"/>
        <v>1314195.845062444</v>
      </c>
      <c r="H540" s="356">
        <f t="shared" si="159"/>
        <v>10479.582219609782</v>
      </c>
      <c r="I540" s="356">
        <v>0</v>
      </c>
      <c r="J540" s="356">
        <v>0</v>
      </c>
      <c r="K540" s="356">
        <f t="shared" si="164"/>
        <v>-1324.6754272820538</v>
      </c>
      <c r="L540" s="356">
        <f t="shared" si="160"/>
        <v>1323350.7518547717</v>
      </c>
      <c r="N540" s="356">
        <f t="shared" si="165"/>
        <v>517</v>
      </c>
      <c r="O540" s="357">
        <f t="shared" si="153"/>
        <v>43</v>
      </c>
      <c r="P540" s="357">
        <f t="shared" si="154"/>
        <v>1</v>
      </c>
      <c r="Q540" s="357">
        <f t="shared" si="155"/>
        <v>43</v>
      </c>
      <c r="R540" s="356">
        <f t="shared" si="166"/>
        <v>43841601.90681192</v>
      </c>
      <c r="S540" s="356">
        <f>IF($G$17="si",S528*(1+$G$20),S528)</f>
        <v>10000</v>
      </c>
      <c r="U540" s="356">
        <f t="shared" si="156"/>
        <v>349678.83163730236</v>
      </c>
      <c r="V540" s="359">
        <f>(V539*(1+$G$18))</f>
        <v>-411.51773939289876</v>
      </c>
      <c r="X540" s="359">
        <f t="shared" si="157"/>
        <v>-44201.280738449226</v>
      </c>
      <c r="Y540" s="356">
        <f t="shared" si="161"/>
        <v>44156667.93997138</v>
      </c>
      <c r="AA540" s="357">
        <f>+Bono!J540</f>
        <v>605547.0270991252</v>
      </c>
      <c r="AC540" s="378">
        <f t="shared" si="167"/>
        <v>43.083333333333336</v>
      </c>
      <c r="AD540" s="356">
        <f t="shared" si="168"/>
        <v>46085565.718925275</v>
      </c>
    </row>
    <row r="541" spans="2:30" x14ac:dyDescent="0.25">
      <c r="B541" s="356">
        <f t="shared" si="162"/>
        <v>518</v>
      </c>
      <c r="C541" s="357">
        <f t="shared" si="150"/>
        <v>43</v>
      </c>
      <c r="D541" s="357">
        <f t="shared" si="151"/>
        <v>2</v>
      </c>
      <c r="E541" s="357">
        <f t="shared" si="152"/>
        <v>72</v>
      </c>
      <c r="F541" s="356">
        <f t="shared" si="163"/>
        <v>1323350.7518547717</v>
      </c>
      <c r="H541" s="356">
        <f t="shared" si="159"/>
        <v>10552.58473198533</v>
      </c>
      <c r="I541" s="356">
        <v>0</v>
      </c>
      <c r="J541" s="356">
        <v>0</v>
      </c>
      <c r="K541" s="356">
        <f t="shared" si="164"/>
        <v>-1333.9033365867572</v>
      </c>
      <c r="L541" s="356">
        <f t="shared" si="160"/>
        <v>1332569.4332501704</v>
      </c>
      <c r="N541" s="356">
        <f t="shared" si="165"/>
        <v>518</v>
      </c>
      <c r="O541" s="357">
        <f t="shared" si="153"/>
        <v>43</v>
      </c>
      <c r="P541" s="357">
        <f t="shared" si="154"/>
        <v>2</v>
      </c>
      <c r="Q541" s="357">
        <f t="shared" si="155"/>
        <v>43</v>
      </c>
      <c r="R541" s="356">
        <f t="shared" si="166"/>
        <v>44156667.93997138</v>
      </c>
      <c r="S541" s="356">
        <f>IF($G$4="mensual",S540,0)</f>
        <v>10000</v>
      </c>
      <c r="U541" s="356">
        <f t="shared" si="156"/>
        <v>352191.2124300935</v>
      </c>
      <c r="V541" s="359">
        <f t="shared" si="158"/>
        <v>-411.51773939289876</v>
      </c>
      <c r="X541" s="359">
        <f t="shared" si="157"/>
        <v>-44518.85915240148</v>
      </c>
      <c r="Y541" s="356">
        <f t="shared" si="161"/>
        <v>44473928.775509685</v>
      </c>
      <c r="AA541" s="357">
        <f>+Bono!J541</f>
        <v>609301.4889062475</v>
      </c>
      <c r="AC541" s="378">
        <f t="shared" si="167"/>
        <v>43.166666666666664</v>
      </c>
      <c r="AD541" s="356">
        <f t="shared" si="168"/>
        <v>46415799.69766611</v>
      </c>
    </row>
    <row r="542" spans="2:30" x14ac:dyDescent="0.25">
      <c r="B542" s="356">
        <f t="shared" si="162"/>
        <v>519</v>
      </c>
      <c r="C542" s="357">
        <f t="shared" si="150"/>
        <v>43</v>
      </c>
      <c r="D542" s="357">
        <f t="shared" si="151"/>
        <v>3</v>
      </c>
      <c r="E542" s="357">
        <f t="shared" si="152"/>
        <v>72</v>
      </c>
      <c r="F542" s="356">
        <f t="shared" si="163"/>
        <v>1332569.4332501704</v>
      </c>
      <c r="H542" s="356">
        <f t="shared" si="159"/>
        <v>10626.09579200156</v>
      </c>
      <c r="I542" s="356">
        <v>0</v>
      </c>
      <c r="J542" s="360">
        <f>-SUM(F542:H542)*$J$21</f>
        <v>-12088.75976137955</v>
      </c>
      <c r="K542" s="356">
        <f t="shared" si="164"/>
        <v>-1331.1067692807924</v>
      </c>
      <c r="L542" s="356">
        <f t="shared" si="160"/>
        <v>1329775.6625115117</v>
      </c>
      <c r="N542" s="356">
        <f t="shared" si="165"/>
        <v>519</v>
      </c>
      <c r="O542" s="357">
        <f t="shared" si="153"/>
        <v>43</v>
      </c>
      <c r="P542" s="357">
        <f t="shared" si="154"/>
        <v>3</v>
      </c>
      <c r="Q542" s="357">
        <f t="shared" si="155"/>
        <v>43</v>
      </c>
      <c r="R542" s="356">
        <f t="shared" si="166"/>
        <v>44473928.775509685</v>
      </c>
      <c r="S542" s="356">
        <f>IF($G$4="mensual",S541,0)</f>
        <v>10000</v>
      </c>
      <c r="U542" s="356">
        <f t="shared" si="156"/>
        <v>354721.0948852673</v>
      </c>
      <c r="V542" s="359">
        <f t="shared" si="158"/>
        <v>-411.51773939289876</v>
      </c>
      <c r="X542" s="359">
        <f t="shared" si="157"/>
        <v>-44838.649870394955</v>
      </c>
      <c r="Y542" s="356">
        <f t="shared" si="161"/>
        <v>44793399.702785164</v>
      </c>
      <c r="AA542" s="357">
        <f>+Bono!J542</f>
        <v>607555.9925164604</v>
      </c>
      <c r="AC542" s="378">
        <f t="shared" si="167"/>
        <v>43.25</v>
      </c>
      <c r="AD542" s="356">
        <f t="shared" si="168"/>
        <v>46730731.357813135</v>
      </c>
    </row>
    <row r="543" spans="2:30" x14ac:dyDescent="0.25">
      <c r="B543" s="356">
        <f t="shared" si="162"/>
        <v>520</v>
      </c>
      <c r="C543" s="357">
        <f t="shared" si="150"/>
        <v>43</v>
      </c>
      <c r="D543" s="357">
        <f t="shared" si="151"/>
        <v>4</v>
      </c>
      <c r="E543" s="357">
        <f t="shared" si="152"/>
        <v>72</v>
      </c>
      <c r="F543" s="356">
        <f t="shared" si="163"/>
        <v>1329775.6625115117</v>
      </c>
      <c r="H543" s="356">
        <f t="shared" si="159"/>
        <v>10603.817871805333</v>
      </c>
      <c r="I543" s="356">
        <v>0</v>
      </c>
      <c r="J543" s="356">
        <v>0</v>
      </c>
      <c r="K543" s="356">
        <f t="shared" si="164"/>
        <v>-1340.379480383317</v>
      </c>
      <c r="L543" s="356">
        <f t="shared" si="160"/>
        <v>1339039.1009029336</v>
      </c>
      <c r="N543" s="356">
        <f t="shared" si="165"/>
        <v>520</v>
      </c>
      <c r="O543" s="357">
        <f t="shared" si="153"/>
        <v>43</v>
      </c>
      <c r="P543" s="357">
        <f t="shared" si="154"/>
        <v>4</v>
      </c>
      <c r="Q543" s="357">
        <f t="shared" si="155"/>
        <v>43</v>
      </c>
      <c r="R543" s="356">
        <f t="shared" si="166"/>
        <v>44793399.702785164</v>
      </c>
      <c r="S543" s="356">
        <f>IF($G$4="mensual",S540,IF($G$4="trimestral",S540,0))</f>
        <v>10000</v>
      </c>
      <c r="U543" s="356">
        <f t="shared" si="156"/>
        <v>357268.6009223141</v>
      </c>
      <c r="V543" s="359">
        <f t="shared" si="158"/>
        <v>-411.51773939289876</v>
      </c>
      <c r="X543" s="359">
        <f t="shared" si="157"/>
        <v>-45160.66830370748</v>
      </c>
      <c r="Y543" s="356">
        <f t="shared" si="161"/>
        <v>45115096.11766438</v>
      </c>
      <c r="AA543" s="357">
        <f>+Bono!J543</f>
        <v>611322.9101421956</v>
      </c>
      <c r="AC543" s="378">
        <f t="shared" si="167"/>
        <v>43.333333333333336</v>
      </c>
      <c r="AD543" s="356">
        <f t="shared" si="168"/>
        <v>47065458.12870951</v>
      </c>
    </row>
    <row r="544" spans="2:30" x14ac:dyDescent="0.25">
      <c r="B544" s="356">
        <f t="shared" si="162"/>
        <v>521</v>
      </c>
      <c r="C544" s="357">
        <f t="shared" si="150"/>
        <v>43</v>
      </c>
      <c r="D544" s="357">
        <f t="shared" si="151"/>
        <v>5</v>
      </c>
      <c r="E544" s="357">
        <f t="shared" si="152"/>
        <v>72</v>
      </c>
      <c r="F544" s="356">
        <f t="shared" si="163"/>
        <v>1339039.1009029336</v>
      </c>
      <c r="H544" s="356">
        <f t="shared" si="159"/>
        <v>10677.68583039303</v>
      </c>
      <c r="I544" s="356">
        <v>0</v>
      </c>
      <c r="J544" s="356">
        <v>0</v>
      </c>
      <c r="K544" s="356">
        <f t="shared" si="164"/>
        <v>-1349.7167867333267</v>
      </c>
      <c r="L544" s="356">
        <f t="shared" si="160"/>
        <v>1348367.0699465934</v>
      </c>
      <c r="N544" s="356">
        <f t="shared" si="165"/>
        <v>521</v>
      </c>
      <c r="O544" s="357">
        <f t="shared" si="153"/>
        <v>43</v>
      </c>
      <c r="P544" s="357">
        <f t="shared" si="154"/>
        <v>5</v>
      </c>
      <c r="Q544" s="357">
        <f t="shared" si="155"/>
        <v>43</v>
      </c>
      <c r="R544" s="356">
        <f t="shared" si="166"/>
        <v>45115096.11766438</v>
      </c>
      <c r="S544" s="356">
        <f>IF($G$4="mensual",S543,0)</f>
        <v>10000</v>
      </c>
      <c r="U544" s="356">
        <f t="shared" si="156"/>
        <v>359833.85331003583</v>
      </c>
      <c r="V544" s="359">
        <f t="shared" si="158"/>
        <v>-411.51773939289876</v>
      </c>
      <c r="X544" s="359">
        <f t="shared" si="157"/>
        <v>-45484.929970974415</v>
      </c>
      <c r="Y544" s="356">
        <f t="shared" si="161"/>
        <v>45439033.52326405</v>
      </c>
      <c r="AA544" s="357">
        <f>+Bono!J544</f>
        <v>615113.183094146</v>
      </c>
      <c r="AC544" s="378">
        <f t="shared" si="167"/>
        <v>43.416666666666664</v>
      </c>
      <c r="AD544" s="356">
        <f t="shared" si="168"/>
        <v>47402513.77630479</v>
      </c>
    </row>
    <row r="545" spans="2:30" x14ac:dyDescent="0.25">
      <c r="B545" s="356">
        <f t="shared" si="162"/>
        <v>522</v>
      </c>
      <c r="C545" s="357">
        <f t="shared" si="150"/>
        <v>43</v>
      </c>
      <c r="D545" s="357">
        <f t="shared" si="151"/>
        <v>6</v>
      </c>
      <c r="E545" s="357">
        <f t="shared" si="152"/>
        <v>72</v>
      </c>
      <c r="F545" s="356">
        <f t="shared" si="163"/>
        <v>1348367.0699465934</v>
      </c>
      <c r="H545" s="356">
        <f t="shared" si="159"/>
        <v>10752.06836546364</v>
      </c>
      <c r="I545" s="356">
        <v>0</v>
      </c>
      <c r="J545" s="360">
        <f>-SUM(F545:H545)*$J$21</f>
        <v>-12232.072244808516</v>
      </c>
      <c r="K545" s="356">
        <f t="shared" si="164"/>
        <v>-1346.8870660672485</v>
      </c>
      <c r="L545" s="356">
        <f t="shared" si="160"/>
        <v>1345540.1790011814</v>
      </c>
      <c r="N545" s="356">
        <f t="shared" si="165"/>
        <v>522</v>
      </c>
      <c r="O545" s="357">
        <f t="shared" si="153"/>
        <v>43</v>
      </c>
      <c r="P545" s="357">
        <f t="shared" si="154"/>
        <v>6</v>
      </c>
      <c r="Q545" s="357">
        <f t="shared" si="155"/>
        <v>43</v>
      </c>
      <c r="R545" s="356">
        <f t="shared" si="166"/>
        <v>45439033.52326405</v>
      </c>
      <c r="S545" s="356">
        <f>IF($G$4="mensual",S544,0)</f>
        <v>10000</v>
      </c>
      <c r="U545" s="356">
        <f t="shared" si="156"/>
        <v>362416.9756724624</v>
      </c>
      <c r="V545" s="359">
        <f t="shared" si="158"/>
        <v>-411.51773939289876</v>
      </c>
      <c r="X545" s="359">
        <f t="shared" si="157"/>
        <v>-45811.450498936516</v>
      </c>
      <c r="Y545" s="356">
        <f t="shared" si="161"/>
        <v>45765227.53069818</v>
      </c>
      <c r="AA545" s="357">
        <f>+Bono!J545</f>
        <v>613351.0376539162</v>
      </c>
      <c r="AC545" s="378">
        <f t="shared" si="167"/>
        <v>43.5</v>
      </c>
      <c r="AD545" s="356">
        <f t="shared" si="168"/>
        <v>47724118.74735328</v>
      </c>
    </row>
    <row r="546" spans="2:30" x14ac:dyDescent="0.25">
      <c r="B546" s="356">
        <f t="shared" si="162"/>
        <v>523</v>
      </c>
      <c r="C546" s="357">
        <f t="shared" si="150"/>
        <v>43</v>
      </c>
      <c r="D546" s="357">
        <f t="shared" si="151"/>
        <v>7</v>
      </c>
      <c r="E546" s="357">
        <f t="shared" si="152"/>
        <v>72</v>
      </c>
      <c r="F546" s="356">
        <f t="shared" si="163"/>
        <v>1345540.1790011814</v>
      </c>
      <c r="H546" s="356">
        <f t="shared" si="159"/>
        <v>10729.526340087728</v>
      </c>
      <c r="I546" s="356">
        <v>0</v>
      </c>
      <c r="J546" s="356">
        <v>0</v>
      </c>
      <c r="K546" s="356">
        <f t="shared" si="164"/>
        <v>-1356.269705341269</v>
      </c>
      <c r="L546" s="356">
        <f t="shared" si="160"/>
        <v>1354913.4356359278</v>
      </c>
      <c r="N546" s="356">
        <f t="shared" si="165"/>
        <v>523</v>
      </c>
      <c r="O546" s="357">
        <f t="shared" si="153"/>
        <v>43</v>
      </c>
      <c r="P546" s="357">
        <f t="shared" si="154"/>
        <v>7</v>
      </c>
      <c r="Q546" s="357">
        <f t="shared" si="155"/>
        <v>43</v>
      </c>
      <c r="R546" s="356">
        <f t="shared" si="166"/>
        <v>45765227.53069818</v>
      </c>
      <c r="S546" s="356">
        <f>+IF($G$4="mensual",S540,IF($G$4="trimestral",S540,IF($G$4="semestral",S540,0)))</f>
        <v>10000</v>
      </c>
      <c r="U546" s="356">
        <f t="shared" si="156"/>
        <v>365018.092494809</v>
      </c>
      <c r="V546" s="359">
        <f t="shared" si="158"/>
        <v>-411.51773939289876</v>
      </c>
      <c r="X546" s="359">
        <f t="shared" si="157"/>
        <v>-46140.24562319299</v>
      </c>
      <c r="Y546" s="356">
        <f t="shared" si="161"/>
        <v>46093693.8598304</v>
      </c>
      <c r="AA546" s="357">
        <f>+Bono!J546</f>
        <v>617153.8852316873</v>
      </c>
      <c r="AC546" s="378">
        <f t="shared" si="167"/>
        <v>43.583333333333336</v>
      </c>
      <c r="AD546" s="356">
        <f t="shared" si="168"/>
        <v>48065761.180698015</v>
      </c>
    </row>
    <row r="547" spans="2:30" x14ac:dyDescent="0.25">
      <c r="B547" s="356">
        <f t="shared" si="162"/>
        <v>524</v>
      </c>
      <c r="C547" s="357">
        <f t="shared" si="150"/>
        <v>43</v>
      </c>
      <c r="D547" s="357">
        <f t="shared" si="151"/>
        <v>8</v>
      </c>
      <c r="E547" s="357">
        <f t="shared" si="152"/>
        <v>72</v>
      </c>
      <c r="F547" s="356">
        <f t="shared" si="163"/>
        <v>1354913.4356359278</v>
      </c>
      <c r="H547" s="356">
        <f t="shared" si="159"/>
        <v>10804.27000476935</v>
      </c>
      <c r="I547" s="356">
        <v>0</v>
      </c>
      <c r="J547" s="356">
        <v>0</v>
      </c>
      <c r="K547" s="356">
        <f t="shared" si="164"/>
        <v>-1365.7177056406972</v>
      </c>
      <c r="L547" s="356">
        <f t="shared" si="160"/>
        <v>1364351.9879350564</v>
      </c>
      <c r="N547" s="356">
        <f t="shared" si="165"/>
        <v>524</v>
      </c>
      <c r="O547" s="357">
        <f t="shared" si="153"/>
        <v>43</v>
      </c>
      <c r="P547" s="357">
        <f t="shared" si="154"/>
        <v>8</v>
      </c>
      <c r="Q547" s="357">
        <f t="shared" si="155"/>
        <v>43</v>
      </c>
      <c r="R547" s="356">
        <f t="shared" si="166"/>
        <v>46093693.8598304</v>
      </c>
      <c r="S547" s="356">
        <f>IF($G$4="mensual",S546,0)</f>
        <v>10000</v>
      </c>
      <c r="U547" s="356">
        <f t="shared" si="156"/>
        <v>367637.32912947587</v>
      </c>
      <c r="V547" s="359">
        <f t="shared" si="158"/>
        <v>-411.51773939289876</v>
      </c>
      <c r="X547" s="359">
        <f t="shared" si="157"/>
        <v>-46471.33118895988</v>
      </c>
      <c r="Y547" s="356">
        <f t="shared" si="161"/>
        <v>46424448.34003152</v>
      </c>
      <c r="AA547" s="357">
        <f>+Bono!J547</f>
        <v>620980.3109055436</v>
      </c>
      <c r="AC547" s="378">
        <f t="shared" si="167"/>
        <v>43.666666666666664</v>
      </c>
      <c r="AD547" s="356">
        <f t="shared" si="168"/>
        <v>48409780.638872124</v>
      </c>
    </row>
    <row r="548" spans="2:30" x14ac:dyDescent="0.25">
      <c r="B548" s="356">
        <f t="shared" si="162"/>
        <v>525</v>
      </c>
      <c r="C548" s="357">
        <f t="shared" ref="C548:C611" si="169">C536+1</f>
        <v>43</v>
      </c>
      <c r="D548" s="357">
        <f t="shared" ref="D548:D611" si="170">D536</f>
        <v>9</v>
      </c>
      <c r="E548" s="357">
        <f t="shared" ref="E548:E611" si="171">E536+1</f>
        <v>72</v>
      </c>
      <c r="F548" s="356">
        <f t="shared" si="163"/>
        <v>1364351.9879350564</v>
      </c>
      <c r="H548" s="356">
        <f t="shared" si="159"/>
        <v>10879.534346248154</v>
      </c>
      <c r="I548" s="356">
        <v>0</v>
      </c>
      <c r="J548" s="360">
        <f>-SUM(F548:H548)*$J$21</f>
        <v>-12377.083700531744</v>
      </c>
      <c r="K548" s="356">
        <f t="shared" si="164"/>
        <v>-1362.854438580773</v>
      </c>
      <c r="L548" s="356">
        <f t="shared" si="160"/>
        <v>1361491.584142192</v>
      </c>
      <c r="N548" s="356">
        <f t="shared" si="165"/>
        <v>525</v>
      </c>
      <c r="O548" s="357">
        <f t="shared" ref="O548:O611" si="172">O536+1</f>
        <v>43</v>
      </c>
      <c r="P548" s="357">
        <f t="shared" ref="P548:P611" si="173">P536</f>
        <v>9</v>
      </c>
      <c r="Q548" s="357">
        <f t="shared" ref="Q548:Q611" si="174">Q536+1</f>
        <v>43</v>
      </c>
      <c r="R548" s="356">
        <f t="shared" si="166"/>
        <v>46424448.34003152</v>
      </c>
      <c r="S548" s="356">
        <f>IF($G$4="mensual",S547,0)</f>
        <v>10000</v>
      </c>
      <c r="U548" s="356">
        <f t="shared" ref="U548:U611" si="175">SUM(R548:T548)*$G$8</f>
        <v>370274.81180208863</v>
      </c>
      <c r="V548" s="359">
        <f t="shared" si="158"/>
        <v>-411.51773939289876</v>
      </c>
      <c r="X548" s="359">
        <f t="shared" si="157"/>
        <v>-46804.72315183361</v>
      </c>
      <c r="Y548" s="356">
        <f t="shared" si="161"/>
        <v>46757506.91094238</v>
      </c>
      <c r="AA548" s="357">
        <f>+Bono!J548</f>
        <v>619201.357611403</v>
      </c>
      <c r="AC548" s="378">
        <f t="shared" si="167"/>
        <v>43.75</v>
      </c>
      <c r="AD548" s="356">
        <f t="shared" si="168"/>
        <v>48738199.85269598</v>
      </c>
    </row>
    <row r="549" spans="2:30" x14ac:dyDescent="0.25">
      <c r="B549" s="356">
        <f t="shared" si="162"/>
        <v>526</v>
      </c>
      <c r="C549" s="357">
        <f t="shared" si="169"/>
        <v>43</v>
      </c>
      <c r="D549" s="357">
        <f t="shared" si="170"/>
        <v>10</v>
      </c>
      <c r="E549" s="357">
        <f t="shared" si="171"/>
        <v>72</v>
      </c>
      <c r="F549" s="356">
        <f t="shared" si="163"/>
        <v>1361491.584142192</v>
      </c>
      <c r="H549" s="356">
        <f t="shared" si="159"/>
        <v>10856.725084720485</v>
      </c>
      <c r="I549" s="356">
        <v>0</v>
      </c>
      <c r="J549" s="356">
        <v>0</v>
      </c>
      <c r="K549" s="356">
        <f t="shared" si="164"/>
        <v>-1372.3483092269125</v>
      </c>
      <c r="L549" s="356">
        <f t="shared" si="160"/>
        <v>1370975.9609176856</v>
      </c>
      <c r="N549" s="356">
        <f t="shared" si="165"/>
        <v>526</v>
      </c>
      <c r="O549" s="357">
        <f t="shared" si="172"/>
        <v>43</v>
      </c>
      <c r="P549" s="357">
        <f t="shared" si="173"/>
        <v>10</v>
      </c>
      <c r="Q549" s="357">
        <f t="shared" si="174"/>
        <v>43</v>
      </c>
      <c r="R549" s="356">
        <f t="shared" si="166"/>
        <v>46757506.91094238</v>
      </c>
      <c r="S549" s="356">
        <f>IF($G$4="mensual",S540,IF($G$4="trimestral",S540,0))</f>
        <v>10000</v>
      </c>
      <c r="U549" s="356">
        <f t="shared" si="175"/>
        <v>372930.66761758184</v>
      </c>
      <c r="V549" s="359">
        <f t="shared" si="158"/>
        <v>-411.51773939289876</v>
      </c>
      <c r="X549" s="359">
        <f t="shared" si="157"/>
        <v>-47140.43757855996</v>
      </c>
      <c r="Y549" s="356">
        <f t="shared" si="161"/>
        <v>47092885.62324201</v>
      </c>
      <c r="AA549" s="357">
        <f>+Bono!J549</f>
        <v>623040.4778515056</v>
      </c>
      <c r="AC549" s="378">
        <f t="shared" si="167"/>
        <v>43.833333333333336</v>
      </c>
      <c r="AD549" s="356">
        <f t="shared" si="168"/>
        <v>49086902.062011205</v>
      </c>
    </row>
    <row r="550" spans="2:30" x14ac:dyDescent="0.25">
      <c r="B550" s="356">
        <f t="shared" si="162"/>
        <v>527</v>
      </c>
      <c r="C550" s="357">
        <f t="shared" si="169"/>
        <v>43</v>
      </c>
      <c r="D550" s="357">
        <f t="shared" si="170"/>
        <v>11</v>
      </c>
      <c r="E550" s="357">
        <f t="shared" si="171"/>
        <v>72</v>
      </c>
      <c r="F550" s="356">
        <f t="shared" si="163"/>
        <v>1370975.9609176856</v>
      </c>
      <c r="H550" s="356">
        <f t="shared" si="159"/>
        <v>10932.354837008905</v>
      </c>
      <c r="I550" s="356">
        <v>0</v>
      </c>
      <c r="J550" s="356">
        <v>0</v>
      </c>
      <c r="K550" s="356">
        <f t="shared" si="164"/>
        <v>-1381.9083157546947</v>
      </c>
      <c r="L550" s="356">
        <f t="shared" si="160"/>
        <v>1380526.40743894</v>
      </c>
      <c r="N550" s="356">
        <f t="shared" si="165"/>
        <v>527</v>
      </c>
      <c r="O550" s="357">
        <f t="shared" si="172"/>
        <v>43</v>
      </c>
      <c r="P550" s="357">
        <f t="shared" si="173"/>
        <v>11</v>
      </c>
      <c r="Q550" s="357">
        <f t="shared" si="174"/>
        <v>43</v>
      </c>
      <c r="R550" s="356">
        <f t="shared" si="166"/>
        <v>47092885.62324201</v>
      </c>
      <c r="S550" s="356">
        <f>IF($G$17="si",S538*(1+$G$20),S538)</f>
        <v>10000</v>
      </c>
      <c r="U550" s="356">
        <f t="shared" si="175"/>
        <v>375605.024566324</v>
      </c>
      <c r="V550" s="359">
        <f t="shared" si="158"/>
        <v>-411.51773939289876</v>
      </c>
      <c r="X550" s="359">
        <f t="shared" si="157"/>
        <v>-47478.490647808336</v>
      </c>
      <c r="Y550" s="356">
        <f t="shared" si="161"/>
        <v>47430600.639421135</v>
      </c>
      <c r="AA550" s="357">
        <f>+Bono!J550</f>
        <v>626903.4010824073</v>
      </c>
      <c r="AC550" s="378">
        <f t="shared" si="167"/>
        <v>43.916666666666664</v>
      </c>
      <c r="AD550" s="356">
        <f t="shared" si="168"/>
        <v>49438030.44794248</v>
      </c>
    </row>
    <row r="551" spans="2:30" x14ac:dyDescent="0.25">
      <c r="B551" s="356">
        <f t="shared" si="162"/>
        <v>528</v>
      </c>
      <c r="C551" s="357">
        <f t="shared" si="169"/>
        <v>43</v>
      </c>
      <c r="D551" s="357">
        <f t="shared" si="170"/>
        <v>12</v>
      </c>
      <c r="E551" s="357">
        <f t="shared" si="171"/>
        <v>72</v>
      </c>
      <c r="F551" s="356">
        <f t="shared" si="163"/>
        <v>1380526.40743894</v>
      </c>
      <c r="H551" s="356">
        <f t="shared" si="159"/>
        <v>11008.511438728121</v>
      </c>
      <c r="I551" s="356">
        <v>0</v>
      </c>
      <c r="J551" s="360">
        <f>-SUM(F551:H551)*$J$21</f>
        <v>-12523.814269899014</v>
      </c>
      <c r="K551" s="356">
        <f t="shared" si="164"/>
        <v>-1379.011104607769</v>
      </c>
      <c r="L551" s="356">
        <f t="shared" si="160"/>
        <v>1377632.0935031613</v>
      </c>
      <c r="N551" s="356">
        <f t="shared" si="165"/>
        <v>528</v>
      </c>
      <c r="O551" s="357">
        <f t="shared" si="172"/>
        <v>43</v>
      </c>
      <c r="P551" s="357">
        <f t="shared" si="173"/>
        <v>12</v>
      </c>
      <c r="Q551" s="357">
        <f t="shared" si="174"/>
        <v>43</v>
      </c>
      <c r="R551" s="356">
        <f t="shared" si="166"/>
        <v>47430600.639421135</v>
      </c>
      <c r="S551" s="356">
        <f>IF($G$4="mensual",S550,0)</f>
        <v>10000</v>
      </c>
      <c r="U551" s="356">
        <f t="shared" si="175"/>
        <v>378298.0115302858</v>
      </c>
      <c r="V551" s="359">
        <f t="shared" si="158"/>
        <v>-411.51773939289876</v>
      </c>
      <c r="X551" s="359">
        <f t="shared" si="157"/>
        <v>-47818.89865095142</v>
      </c>
      <c r="Y551" s="356">
        <f t="shared" si="161"/>
        <v>47770668.23456108</v>
      </c>
      <c r="AA551" s="357">
        <f>+Bono!J551</f>
        <v>625107.479616174</v>
      </c>
      <c r="AC551" s="378">
        <f t="shared" si="167"/>
        <v>44</v>
      </c>
      <c r="AD551" s="356">
        <f t="shared" si="168"/>
        <v>49773407.80768041</v>
      </c>
    </row>
    <row r="552" spans="2:30" x14ac:dyDescent="0.25">
      <c r="B552" s="356">
        <f t="shared" si="162"/>
        <v>529</v>
      </c>
      <c r="C552" s="357">
        <f t="shared" si="169"/>
        <v>44</v>
      </c>
      <c r="D552" s="357">
        <f t="shared" si="170"/>
        <v>1</v>
      </c>
      <c r="E552" s="357">
        <f t="shared" si="171"/>
        <v>73</v>
      </c>
      <c r="F552" s="356">
        <f t="shared" si="163"/>
        <v>1377632.0935031613</v>
      </c>
      <c r="H552" s="356">
        <f t="shared" si="159"/>
        <v>10985.43177295889</v>
      </c>
      <c r="I552" s="356">
        <v>0</v>
      </c>
      <c r="J552" s="356">
        <v>0</v>
      </c>
      <c r="K552" s="356">
        <f t="shared" si="164"/>
        <v>-1388.6175252761202</v>
      </c>
      <c r="L552" s="356">
        <f t="shared" si="160"/>
        <v>1387228.9077508443</v>
      </c>
      <c r="N552" s="356">
        <f t="shared" si="165"/>
        <v>529</v>
      </c>
      <c r="O552" s="357">
        <f t="shared" si="172"/>
        <v>44</v>
      </c>
      <c r="P552" s="357">
        <f t="shared" si="173"/>
        <v>1</v>
      </c>
      <c r="Q552" s="357">
        <f t="shared" si="174"/>
        <v>44</v>
      </c>
      <c r="R552" s="356">
        <f t="shared" si="166"/>
        <v>47770668.23456108</v>
      </c>
      <c r="S552" s="356">
        <f>IF($G$17="si",S540*(1+$G$20),S540)</f>
        <v>10000</v>
      </c>
      <c r="U552" s="356">
        <f t="shared" si="175"/>
        <v>381009.75828925136</v>
      </c>
      <c r="V552" s="359">
        <f>(V551*(1+$G$18))</f>
        <v>-427.9784489686147</v>
      </c>
      <c r="X552" s="359">
        <f t="shared" si="157"/>
        <v>-48161.677992850324</v>
      </c>
      <c r="Y552" s="356">
        <f t="shared" si="161"/>
        <v>48113088.3364085</v>
      </c>
      <c r="AA552" s="357">
        <f>+Bono!J552</f>
        <v>628983.218497774</v>
      </c>
      <c r="AC552" s="378">
        <f t="shared" si="167"/>
        <v>44.083333333333336</v>
      </c>
      <c r="AD552" s="356">
        <f t="shared" si="168"/>
        <v>50129300.462657124</v>
      </c>
    </row>
    <row r="553" spans="2:30" x14ac:dyDescent="0.25">
      <c r="B553" s="356">
        <f t="shared" si="162"/>
        <v>530</v>
      </c>
      <c r="C553" s="357">
        <f t="shared" si="169"/>
        <v>44</v>
      </c>
      <c r="D553" s="357">
        <f t="shared" si="170"/>
        <v>2</v>
      </c>
      <c r="E553" s="357">
        <f t="shared" si="171"/>
        <v>73</v>
      </c>
      <c r="F553" s="356">
        <f t="shared" si="163"/>
        <v>1387228.9077508443</v>
      </c>
      <c r="H553" s="356">
        <f t="shared" si="159"/>
        <v>11061.958117440017</v>
      </c>
      <c r="I553" s="356">
        <v>0</v>
      </c>
      <c r="J553" s="356">
        <v>0</v>
      </c>
      <c r="K553" s="356">
        <f t="shared" si="164"/>
        <v>-1398.2908658682843</v>
      </c>
      <c r="L553" s="356">
        <f t="shared" si="160"/>
        <v>1396892.575002416</v>
      </c>
      <c r="N553" s="356">
        <f t="shared" si="165"/>
        <v>530</v>
      </c>
      <c r="O553" s="357">
        <f t="shared" si="172"/>
        <v>44</v>
      </c>
      <c r="P553" s="357">
        <f t="shared" si="173"/>
        <v>2</v>
      </c>
      <c r="Q553" s="357">
        <f t="shared" si="174"/>
        <v>44</v>
      </c>
      <c r="R553" s="356">
        <f t="shared" si="166"/>
        <v>48113088.3364085</v>
      </c>
      <c r="S553" s="356">
        <f>IF($G$4="mensual",S552,0)</f>
        <v>10000</v>
      </c>
      <c r="U553" s="356">
        <f t="shared" si="175"/>
        <v>383740.26426706224</v>
      </c>
      <c r="V553" s="359">
        <f t="shared" si="158"/>
        <v>-427.9784489686147</v>
      </c>
      <c r="X553" s="359">
        <f t="shared" si="157"/>
        <v>-48506.828600675566</v>
      </c>
      <c r="Y553" s="356">
        <f t="shared" si="161"/>
        <v>48457893.79362592</v>
      </c>
      <c r="AA553" s="357">
        <f>+Bono!J553</f>
        <v>632882.9874099978</v>
      </c>
      <c r="AC553" s="378">
        <f t="shared" si="167"/>
        <v>44.166666666666664</v>
      </c>
      <c r="AD553" s="356">
        <f t="shared" si="168"/>
        <v>50487669.35603834</v>
      </c>
    </row>
    <row r="554" spans="2:30" x14ac:dyDescent="0.25">
      <c r="B554" s="356">
        <f t="shared" si="162"/>
        <v>531</v>
      </c>
      <c r="C554" s="357">
        <f t="shared" si="169"/>
        <v>44</v>
      </c>
      <c r="D554" s="357">
        <f t="shared" si="170"/>
        <v>3</v>
      </c>
      <c r="E554" s="357">
        <f t="shared" si="171"/>
        <v>73</v>
      </c>
      <c r="F554" s="356">
        <f t="shared" si="163"/>
        <v>1396892.575002416</v>
      </c>
      <c r="H554" s="356">
        <f t="shared" si="159"/>
        <v>11139.01755716225</v>
      </c>
      <c r="I554" s="356">
        <v>0</v>
      </c>
      <c r="J554" s="360">
        <f>-SUM(F554:H554)*$J$21</f>
        <v>-12672.284333036207</v>
      </c>
      <c r="K554" s="356">
        <f t="shared" si="164"/>
        <v>-1395.359308226542</v>
      </c>
      <c r="L554" s="356">
        <f t="shared" si="160"/>
        <v>1393963.9489183156</v>
      </c>
      <c r="N554" s="356">
        <f t="shared" si="165"/>
        <v>531</v>
      </c>
      <c r="O554" s="357">
        <f t="shared" si="172"/>
        <v>44</v>
      </c>
      <c r="P554" s="357">
        <f t="shared" si="173"/>
        <v>3</v>
      </c>
      <c r="Q554" s="357">
        <f t="shared" si="174"/>
        <v>44</v>
      </c>
      <c r="R554" s="356">
        <f t="shared" si="166"/>
        <v>48457893.79362592</v>
      </c>
      <c r="S554" s="356">
        <f>IF($G$4="mensual",S553,0)</f>
        <v>10000</v>
      </c>
      <c r="U554" s="356">
        <f t="shared" si="175"/>
        <v>386489.7914035663</v>
      </c>
      <c r="V554" s="359">
        <f t="shared" si="158"/>
        <v>-427.9784489686147</v>
      </c>
      <c r="X554" s="359">
        <f t="shared" si="157"/>
        <v>-48854.38358502949</v>
      </c>
      <c r="Y554" s="356">
        <f t="shared" si="161"/>
        <v>48805101.22299549</v>
      </c>
      <c r="AA554" s="357">
        <f>+Bono!J554</f>
        <v>631069.9359243287</v>
      </c>
      <c r="AC554" s="378">
        <f t="shared" si="167"/>
        <v>44.25</v>
      </c>
      <c r="AD554" s="356">
        <f t="shared" si="168"/>
        <v>50830135.10783813</v>
      </c>
    </row>
    <row r="555" spans="2:30" x14ac:dyDescent="0.25">
      <c r="B555" s="356">
        <f t="shared" si="162"/>
        <v>532</v>
      </c>
      <c r="C555" s="357">
        <f t="shared" si="169"/>
        <v>44</v>
      </c>
      <c r="D555" s="357">
        <f t="shared" si="170"/>
        <v>4</v>
      </c>
      <c r="E555" s="357">
        <f t="shared" si="171"/>
        <v>73</v>
      </c>
      <c r="F555" s="356">
        <f t="shared" si="163"/>
        <v>1393963.9489183156</v>
      </c>
      <c r="H555" s="356">
        <f t="shared" si="159"/>
        <v>11115.664281503881</v>
      </c>
      <c r="I555" s="356">
        <v>0</v>
      </c>
      <c r="J555" s="356">
        <v>0</v>
      </c>
      <c r="K555" s="356">
        <f t="shared" si="164"/>
        <v>-1405.0796131998195</v>
      </c>
      <c r="L555" s="356">
        <f t="shared" si="160"/>
        <v>1403674.5335866197</v>
      </c>
      <c r="N555" s="356">
        <f t="shared" si="165"/>
        <v>532</v>
      </c>
      <c r="O555" s="357">
        <f t="shared" si="172"/>
        <v>44</v>
      </c>
      <c r="P555" s="357">
        <f t="shared" si="173"/>
        <v>4</v>
      </c>
      <c r="Q555" s="357">
        <f t="shared" si="174"/>
        <v>44</v>
      </c>
      <c r="R555" s="356">
        <f t="shared" si="166"/>
        <v>48805101.22299549</v>
      </c>
      <c r="S555" s="356">
        <f>IF($G$4="mensual",S552,IF($G$4="trimestral",S552,0))</f>
        <v>10000</v>
      </c>
      <c r="U555" s="356">
        <f t="shared" si="175"/>
        <v>389258.4722033179</v>
      </c>
      <c r="V555" s="359">
        <f t="shared" si="158"/>
        <v>-427.9784489686147</v>
      </c>
      <c r="X555" s="359">
        <f t="shared" ref="X555:X618" si="176">-SUM(R555:U555)*0.1%</f>
        <v>-49204.35969519881</v>
      </c>
      <c r="Y555" s="356">
        <f t="shared" si="161"/>
        <v>49154727.357054636</v>
      </c>
      <c r="AA555" s="357">
        <f>+Bono!J555</f>
        <v>634982.6427266414</v>
      </c>
      <c r="AC555" s="378">
        <f t="shared" si="167"/>
        <v>44.333333333333336</v>
      </c>
      <c r="AD555" s="356">
        <f t="shared" si="168"/>
        <v>51193384.5333679</v>
      </c>
    </row>
    <row r="556" spans="2:30" x14ac:dyDescent="0.25">
      <c r="B556" s="356">
        <f t="shared" si="162"/>
        <v>533</v>
      </c>
      <c r="C556" s="357">
        <f t="shared" si="169"/>
        <v>44</v>
      </c>
      <c r="D556" s="357">
        <f t="shared" si="170"/>
        <v>5</v>
      </c>
      <c r="E556" s="357">
        <f t="shared" si="171"/>
        <v>73</v>
      </c>
      <c r="F556" s="356">
        <f t="shared" si="163"/>
        <v>1403674.5335866197</v>
      </c>
      <c r="H556" s="356">
        <f t="shared" si="159"/>
        <v>11193.097847295698</v>
      </c>
      <c r="I556" s="356">
        <v>0</v>
      </c>
      <c r="J556" s="356">
        <v>0</v>
      </c>
      <c r="K556" s="356">
        <f t="shared" si="164"/>
        <v>-1414.8676314339154</v>
      </c>
      <c r="L556" s="356">
        <f t="shared" si="160"/>
        <v>1413452.7638024813</v>
      </c>
      <c r="N556" s="356">
        <f t="shared" si="165"/>
        <v>533</v>
      </c>
      <c r="O556" s="357">
        <f t="shared" si="172"/>
        <v>44</v>
      </c>
      <c r="P556" s="357">
        <f t="shared" si="173"/>
        <v>5</v>
      </c>
      <c r="Q556" s="357">
        <f t="shared" si="174"/>
        <v>44</v>
      </c>
      <c r="R556" s="356">
        <f t="shared" si="166"/>
        <v>49154727.357054636</v>
      </c>
      <c r="S556" s="356">
        <f>IF($G$4="mensual",S555,0)</f>
        <v>10000</v>
      </c>
      <c r="U556" s="356">
        <f t="shared" si="175"/>
        <v>392046.4400939203</v>
      </c>
      <c r="V556" s="359">
        <f t="shared" si="158"/>
        <v>-427.9784489686147</v>
      </c>
      <c r="X556" s="359">
        <f t="shared" si="176"/>
        <v>-49556.773797148555</v>
      </c>
      <c r="Y556" s="356">
        <f t="shared" si="161"/>
        <v>49506789.04490244</v>
      </c>
      <c r="AA556" s="357">
        <f>+Bono!J556</f>
        <v>638919.6087649743</v>
      </c>
      <c r="AC556" s="378">
        <f t="shared" si="167"/>
        <v>44.416666666666664</v>
      </c>
      <c r="AD556" s="356">
        <f t="shared" si="168"/>
        <v>51559161.4174699</v>
      </c>
    </row>
    <row r="557" spans="2:30" x14ac:dyDescent="0.25">
      <c r="B557" s="356">
        <f t="shared" si="162"/>
        <v>534</v>
      </c>
      <c r="C557" s="357">
        <f t="shared" si="169"/>
        <v>44</v>
      </c>
      <c r="D557" s="357">
        <f t="shared" si="170"/>
        <v>6</v>
      </c>
      <c r="E557" s="357">
        <f t="shared" si="171"/>
        <v>73</v>
      </c>
      <c r="F557" s="356">
        <f t="shared" si="163"/>
        <v>1413452.7638024813</v>
      </c>
      <c r="H557" s="356">
        <f t="shared" si="159"/>
        <v>11271.07082818313</v>
      </c>
      <c r="I557" s="356">
        <v>0</v>
      </c>
      <c r="J557" s="360">
        <f>-SUM(F557:H557)*$J$21</f>
        <v>-12822.514511675981</v>
      </c>
      <c r="K557" s="356">
        <f t="shared" si="164"/>
        <v>-1411.9013201189885</v>
      </c>
      <c r="L557" s="356">
        <f t="shared" si="160"/>
        <v>1410489.4187988695</v>
      </c>
      <c r="N557" s="356">
        <f t="shared" si="165"/>
        <v>534</v>
      </c>
      <c r="O557" s="357">
        <f t="shared" si="172"/>
        <v>44</v>
      </c>
      <c r="P557" s="357">
        <f t="shared" si="173"/>
        <v>6</v>
      </c>
      <c r="Q557" s="357">
        <f t="shared" si="174"/>
        <v>44</v>
      </c>
      <c r="R557" s="356">
        <f t="shared" si="166"/>
        <v>49506789.04490244</v>
      </c>
      <c r="S557" s="356">
        <f>IF($G$4="mensual",S556,0)</f>
        <v>10000</v>
      </c>
      <c r="U557" s="356">
        <f t="shared" si="175"/>
        <v>394853.82943245553</v>
      </c>
      <c r="V557" s="359">
        <f t="shared" si="158"/>
        <v>-427.9784489686147</v>
      </c>
      <c r="X557" s="359">
        <f t="shared" si="176"/>
        <v>-49911.642874334895</v>
      </c>
      <c r="Y557" s="356">
        <f t="shared" si="161"/>
        <v>49861303.253011584</v>
      </c>
      <c r="AA557" s="357">
        <f>+Bono!J557</f>
        <v>637089.2638687794</v>
      </c>
      <c r="AC557" s="378">
        <f t="shared" si="167"/>
        <v>44.5</v>
      </c>
      <c r="AD557" s="356">
        <f t="shared" si="168"/>
        <v>51908881.935679235</v>
      </c>
    </row>
    <row r="558" spans="2:30" x14ac:dyDescent="0.25">
      <c r="B558" s="356">
        <f t="shared" si="162"/>
        <v>535</v>
      </c>
      <c r="C558" s="357">
        <f t="shared" si="169"/>
        <v>44</v>
      </c>
      <c r="D558" s="357">
        <f t="shared" si="170"/>
        <v>7</v>
      </c>
      <c r="E558" s="357">
        <f t="shared" si="171"/>
        <v>73</v>
      </c>
      <c r="F558" s="356">
        <f t="shared" si="163"/>
        <v>1410489.4187988695</v>
      </c>
      <c r="H558" s="356">
        <f t="shared" si="159"/>
        <v>11247.440698985038</v>
      </c>
      <c r="I558" s="356">
        <v>0</v>
      </c>
      <c r="J558" s="356">
        <v>0</v>
      </c>
      <c r="K558" s="356">
        <f t="shared" si="164"/>
        <v>-1421.7368594978545</v>
      </c>
      <c r="L558" s="356">
        <f t="shared" si="160"/>
        <v>1420315.1226383566</v>
      </c>
      <c r="N558" s="356">
        <f t="shared" si="165"/>
        <v>535</v>
      </c>
      <c r="O558" s="357">
        <f t="shared" si="172"/>
        <v>44</v>
      </c>
      <c r="P558" s="357">
        <f t="shared" si="173"/>
        <v>7</v>
      </c>
      <c r="Q558" s="357">
        <f t="shared" si="174"/>
        <v>44</v>
      </c>
      <c r="R558" s="356">
        <f t="shared" si="166"/>
        <v>49861303.253011584</v>
      </c>
      <c r="S558" s="356">
        <f>+IF($G$4="mensual",S552,IF($G$4="trimestral",S552,IF($G$4="semestral",S552,0)))</f>
        <v>10000</v>
      </c>
      <c r="U558" s="356">
        <f t="shared" si="175"/>
        <v>397680.7755119595</v>
      </c>
      <c r="V558" s="359">
        <f t="shared" si="158"/>
        <v>-427.9784489686147</v>
      </c>
      <c r="X558" s="359">
        <f t="shared" si="176"/>
        <v>-50268.98402852354</v>
      </c>
      <c r="Y558" s="356">
        <f t="shared" si="161"/>
        <v>50218287.066046044</v>
      </c>
      <c r="AA558" s="357">
        <f>+Bono!J558</f>
        <v>641039.2912025464</v>
      </c>
      <c r="AC558" s="378">
        <f t="shared" si="167"/>
        <v>44.583333333333336</v>
      </c>
      <c r="AD558" s="356">
        <f t="shared" si="168"/>
        <v>52279641.47988695</v>
      </c>
    </row>
    <row r="559" spans="2:30" x14ac:dyDescent="0.25">
      <c r="B559" s="356">
        <f t="shared" si="162"/>
        <v>536</v>
      </c>
      <c r="C559" s="357">
        <f t="shared" si="169"/>
        <v>44</v>
      </c>
      <c r="D559" s="357">
        <f t="shared" si="170"/>
        <v>8</v>
      </c>
      <c r="E559" s="357">
        <f t="shared" si="171"/>
        <v>73</v>
      </c>
      <c r="F559" s="356">
        <f t="shared" si="163"/>
        <v>1420315.1226383566</v>
      </c>
      <c r="H559" s="356">
        <f t="shared" si="159"/>
        <v>11325.792241213927</v>
      </c>
      <c r="I559" s="356">
        <v>0</v>
      </c>
      <c r="J559" s="356">
        <v>0</v>
      </c>
      <c r="K559" s="356">
        <f t="shared" si="164"/>
        <v>-1431.6409148795706</v>
      </c>
      <c r="L559" s="356">
        <f t="shared" si="160"/>
        <v>1430209.273964691</v>
      </c>
      <c r="N559" s="356">
        <f t="shared" si="165"/>
        <v>536</v>
      </c>
      <c r="O559" s="357">
        <f t="shared" si="172"/>
        <v>44</v>
      </c>
      <c r="P559" s="357">
        <f t="shared" si="173"/>
        <v>8</v>
      </c>
      <c r="Q559" s="357">
        <f t="shared" si="174"/>
        <v>44</v>
      </c>
      <c r="R559" s="356">
        <f t="shared" si="166"/>
        <v>50218287.066046044</v>
      </c>
      <c r="S559" s="356">
        <f>IF($G$4="mensual",S558,0)</f>
        <v>10000</v>
      </c>
      <c r="U559" s="356">
        <f t="shared" si="175"/>
        <v>400527.4145679418</v>
      </c>
      <c r="V559" s="359">
        <f t="shared" si="158"/>
        <v>-427.9784489686147</v>
      </c>
      <c r="X559" s="359">
        <f t="shared" si="176"/>
        <v>-50628.81448061398</v>
      </c>
      <c r="Y559" s="356">
        <f t="shared" si="161"/>
        <v>50577757.687684394</v>
      </c>
      <c r="AA559" s="357">
        <f>+Bono!J559</f>
        <v>645013.8091639577</v>
      </c>
      <c r="AC559" s="378">
        <f t="shared" si="167"/>
        <v>44.666666666666664</v>
      </c>
      <c r="AD559" s="356">
        <f t="shared" si="168"/>
        <v>52652980.77081304</v>
      </c>
    </row>
    <row r="560" spans="2:30" x14ac:dyDescent="0.25">
      <c r="B560" s="356">
        <f t="shared" si="162"/>
        <v>537</v>
      </c>
      <c r="C560" s="357">
        <f t="shared" si="169"/>
        <v>44</v>
      </c>
      <c r="D560" s="357">
        <f t="shared" si="170"/>
        <v>9</v>
      </c>
      <c r="E560" s="357">
        <f t="shared" si="171"/>
        <v>73</v>
      </c>
      <c r="F560" s="356">
        <f t="shared" si="163"/>
        <v>1430209.273964691</v>
      </c>
      <c r="H560" s="356">
        <f t="shared" si="159"/>
        <v>11404.689593314943</v>
      </c>
      <c r="I560" s="356">
        <v>0</v>
      </c>
      <c r="J560" s="360">
        <f>-SUM(F560:H560)*$J$21</f>
        <v>-12974.525672022055</v>
      </c>
      <c r="K560" s="356">
        <f t="shared" si="164"/>
        <v>-1428.6394378859839</v>
      </c>
      <c r="L560" s="356">
        <f t="shared" si="160"/>
        <v>1427210.798448098</v>
      </c>
      <c r="N560" s="356">
        <f t="shared" si="165"/>
        <v>537</v>
      </c>
      <c r="O560" s="357">
        <f t="shared" si="172"/>
        <v>44</v>
      </c>
      <c r="P560" s="357">
        <f t="shared" si="173"/>
        <v>9</v>
      </c>
      <c r="Q560" s="357">
        <f t="shared" si="174"/>
        <v>44</v>
      </c>
      <c r="R560" s="356">
        <f t="shared" si="166"/>
        <v>50577757.687684394</v>
      </c>
      <c r="S560" s="356">
        <f>IF($G$4="mensual",S559,0)</f>
        <v>10000</v>
      </c>
      <c r="U560" s="356">
        <f t="shared" si="175"/>
        <v>403393.88378495135</v>
      </c>
      <c r="V560" s="359">
        <f t="shared" si="158"/>
        <v>-427.9784489686147</v>
      </c>
      <c r="X560" s="359">
        <f t="shared" si="176"/>
        <v>-50991.151571469345</v>
      </c>
      <c r="Y560" s="356">
        <f t="shared" si="161"/>
        <v>50939732.441448905</v>
      </c>
      <c r="AA560" s="357">
        <f>+Bono!J560</f>
        <v>643166.0059076756</v>
      </c>
      <c r="AC560" s="378">
        <f t="shared" si="167"/>
        <v>44.75</v>
      </c>
      <c r="AD560" s="356">
        <f t="shared" si="168"/>
        <v>53010109.24580468</v>
      </c>
    </row>
    <row r="561" spans="2:30" x14ac:dyDescent="0.25">
      <c r="B561" s="356">
        <f t="shared" si="162"/>
        <v>538</v>
      </c>
      <c r="C561" s="357">
        <f t="shared" si="169"/>
        <v>44</v>
      </c>
      <c r="D561" s="357">
        <f t="shared" si="170"/>
        <v>10</v>
      </c>
      <c r="E561" s="357">
        <f t="shared" si="171"/>
        <v>73</v>
      </c>
      <c r="F561" s="356">
        <f t="shared" si="163"/>
        <v>1427210.798448098</v>
      </c>
      <c r="H561" s="356">
        <f t="shared" si="159"/>
        <v>11380.779328473</v>
      </c>
      <c r="I561" s="356">
        <v>0</v>
      </c>
      <c r="J561" s="356">
        <v>0</v>
      </c>
      <c r="K561" s="356">
        <f t="shared" si="164"/>
        <v>-1438.5915777765708</v>
      </c>
      <c r="L561" s="356">
        <f t="shared" si="160"/>
        <v>1437152.9861987943</v>
      </c>
      <c r="N561" s="356">
        <f t="shared" si="165"/>
        <v>538</v>
      </c>
      <c r="O561" s="357">
        <f t="shared" si="172"/>
        <v>44</v>
      </c>
      <c r="P561" s="357">
        <f t="shared" si="173"/>
        <v>10</v>
      </c>
      <c r="Q561" s="357">
        <f t="shared" si="174"/>
        <v>44</v>
      </c>
      <c r="R561" s="356">
        <f t="shared" si="166"/>
        <v>50939732.441448905</v>
      </c>
      <c r="S561" s="356">
        <f>IF($G$4="mensual",S552,IF($G$4="trimestral",S552,0))</f>
        <v>10000</v>
      </c>
      <c r="U561" s="356">
        <f t="shared" si="175"/>
        <v>406280.3213031874</v>
      </c>
      <c r="V561" s="359">
        <f t="shared" ref="V561:V623" si="177">V560</f>
        <v>-427.9784489686147</v>
      </c>
      <c r="X561" s="359">
        <f t="shared" si="176"/>
        <v>-51356.01276275209</v>
      </c>
      <c r="Y561" s="356">
        <f t="shared" si="161"/>
        <v>51304228.771540366</v>
      </c>
      <c r="AA561" s="357">
        <f>+Bono!J561</f>
        <v>647153.7097469423</v>
      </c>
      <c r="AC561" s="378">
        <f t="shared" si="167"/>
        <v>44.833333333333336</v>
      </c>
      <c r="AD561" s="356">
        <f t="shared" si="168"/>
        <v>53388535.467486106</v>
      </c>
    </row>
    <row r="562" spans="2:30" x14ac:dyDescent="0.25">
      <c r="B562" s="356">
        <f t="shared" si="162"/>
        <v>539</v>
      </c>
      <c r="C562" s="357">
        <f t="shared" si="169"/>
        <v>44</v>
      </c>
      <c r="D562" s="357">
        <f t="shared" si="170"/>
        <v>11</v>
      </c>
      <c r="E562" s="357">
        <f t="shared" si="171"/>
        <v>73</v>
      </c>
      <c r="F562" s="356">
        <f t="shared" si="163"/>
        <v>1437152.9861987943</v>
      </c>
      <c r="H562" s="356">
        <f t="shared" si="159"/>
        <v>11460.05972976758</v>
      </c>
      <c r="I562" s="356">
        <v>0</v>
      </c>
      <c r="J562" s="356">
        <v>0</v>
      </c>
      <c r="K562" s="356">
        <f t="shared" si="164"/>
        <v>-1448.6130459285619</v>
      </c>
      <c r="L562" s="356">
        <f t="shared" si="160"/>
        <v>1447164.4328826333</v>
      </c>
      <c r="N562" s="356">
        <f t="shared" si="165"/>
        <v>539</v>
      </c>
      <c r="O562" s="357">
        <f t="shared" si="172"/>
        <v>44</v>
      </c>
      <c r="P562" s="357">
        <f t="shared" si="173"/>
        <v>11</v>
      </c>
      <c r="Q562" s="357">
        <f t="shared" si="174"/>
        <v>44</v>
      </c>
      <c r="R562" s="356">
        <f t="shared" si="166"/>
        <v>51304228.771540366</v>
      </c>
      <c r="S562" s="356">
        <f>IF($G$17="si",S550*(1+$G$20),S550)</f>
        <v>10000</v>
      </c>
      <c r="U562" s="356">
        <f t="shared" si="175"/>
        <v>409186.86622515676</v>
      </c>
      <c r="V562" s="359">
        <f t="shared" si="177"/>
        <v>-427.9784489686147</v>
      </c>
      <c r="X562" s="359">
        <f t="shared" si="176"/>
        <v>-51723.41563776552</v>
      </c>
      <c r="Y562" s="356">
        <f t="shared" si="161"/>
        <v>51671264.24367878</v>
      </c>
      <c r="AA562" s="357">
        <f>+Bono!J562</f>
        <v>651166.1378125575</v>
      </c>
      <c r="AC562" s="378">
        <f t="shared" si="167"/>
        <v>44.916666666666664</v>
      </c>
      <c r="AD562" s="356">
        <f t="shared" si="168"/>
        <v>53769594.81437397</v>
      </c>
    </row>
    <row r="563" spans="2:30" x14ac:dyDescent="0.25">
      <c r="B563" s="356">
        <f t="shared" si="162"/>
        <v>540</v>
      </c>
      <c r="C563" s="357">
        <f t="shared" si="169"/>
        <v>44</v>
      </c>
      <c r="D563" s="357">
        <f t="shared" si="170"/>
        <v>12</v>
      </c>
      <c r="E563" s="357">
        <f t="shared" si="171"/>
        <v>73</v>
      </c>
      <c r="F563" s="356">
        <f t="shared" si="163"/>
        <v>1447164.4328826333</v>
      </c>
      <c r="H563" s="356">
        <f t="shared" si="159"/>
        <v>11539.892411520994</v>
      </c>
      <c r="I563" s="356">
        <v>0</v>
      </c>
      <c r="J563" s="360">
        <f>-SUM(F563:H563)*$J$21</f>
        <v>-13128.33892764739</v>
      </c>
      <c r="K563" s="356">
        <f t="shared" si="164"/>
        <v>-1445.5759863665069</v>
      </c>
      <c r="L563" s="356">
        <f t="shared" si="160"/>
        <v>1444130.4103801404</v>
      </c>
      <c r="N563" s="356">
        <f t="shared" si="165"/>
        <v>540</v>
      </c>
      <c r="O563" s="357">
        <f t="shared" si="172"/>
        <v>44</v>
      </c>
      <c r="P563" s="357">
        <f t="shared" si="173"/>
        <v>12</v>
      </c>
      <c r="Q563" s="357">
        <f t="shared" si="174"/>
        <v>44</v>
      </c>
      <c r="R563" s="356">
        <f t="shared" si="166"/>
        <v>51671264.24367878</v>
      </c>
      <c r="S563" s="356">
        <f>IF($G$4="mensual",S562,0)</f>
        <v>10000</v>
      </c>
      <c r="U563" s="356">
        <f t="shared" si="175"/>
        <v>412113.6586223775</v>
      </c>
      <c r="V563" s="359">
        <f t="shared" si="177"/>
        <v>-427.9784489686147</v>
      </c>
      <c r="X563" s="359">
        <f t="shared" si="176"/>
        <v>-52093.37790230116</v>
      </c>
      <c r="Y563" s="356">
        <f t="shared" si="161"/>
        <v>52040856.545949884</v>
      </c>
      <c r="AA563" s="357">
        <f>+Bono!J563</f>
        <v>649300.7096732898</v>
      </c>
      <c r="AC563" s="378">
        <f t="shared" si="167"/>
        <v>45</v>
      </c>
      <c r="AD563" s="356">
        <f t="shared" si="168"/>
        <v>54134287.66600332</v>
      </c>
    </row>
    <row r="564" spans="2:30" x14ac:dyDescent="0.25">
      <c r="B564" s="356">
        <f t="shared" si="162"/>
        <v>541</v>
      </c>
      <c r="C564" s="357">
        <f t="shared" si="169"/>
        <v>45</v>
      </c>
      <c r="D564" s="357">
        <f t="shared" si="170"/>
        <v>1</v>
      </c>
      <c r="E564" s="357">
        <f t="shared" si="171"/>
        <v>74</v>
      </c>
      <c r="F564" s="356">
        <f t="shared" si="163"/>
        <v>1444130.4103801404</v>
      </c>
      <c r="H564" s="356">
        <f t="shared" si="159"/>
        <v>11515.698690021662</v>
      </c>
      <c r="I564" s="356">
        <v>0</v>
      </c>
      <c r="J564" s="356">
        <v>0</v>
      </c>
      <c r="K564" s="356">
        <f t="shared" si="164"/>
        <v>-1455.646109070162</v>
      </c>
      <c r="L564" s="356">
        <f t="shared" si="160"/>
        <v>1454190.462961092</v>
      </c>
      <c r="N564" s="356">
        <f t="shared" si="165"/>
        <v>541</v>
      </c>
      <c r="O564" s="357">
        <f t="shared" si="172"/>
        <v>45</v>
      </c>
      <c r="P564" s="357">
        <f t="shared" si="173"/>
        <v>1</v>
      </c>
      <c r="Q564" s="357">
        <f t="shared" si="174"/>
        <v>45</v>
      </c>
      <c r="R564" s="356">
        <f t="shared" si="166"/>
        <v>52040856.545949884</v>
      </c>
      <c r="S564" s="356">
        <f>IF($G$17="si",S552*(1+$G$20),S552)</f>
        <v>10000</v>
      </c>
      <c r="U564" s="356">
        <f t="shared" si="175"/>
        <v>415060.83954212914</v>
      </c>
      <c r="V564" s="359">
        <f>(V563*(1+$G$18))</f>
        <v>-445.0975869273593</v>
      </c>
      <c r="X564" s="359">
        <f t="shared" si="176"/>
        <v>-52465.917385492015</v>
      </c>
      <c r="Y564" s="356">
        <f t="shared" si="161"/>
        <v>52413006.37051959</v>
      </c>
      <c r="AA564" s="357">
        <f>+Bono!J564</f>
        <v>653326.4493874848</v>
      </c>
      <c r="AC564" s="378">
        <f t="shared" si="167"/>
        <v>45.083333333333336</v>
      </c>
      <c r="AD564" s="356">
        <f t="shared" si="168"/>
        <v>54520523.28286817</v>
      </c>
    </row>
    <row r="565" spans="2:30" x14ac:dyDescent="0.25">
      <c r="B565" s="356">
        <f t="shared" si="162"/>
        <v>542</v>
      </c>
      <c r="C565" s="357">
        <f t="shared" si="169"/>
        <v>45</v>
      </c>
      <c r="D565" s="357">
        <f t="shared" si="170"/>
        <v>2</v>
      </c>
      <c r="E565" s="357">
        <f t="shared" si="171"/>
        <v>74</v>
      </c>
      <c r="F565" s="356">
        <f t="shared" si="163"/>
        <v>1454190.462961092</v>
      </c>
      <c r="H565" s="356">
        <f t="shared" si="159"/>
        <v>11595.918962024325</v>
      </c>
      <c r="I565" s="356">
        <v>0</v>
      </c>
      <c r="J565" s="356">
        <v>0</v>
      </c>
      <c r="K565" s="356">
        <f t="shared" si="164"/>
        <v>-1465.7863819231163</v>
      </c>
      <c r="L565" s="356">
        <f t="shared" si="160"/>
        <v>1464320.5955411931</v>
      </c>
      <c r="N565" s="356">
        <f t="shared" si="165"/>
        <v>542</v>
      </c>
      <c r="O565" s="357">
        <f t="shared" si="172"/>
        <v>45</v>
      </c>
      <c r="P565" s="357">
        <f t="shared" si="173"/>
        <v>2</v>
      </c>
      <c r="Q565" s="357">
        <f t="shared" si="174"/>
        <v>45</v>
      </c>
      <c r="R565" s="356">
        <f t="shared" si="166"/>
        <v>52413006.37051959</v>
      </c>
      <c r="S565" s="356">
        <f>IF($G$4="mensual",S564,0)</f>
        <v>10000</v>
      </c>
      <c r="U565" s="356">
        <f t="shared" si="175"/>
        <v>418028.41450383986</v>
      </c>
      <c r="V565" s="359">
        <f t="shared" si="177"/>
        <v>-445.0975869273593</v>
      </c>
      <c r="X565" s="359">
        <f t="shared" si="176"/>
        <v>-52841.03478502344</v>
      </c>
      <c r="Y565" s="356">
        <f t="shared" si="161"/>
        <v>52787748.65265148</v>
      </c>
      <c r="AA565" s="357">
        <f>+Bono!J565</f>
        <v>657377.1491548648</v>
      </c>
      <c r="AC565" s="378">
        <f t="shared" si="167"/>
        <v>45.166666666666664</v>
      </c>
      <c r="AD565" s="356">
        <f t="shared" si="168"/>
        <v>54909446.39734754</v>
      </c>
    </row>
    <row r="566" spans="2:30" x14ac:dyDescent="0.25">
      <c r="B566" s="356">
        <f t="shared" si="162"/>
        <v>543</v>
      </c>
      <c r="C566" s="357">
        <f t="shared" si="169"/>
        <v>45</v>
      </c>
      <c r="D566" s="357">
        <f t="shared" si="170"/>
        <v>3</v>
      </c>
      <c r="E566" s="357">
        <f t="shared" si="171"/>
        <v>74</v>
      </c>
      <c r="F566" s="356">
        <f t="shared" si="163"/>
        <v>1464320.5955411931</v>
      </c>
      <c r="H566" s="356">
        <f t="shared" si="159"/>
        <v>11676.698061781466</v>
      </c>
      <c r="I566" s="356">
        <v>0</v>
      </c>
      <c r="J566" s="360">
        <f>-SUM(F566:H566)*$J$21</f>
        <v>-13283.975642426773</v>
      </c>
      <c r="K566" s="356">
        <f t="shared" si="164"/>
        <v>-1462.7133179605478</v>
      </c>
      <c r="L566" s="356">
        <f t="shared" si="160"/>
        <v>1461250.6046425872</v>
      </c>
      <c r="N566" s="356">
        <f t="shared" si="165"/>
        <v>543</v>
      </c>
      <c r="O566" s="357">
        <f t="shared" si="172"/>
        <v>45</v>
      </c>
      <c r="P566" s="357">
        <f t="shared" si="173"/>
        <v>3</v>
      </c>
      <c r="Q566" s="357">
        <f t="shared" si="174"/>
        <v>45</v>
      </c>
      <c r="R566" s="356">
        <f t="shared" si="166"/>
        <v>52787748.65265148</v>
      </c>
      <c r="S566" s="356">
        <f>IF($G$4="mensual",S565,0)</f>
        <v>10000</v>
      </c>
      <c r="U566" s="356">
        <f t="shared" si="175"/>
        <v>421016.6620862074</v>
      </c>
      <c r="V566" s="359">
        <f t="shared" si="177"/>
        <v>-445.0975869273593</v>
      </c>
      <c r="X566" s="359">
        <f t="shared" si="176"/>
        <v>-53218.76531473769</v>
      </c>
      <c r="Y566" s="356">
        <f t="shared" si="161"/>
        <v>53165101.45183603</v>
      </c>
      <c r="AA566" s="357">
        <f>+Bono!J566</f>
        <v>655493.9280213695</v>
      </c>
      <c r="AC566" s="378">
        <f t="shared" si="167"/>
        <v>45.25</v>
      </c>
      <c r="AD566" s="356">
        <f t="shared" si="168"/>
        <v>55281845.98449998</v>
      </c>
    </row>
    <row r="567" spans="2:30" x14ac:dyDescent="0.25">
      <c r="B567" s="356">
        <f t="shared" si="162"/>
        <v>544</v>
      </c>
      <c r="C567" s="357">
        <f t="shared" si="169"/>
        <v>45</v>
      </c>
      <c r="D567" s="357">
        <f t="shared" si="170"/>
        <v>4</v>
      </c>
      <c r="E567" s="357">
        <f t="shared" si="171"/>
        <v>74</v>
      </c>
      <c r="F567" s="356">
        <f t="shared" si="163"/>
        <v>1461250.6046425872</v>
      </c>
      <c r="H567" s="356">
        <f t="shared" si="159"/>
        <v>11652.217523240526</v>
      </c>
      <c r="I567" s="356">
        <v>0</v>
      </c>
      <c r="J567" s="356">
        <v>0</v>
      </c>
      <c r="K567" s="356">
        <f t="shared" si="164"/>
        <v>-1472.9028221658277</v>
      </c>
      <c r="L567" s="356">
        <f t="shared" si="160"/>
        <v>1471429.919343662</v>
      </c>
      <c r="N567" s="356">
        <f t="shared" si="165"/>
        <v>544</v>
      </c>
      <c r="O567" s="357">
        <f t="shared" si="172"/>
        <v>45</v>
      </c>
      <c r="P567" s="357">
        <f t="shared" si="173"/>
        <v>4</v>
      </c>
      <c r="Q567" s="357">
        <f t="shared" si="174"/>
        <v>45</v>
      </c>
      <c r="R567" s="356">
        <f t="shared" si="166"/>
        <v>53165101.45183603</v>
      </c>
      <c r="S567" s="356">
        <f>IF($G$4="mensual",S564,IF($G$4="trimestral",S564,0))</f>
        <v>10000</v>
      </c>
      <c r="U567" s="356">
        <f t="shared" si="175"/>
        <v>424025.7262981449</v>
      </c>
      <c r="V567" s="359">
        <f t="shared" si="177"/>
        <v>-445.0975869273593</v>
      </c>
      <c r="X567" s="359">
        <f t="shared" si="176"/>
        <v>-53599.12717813417</v>
      </c>
      <c r="Y567" s="356">
        <f t="shared" si="161"/>
        <v>53545082.95336911</v>
      </c>
      <c r="AA567" s="357">
        <f>+Bono!J567</f>
        <v>659558.0664076916</v>
      </c>
      <c r="AC567" s="378">
        <f t="shared" si="167"/>
        <v>45.333333333333336</v>
      </c>
      <c r="AD567" s="356">
        <f t="shared" si="168"/>
        <v>55676070.939120464</v>
      </c>
    </row>
    <row r="568" spans="2:30" x14ac:dyDescent="0.25">
      <c r="B568" s="356">
        <f t="shared" si="162"/>
        <v>545</v>
      </c>
      <c r="C568" s="357">
        <f t="shared" si="169"/>
        <v>45</v>
      </c>
      <c r="D568" s="357">
        <f t="shared" si="170"/>
        <v>5</v>
      </c>
      <c r="E568" s="357">
        <f t="shared" si="171"/>
        <v>74</v>
      </c>
      <c r="F568" s="356">
        <f t="shared" si="163"/>
        <v>1471429.919343662</v>
      </c>
      <c r="H568" s="356">
        <f t="shared" si="159"/>
        <v>11733.3888081369</v>
      </c>
      <c r="I568" s="356">
        <v>0</v>
      </c>
      <c r="J568" s="356">
        <v>0</v>
      </c>
      <c r="K568" s="356">
        <f t="shared" si="164"/>
        <v>-1483.163308151799</v>
      </c>
      <c r="L568" s="356">
        <f t="shared" si="160"/>
        <v>1481680.144843647</v>
      </c>
      <c r="N568" s="356">
        <f t="shared" si="165"/>
        <v>545</v>
      </c>
      <c r="O568" s="357">
        <f t="shared" si="172"/>
        <v>45</v>
      </c>
      <c r="P568" s="357">
        <f t="shared" si="173"/>
        <v>5</v>
      </c>
      <c r="Q568" s="357">
        <f t="shared" si="174"/>
        <v>45</v>
      </c>
      <c r="R568" s="356">
        <f t="shared" si="166"/>
        <v>53545082.95336911</v>
      </c>
      <c r="S568" s="356">
        <f>IF($G$4="mensual",S567,0)</f>
        <v>10000</v>
      </c>
      <c r="U568" s="356">
        <f t="shared" si="175"/>
        <v>427055.75215175544</v>
      </c>
      <c r="V568" s="359">
        <f t="shared" si="177"/>
        <v>-445.0975869273593</v>
      </c>
      <c r="X568" s="359">
        <f t="shared" si="176"/>
        <v>-53982.13870552087</v>
      </c>
      <c r="Y568" s="356">
        <f t="shared" si="161"/>
        <v>53927711.46922842</v>
      </c>
      <c r="AA568" s="357">
        <f>+Bono!J568</f>
        <v>663647.4029234197</v>
      </c>
      <c r="AC568" s="378">
        <f t="shared" si="167"/>
        <v>45.416666666666664</v>
      </c>
      <c r="AD568" s="356">
        <f t="shared" si="168"/>
        <v>56073039.01699548</v>
      </c>
    </row>
    <row r="569" spans="2:30" x14ac:dyDescent="0.25">
      <c r="B569" s="356">
        <f t="shared" si="162"/>
        <v>546</v>
      </c>
      <c r="C569" s="357">
        <f t="shared" si="169"/>
        <v>45</v>
      </c>
      <c r="D569" s="357">
        <f t="shared" si="170"/>
        <v>6</v>
      </c>
      <c r="E569" s="357">
        <f t="shared" si="171"/>
        <v>74</v>
      </c>
      <c r="F569" s="356">
        <f t="shared" si="163"/>
        <v>1481680.144843647</v>
      </c>
      <c r="H569" s="356">
        <f t="shared" si="159"/>
        <v>11815.12554570171</v>
      </c>
      <c r="I569" s="356">
        <v>0</v>
      </c>
      <c r="J569" s="360">
        <f>-SUM(F569:H569)*$J$21</f>
        <v>-13441.45743350414</v>
      </c>
      <c r="K569" s="356">
        <f t="shared" si="164"/>
        <v>-1480.0538129558447</v>
      </c>
      <c r="L569" s="356">
        <f t="shared" si="160"/>
        <v>1478573.759142889</v>
      </c>
      <c r="N569" s="356">
        <f t="shared" si="165"/>
        <v>546</v>
      </c>
      <c r="O569" s="357">
        <f t="shared" si="172"/>
        <v>45</v>
      </c>
      <c r="P569" s="357">
        <f t="shared" si="173"/>
        <v>6</v>
      </c>
      <c r="Q569" s="357">
        <f t="shared" si="174"/>
        <v>45</v>
      </c>
      <c r="R569" s="356">
        <f t="shared" si="166"/>
        <v>53927711.46922842</v>
      </c>
      <c r="S569" s="356">
        <f>IF($G$4="mensual",S568,0)</f>
        <v>10000</v>
      </c>
      <c r="U569" s="356">
        <f t="shared" si="175"/>
        <v>430106.8856693206</v>
      </c>
      <c r="V569" s="359">
        <f t="shared" si="177"/>
        <v>-445.0975869273593</v>
      </c>
      <c r="X569" s="359">
        <f t="shared" si="176"/>
        <v>-54367.81835489774</v>
      </c>
      <c r="Y569" s="356">
        <f t="shared" si="161"/>
        <v>54313005.43895591</v>
      </c>
      <c r="AA569" s="357">
        <f>+Bono!J569</f>
        <v>661746.2190809612</v>
      </c>
      <c r="AC569" s="378">
        <f t="shared" si="167"/>
        <v>45.5</v>
      </c>
      <c r="AD569" s="356">
        <f t="shared" si="168"/>
        <v>56453325.41717976</v>
      </c>
    </row>
    <row r="570" spans="2:30" x14ac:dyDescent="0.25">
      <c r="B570" s="356">
        <f t="shared" si="162"/>
        <v>547</v>
      </c>
      <c r="C570" s="357">
        <f t="shared" si="169"/>
        <v>45</v>
      </c>
      <c r="D570" s="357">
        <f t="shared" si="170"/>
        <v>7</v>
      </c>
      <c r="E570" s="357">
        <f t="shared" si="171"/>
        <v>74</v>
      </c>
      <c r="F570" s="356">
        <f t="shared" si="163"/>
        <v>1478573.759142889</v>
      </c>
      <c r="H570" s="356">
        <f t="shared" si="159"/>
        <v>11790.354789897527</v>
      </c>
      <c r="I570" s="356">
        <v>0</v>
      </c>
      <c r="J570" s="356">
        <v>0</v>
      </c>
      <c r="K570" s="356">
        <f t="shared" si="164"/>
        <v>-1490.3641139327865</v>
      </c>
      <c r="L570" s="356">
        <f t="shared" si="160"/>
        <v>1488873.7498188538</v>
      </c>
      <c r="N570" s="356">
        <f t="shared" si="165"/>
        <v>547</v>
      </c>
      <c r="O570" s="357">
        <f t="shared" si="172"/>
        <v>45</v>
      </c>
      <c r="P570" s="357">
        <f t="shared" si="173"/>
        <v>7</v>
      </c>
      <c r="Q570" s="357">
        <f t="shared" si="174"/>
        <v>45</v>
      </c>
      <c r="R570" s="356">
        <f t="shared" si="166"/>
        <v>54313005.43895591</v>
      </c>
      <c r="S570" s="356">
        <f>+IF($G$4="mensual",S564,IF($G$4="trimestral",S564,IF($G$4="semestral",S564,0)))</f>
        <v>10000</v>
      </c>
      <c r="U570" s="356">
        <f t="shared" si="175"/>
        <v>433179.2738903374</v>
      </c>
      <c r="V570" s="359">
        <f t="shared" si="177"/>
        <v>-445.0975869273593</v>
      </c>
      <c r="X570" s="359">
        <f t="shared" si="176"/>
        <v>-54756.184712846254</v>
      </c>
      <c r="Y570" s="356">
        <f t="shared" si="161"/>
        <v>54700983.43054647</v>
      </c>
      <c r="AA570" s="357">
        <f>+Bono!J570</f>
        <v>665849.1223970735</v>
      </c>
      <c r="AC570" s="378">
        <f t="shared" si="167"/>
        <v>45.583333333333336</v>
      </c>
      <c r="AD570" s="356">
        <f t="shared" si="168"/>
        <v>56855706.3027624</v>
      </c>
    </row>
    <row r="571" spans="2:30" x14ac:dyDescent="0.25">
      <c r="B571" s="356">
        <f t="shared" si="162"/>
        <v>548</v>
      </c>
      <c r="C571" s="357">
        <f t="shared" si="169"/>
        <v>45</v>
      </c>
      <c r="D571" s="357">
        <f t="shared" si="170"/>
        <v>8</v>
      </c>
      <c r="E571" s="357">
        <f t="shared" si="171"/>
        <v>74</v>
      </c>
      <c r="F571" s="356">
        <f t="shared" si="163"/>
        <v>1488873.7498188538</v>
      </c>
      <c r="H571" s="356">
        <f t="shared" si="159"/>
        <v>11872.488361964071</v>
      </c>
      <c r="I571" s="356">
        <v>0</v>
      </c>
      <c r="J571" s="356">
        <v>0</v>
      </c>
      <c r="K571" s="356">
        <f t="shared" si="164"/>
        <v>-1500.7462381808177</v>
      </c>
      <c r="L571" s="356">
        <f t="shared" si="160"/>
        <v>1499245.491942637</v>
      </c>
      <c r="N571" s="356">
        <f t="shared" si="165"/>
        <v>548</v>
      </c>
      <c r="O571" s="357">
        <f t="shared" si="172"/>
        <v>45</v>
      </c>
      <c r="P571" s="357">
        <f t="shared" si="173"/>
        <v>8</v>
      </c>
      <c r="Q571" s="357">
        <f t="shared" si="174"/>
        <v>45</v>
      </c>
      <c r="R571" s="356">
        <f t="shared" si="166"/>
        <v>54700983.43054647</v>
      </c>
      <c r="S571" s="356">
        <f>IF($G$4="mensual",S570,0)</f>
        <v>10000</v>
      </c>
      <c r="U571" s="356">
        <f t="shared" si="175"/>
        <v>436273.06487860455</v>
      </c>
      <c r="V571" s="359">
        <f t="shared" si="177"/>
        <v>-445.0975869273593</v>
      </c>
      <c r="X571" s="359">
        <f t="shared" si="176"/>
        <v>-55147.25649542508</v>
      </c>
      <c r="Y571" s="356">
        <f t="shared" si="161"/>
        <v>55091664.14134272</v>
      </c>
      <c r="AA571" s="357">
        <f>+Bono!J571</f>
        <v>669977.4641896532</v>
      </c>
      <c r="AC571" s="378">
        <f t="shared" si="167"/>
        <v>45.666666666666664</v>
      </c>
      <c r="AD571" s="356">
        <f t="shared" si="168"/>
        <v>57260887.097475015</v>
      </c>
    </row>
    <row r="572" spans="2:30" x14ac:dyDescent="0.25">
      <c r="B572" s="356">
        <f t="shared" si="162"/>
        <v>549</v>
      </c>
      <c r="C572" s="357">
        <f t="shared" si="169"/>
        <v>45</v>
      </c>
      <c r="D572" s="357">
        <f t="shared" si="170"/>
        <v>9</v>
      </c>
      <c r="E572" s="357">
        <f t="shared" si="171"/>
        <v>74</v>
      </c>
      <c r="F572" s="356">
        <f t="shared" si="163"/>
        <v>1499245.491942637</v>
      </c>
      <c r="H572" s="356">
        <f t="shared" si="159"/>
        <v>11955.194090151494</v>
      </c>
      <c r="I572" s="356">
        <v>0</v>
      </c>
      <c r="J572" s="360">
        <f>-SUM(F572:H572)*$J$21</f>
        <v>-13600.806174295098</v>
      </c>
      <c r="K572" s="356">
        <f t="shared" si="164"/>
        <v>-1497.5998798584933</v>
      </c>
      <c r="L572" s="356">
        <f t="shared" si="160"/>
        <v>1496102.2799786348</v>
      </c>
      <c r="N572" s="356">
        <f t="shared" si="165"/>
        <v>549</v>
      </c>
      <c r="O572" s="357">
        <f t="shared" si="172"/>
        <v>45</v>
      </c>
      <c r="P572" s="357">
        <f t="shared" si="173"/>
        <v>9</v>
      </c>
      <c r="Q572" s="357">
        <f t="shared" si="174"/>
        <v>45</v>
      </c>
      <c r="R572" s="356">
        <f t="shared" si="166"/>
        <v>55091664.14134272</v>
      </c>
      <c r="S572" s="356">
        <f>IF($G$4="mensual",S571,0)</f>
        <v>10000</v>
      </c>
      <c r="U572" s="356">
        <f t="shared" si="175"/>
        <v>439388.40772935783</v>
      </c>
      <c r="V572" s="359">
        <f t="shared" si="177"/>
        <v>-445.0975869273593</v>
      </c>
      <c r="X572" s="359">
        <f t="shared" si="176"/>
        <v>-55541.05254907208</v>
      </c>
      <c r="Y572" s="356">
        <f t="shared" si="161"/>
        <v>55485066.39893608</v>
      </c>
      <c r="AA572" s="357">
        <f>+Bono!J572</f>
        <v>668058.1463047074</v>
      </c>
      <c r="AC572" s="378">
        <f t="shared" si="167"/>
        <v>45.75</v>
      </c>
      <c r="AD572" s="356">
        <f t="shared" si="168"/>
        <v>57649226.825219415</v>
      </c>
    </row>
    <row r="573" spans="2:30" x14ac:dyDescent="0.25">
      <c r="B573" s="356">
        <f t="shared" si="162"/>
        <v>550</v>
      </c>
      <c r="C573" s="357">
        <f t="shared" si="169"/>
        <v>45</v>
      </c>
      <c r="D573" s="357">
        <f t="shared" si="170"/>
        <v>10</v>
      </c>
      <c r="E573" s="357">
        <f t="shared" si="171"/>
        <v>74</v>
      </c>
      <c r="F573" s="356">
        <f t="shared" si="163"/>
        <v>1496102.2799786348</v>
      </c>
      <c r="H573" s="356">
        <f t="shared" si="159"/>
        <v>11930.129676552731</v>
      </c>
      <c r="I573" s="356">
        <v>0</v>
      </c>
      <c r="J573" s="356">
        <v>0</v>
      </c>
      <c r="K573" s="356">
        <f t="shared" si="164"/>
        <v>-1508.0324096551876</v>
      </c>
      <c r="L573" s="356">
        <f t="shared" si="160"/>
        <v>1506524.3772455323</v>
      </c>
      <c r="N573" s="356">
        <f t="shared" si="165"/>
        <v>550</v>
      </c>
      <c r="O573" s="357">
        <f t="shared" si="172"/>
        <v>45</v>
      </c>
      <c r="P573" s="357">
        <f t="shared" si="173"/>
        <v>10</v>
      </c>
      <c r="Q573" s="357">
        <f t="shared" si="174"/>
        <v>45</v>
      </c>
      <c r="R573" s="356">
        <f t="shared" si="166"/>
        <v>55485066.39893608</v>
      </c>
      <c r="S573" s="356">
        <f>IF($G$4="mensual",S564,IF($G$4="trimestral",S564,0))</f>
        <v>10000</v>
      </c>
      <c r="U573" s="356">
        <f t="shared" si="175"/>
        <v>442525.452576455</v>
      </c>
      <c r="V573" s="359">
        <f t="shared" si="177"/>
        <v>-445.0975869273593</v>
      </c>
      <c r="X573" s="359">
        <f t="shared" si="176"/>
        <v>-55937.59185151254</v>
      </c>
      <c r="Y573" s="356">
        <f t="shared" si="161"/>
        <v>55881209.1620741</v>
      </c>
      <c r="AA573" s="357">
        <f>+Bono!J573</f>
        <v>672200.1843017453</v>
      </c>
      <c r="AC573" s="378">
        <f t="shared" si="167"/>
        <v>45.833333333333336</v>
      </c>
      <c r="AD573" s="356">
        <f t="shared" si="168"/>
        <v>58059933.723621376</v>
      </c>
    </row>
    <row r="574" spans="2:30" x14ac:dyDescent="0.25">
      <c r="B574" s="356">
        <f t="shared" si="162"/>
        <v>551</v>
      </c>
      <c r="C574" s="357">
        <f t="shared" si="169"/>
        <v>45</v>
      </c>
      <c r="D574" s="357">
        <f t="shared" si="170"/>
        <v>11</v>
      </c>
      <c r="E574" s="357">
        <f t="shared" si="171"/>
        <v>74</v>
      </c>
      <c r="F574" s="356">
        <f t="shared" si="163"/>
        <v>1506524.3772455323</v>
      </c>
      <c r="H574" s="356">
        <f t="shared" si="159"/>
        <v>12013.236943722666</v>
      </c>
      <c r="I574" s="356">
        <v>0</v>
      </c>
      <c r="J574" s="356">
        <v>0</v>
      </c>
      <c r="K574" s="356">
        <f t="shared" si="164"/>
        <v>-1518.537614189255</v>
      </c>
      <c r="L574" s="356">
        <f t="shared" si="160"/>
        <v>1517019.0765750657</v>
      </c>
      <c r="N574" s="356">
        <f t="shared" si="165"/>
        <v>551</v>
      </c>
      <c r="O574" s="357">
        <f t="shared" si="172"/>
        <v>45</v>
      </c>
      <c r="P574" s="357">
        <f t="shared" si="173"/>
        <v>11</v>
      </c>
      <c r="Q574" s="357">
        <f t="shared" si="174"/>
        <v>45</v>
      </c>
      <c r="R574" s="356">
        <f t="shared" si="166"/>
        <v>55881209.1620741</v>
      </c>
      <c r="S574" s="356">
        <f>IF($G$17="si",S562*(1+$G$20),S562)</f>
        <v>10000</v>
      </c>
      <c r="U574" s="356">
        <f t="shared" si="175"/>
        <v>445684.3505996115</v>
      </c>
      <c r="V574" s="359">
        <f t="shared" si="177"/>
        <v>-445.0975869273593</v>
      </c>
      <c r="X574" s="359">
        <f t="shared" si="176"/>
        <v>-56336.893512673705</v>
      </c>
      <c r="Y574" s="356">
        <f t="shared" si="161"/>
        <v>56280111.5215741</v>
      </c>
      <c r="AA574" s="357">
        <f>+Bono!J574</f>
        <v>676367.9034148115</v>
      </c>
      <c r="AC574" s="378">
        <f t="shared" si="167"/>
        <v>45.916666666666664</v>
      </c>
      <c r="AD574" s="356">
        <f t="shared" si="168"/>
        <v>58473498.50156397</v>
      </c>
    </row>
    <row r="575" spans="2:30" x14ac:dyDescent="0.25">
      <c r="B575" s="356">
        <f t="shared" si="162"/>
        <v>552</v>
      </c>
      <c r="C575" s="357">
        <f t="shared" si="169"/>
        <v>45</v>
      </c>
      <c r="D575" s="357">
        <f t="shared" si="170"/>
        <v>12</v>
      </c>
      <c r="E575" s="357">
        <f t="shared" si="171"/>
        <v>74</v>
      </c>
      <c r="F575" s="356">
        <f t="shared" si="163"/>
        <v>1517019.0765750657</v>
      </c>
      <c r="H575" s="356">
        <f t="shared" si="159"/>
        <v>12096.923149935486</v>
      </c>
      <c r="I575" s="356">
        <v>0</v>
      </c>
      <c r="J575" s="360">
        <f>-SUM(F575:H575)*$J$21</f>
        <v>-13762.043997525012</v>
      </c>
      <c r="K575" s="356">
        <f t="shared" si="164"/>
        <v>-1515.3539557274762</v>
      </c>
      <c r="L575" s="356">
        <f t="shared" si="160"/>
        <v>1513838.6017717486</v>
      </c>
      <c r="N575" s="356">
        <f t="shared" si="165"/>
        <v>552</v>
      </c>
      <c r="O575" s="357">
        <f t="shared" si="172"/>
        <v>45</v>
      </c>
      <c r="P575" s="357">
        <f t="shared" si="173"/>
        <v>12</v>
      </c>
      <c r="Q575" s="357">
        <f t="shared" si="174"/>
        <v>45</v>
      </c>
      <c r="R575" s="356">
        <f t="shared" si="166"/>
        <v>56280111.5215741</v>
      </c>
      <c r="S575" s="356">
        <f>IF($G$4="mensual",S574,0)</f>
        <v>10000</v>
      </c>
      <c r="U575" s="356">
        <f t="shared" si="175"/>
        <v>448865.25403168565</v>
      </c>
      <c r="V575" s="359">
        <f t="shared" si="177"/>
        <v>-445.0975869273593</v>
      </c>
      <c r="X575" s="359">
        <f t="shared" si="176"/>
        <v>-56738.97677560579</v>
      </c>
      <c r="Y575" s="356">
        <f t="shared" si="161"/>
        <v>56681792.70124325</v>
      </c>
      <c r="AA575" s="357">
        <f>+Bono!J575</f>
        <v>674430.2785196257</v>
      </c>
      <c r="AC575" s="378">
        <f t="shared" si="167"/>
        <v>46</v>
      </c>
      <c r="AD575" s="356">
        <f t="shared" si="168"/>
        <v>58870061.581534624</v>
      </c>
    </row>
    <row r="576" spans="2:30" x14ac:dyDescent="0.25">
      <c r="B576" s="356">
        <f t="shared" si="162"/>
        <v>553</v>
      </c>
      <c r="C576" s="357">
        <f t="shared" si="169"/>
        <v>46</v>
      </c>
      <c r="D576" s="357">
        <f t="shared" si="170"/>
        <v>1</v>
      </c>
      <c r="E576" s="357">
        <f t="shared" si="171"/>
        <v>75</v>
      </c>
      <c r="F576" s="356">
        <f t="shared" si="163"/>
        <v>1513838.6017717486</v>
      </c>
      <c r="H576" s="356">
        <f t="shared" si="159"/>
        <v>12071.561597223246</v>
      </c>
      <c r="I576" s="356">
        <v>0</v>
      </c>
      <c r="J576" s="356">
        <v>0</v>
      </c>
      <c r="K576" s="356">
        <f t="shared" si="164"/>
        <v>-1525.9101633689718</v>
      </c>
      <c r="L576" s="356">
        <f t="shared" si="160"/>
        <v>1524384.2532056028</v>
      </c>
      <c r="N576" s="356">
        <f t="shared" si="165"/>
        <v>553</v>
      </c>
      <c r="O576" s="357">
        <f t="shared" si="172"/>
        <v>46</v>
      </c>
      <c r="P576" s="357">
        <f t="shared" si="173"/>
        <v>1</v>
      </c>
      <c r="Q576" s="357">
        <f t="shared" si="174"/>
        <v>46</v>
      </c>
      <c r="R576" s="356">
        <f t="shared" si="166"/>
        <v>56681792.70124325</v>
      </c>
      <c r="S576" s="356">
        <f>IF($G$17="si",S564*(1+$G$20),S564)</f>
        <v>10000</v>
      </c>
      <c r="U576" s="356">
        <f t="shared" si="175"/>
        <v>452068.31616601517</v>
      </c>
      <c r="V576" s="359">
        <f>(V575*(1+$G$18))</f>
        <v>-462.9014904044537</v>
      </c>
      <c r="X576" s="359">
        <f t="shared" si="176"/>
        <v>-57143.86101740927</v>
      </c>
      <c r="Y576" s="356">
        <f t="shared" si="161"/>
        <v>57086254.254901454</v>
      </c>
      <c r="AA576" s="357">
        <f>+Bono!J576</f>
        <v>678611.8244755176</v>
      </c>
      <c r="AC576" s="378">
        <f t="shared" si="167"/>
        <v>46.083333333333336</v>
      </c>
      <c r="AD576" s="356">
        <f t="shared" si="168"/>
        <v>59289250.33258258</v>
      </c>
    </row>
    <row r="577" spans="2:30" x14ac:dyDescent="0.25">
      <c r="B577" s="356">
        <f t="shared" si="162"/>
        <v>554</v>
      </c>
      <c r="C577" s="357">
        <f t="shared" si="169"/>
        <v>46</v>
      </c>
      <c r="D577" s="357">
        <f t="shared" si="170"/>
        <v>2</v>
      </c>
      <c r="E577" s="357">
        <f t="shared" si="171"/>
        <v>75</v>
      </c>
      <c r="F577" s="356">
        <f t="shared" si="163"/>
        <v>1524384.2532056028</v>
      </c>
      <c r="H577" s="356">
        <f t="shared" si="159"/>
        <v>12155.65410267107</v>
      </c>
      <c r="I577" s="356">
        <v>0</v>
      </c>
      <c r="J577" s="356">
        <v>0</v>
      </c>
      <c r="K577" s="356">
        <f t="shared" si="164"/>
        <v>-1536.5399073082738</v>
      </c>
      <c r="L577" s="356">
        <f t="shared" si="160"/>
        <v>1535003.3674009654</v>
      </c>
      <c r="N577" s="356">
        <f t="shared" si="165"/>
        <v>554</v>
      </c>
      <c r="O577" s="357">
        <f t="shared" si="172"/>
        <v>46</v>
      </c>
      <c r="P577" s="357">
        <f t="shared" si="173"/>
        <v>2</v>
      </c>
      <c r="Q577" s="357">
        <f t="shared" si="174"/>
        <v>46</v>
      </c>
      <c r="R577" s="356">
        <f t="shared" si="166"/>
        <v>57086254.254901454</v>
      </c>
      <c r="S577" s="356">
        <f>IF($G$4="mensual",S576,0)</f>
        <v>10000</v>
      </c>
      <c r="U577" s="356">
        <f t="shared" si="175"/>
        <v>455293.54939297825</v>
      </c>
      <c r="V577" s="359">
        <f t="shared" si="177"/>
        <v>-462.9014904044537</v>
      </c>
      <c r="X577" s="359">
        <f t="shared" si="176"/>
        <v>-57551.54780429443</v>
      </c>
      <c r="Y577" s="356">
        <f t="shared" si="161"/>
        <v>57493533.35499973</v>
      </c>
      <c r="AA577" s="357">
        <f>+Bono!J577</f>
        <v>682819.2965013654</v>
      </c>
      <c r="AC577" s="378">
        <f t="shared" si="167"/>
        <v>46.166666666666664</v>
      </c>
      <c r="AD577" s="356">
        <f t="shared" si="168"/>
        <v>59711356.01890206</v>
      </c>
    </row>
    <row r="578" spans="2:30" x14ac:dyDescent="0.25">
      <c r="B578" s="356">
        <f t="shared" si="162"/>
        <v>555</v>
      </c>
      <c r="C578" s="357">
        <f t="shared" si="169"/>
        <v>46</v>
      </c>
      <c r="D578" s="357">
        <f t="shared" si="170"/>
        <v>3</v>
      </c>
      <c r="E578" s="357">
        <f t="shared" si="171"/>
        <v>75</v>
      </c>
      <c r="F578" s="356">
        <f t="shared" si="163"/>
        <v>1535003.3674009654</v>
      </c>
      <c r="H578" s="356">
        <f t="shared" si="159"/>
        <v>12240.332410495457</v>
      </c>
      <c r="I578" s="356">
        <v>0</v>
      </c>
      <c r="J578" s="360">
        <f>-SUM(F578:H578)*$J$21</f>
        <v>-13925.19329830315</v>
      </c>
      <c r="K578" s="356">
        <f t="shared" si="164"/>
        <v>-1533.318506513158</v>
      </c>
      <c r="L578" s="356">
        <f t="shared" si="160"/>
        <v>1531785.1880066446</v>
      </c>
      <c r="N578" s="356">
        <f t="shared" si="165"/>
        <v>555</v>
      </c>
      <c r="O578" s="357">
        <f t="shared" si="172"/>
        <v>46</v>
      </c>
      <c r="P578" s="357">
        <f t="shared" si="173"/>
        <v>3</v>
      </c>
      <c r="Q578" s="357">
        <f t="shared" si="174"/>
        <v>46</v>
      </c>
      <c r="R578" s="356">
        <f t="shared" si="166"/>
        <v>57493533.35499973</v>
      </c>
      <c r="S578" s="356">
        <f>IF($G$4="mensual",S577,0)</f>
        <v>10000</v>
      </c>
      <c r="U578" s="356">
        <f t="shared" si="175"/>
        <v>458541.25013091945</v>
      </c>
      <c r="V578" s="359">
        <f t="shared" si="177"/>
        <v>-462.9014904044537</v>
      </c>
      <c r="X578" s="359">
        <f t="shared" si="176"/>
        <v>-57962.07460513065</v>
      </c>
      <c r="Y578" s="356">
        <f t="shared" si="161"/>
        <v>57903649.629035115</v>
      </c>
      <c r="AA578" s="357">
        <f>+Bono!J578</f>
        <v>680863.1899783703</v>
      </c>
      <c r="AC578" s="378">
        <f t="shared" si="167"/>
        <v>46.25</v>
      </c>
      <c r="AD578" s="356">
        <f t="shared" si="168"/>
        <v>60116298.00702013</v>
      </c>
    </row>
    <row r="579" spans="2:30" x14ac:dyDescent="0.25">
      <c r="B579" s="356">
        <f t="shared" si="162"/>
        <v>556</v>
      </c>
      <c r="C579" s="357">
        <f t="shared" si="169"/>
        <v>46</v>
      </c>
      <c r="D579" s="357">
        <f t="shared" si="170"/>
        <v>4</v>
      </c>
      <c r="E579" s="357">
        <f t="shared" si="171"/>
        <v>75</v>
      </c>
      <c r="F579" s="356">
        <f t="shared" si="163"/>
        <v>1531785.1880066446</v>
      </c>
      <c r="H579" s="356">
        <f t="shared" si="159"/>
        <v>12214.670196079738</v>
      </c>
      <c r="I579" s="356">
        <v>0</v>
      </c>
      <c r="J579" s="356">
        <v>0</v>
      </c>
      <c r="K579" s="356">
        <f t="shared" si="164"/>
        <v>-1543.9998582027242</v>
      </c>
      <c r="L579" s="356">
        <f t="shared" si="160"/>
        <v>1542455.8583445216</v>
      </c>
      <c r="N579" s="356">
        <f t="shared" si="165"/>
        <v>556</v>
      </c>
      <c r="O579" s="357">
        <f t="shared" si="172"/>
        <v>46</v>
      </c>
      <c r="P579" s="357">
        <f t="shared" si="173"/>
        <v>4</v>
      </c>
      <c r="Q579" s="357">
        <f t="shared" si="174"/>
        <v>46</v>
      </c>
      <c r="R579" s="356">
        <f t="shared" si="166"/>
        <v>57903649.629035115</v>
      </c>
      <c r="S579" s="356">
        <f>IF($G$4="mensual",S576,IF($G$4="trimestral",S576,0))</f>
        <v>10000</v>
      </c>
      <c r="U579" s="356">
        <f t="shared" si="175"/>
        <v>461811.5748922564</v>
      </c>
      <c r="V579" s="359">
        <f t="shared" si="177"/>
        <v>-462.9014904044537</v>
      </c>
      <c r="X579" s="359">
        <f t="shared" si="176"/>
        <v>-58375.46120392737</v>
      </c>
      <c r="Y579" s="356">
        <f t="shared" si="161"/>
        <v>58316622.84123304</v>
      </c>
      <c r="AA579" s="357">
        <f>+Bono!J579</f>
        <v>685084.6207314781</v>
      </c>
      <c r="AC579" s="378">
        <f t="shared" si="167"/>
        <v>46.333333333333336</v>
      </c>
      <c r="AD579" s="356">
        <f t="shared" si="168"/>
        <v>60544163.32030904</v>
      </c>
    </row>
    <row r="580" spans="2:30" x14ac:dyDescent="0.25">
      <c r="B580" s="356">
        <f t="shared" si="162"/>
        <v>557</v>
      </c>
      <c r="C580" s="357">
        <f t="shared" si="169"/>
        <v>46</v>
      </c>
      <c r="D580" s="357">
        <f t="shared" si="170"/>
        <v>5</v>
      </c>
      <c r="E580" s="357">
        <f t="shared" si="171"/>
        <v>75</v>
      </c>
      <c r="F580" s="356">
        <f t="shared" si="163"/>
        <v>1542455.8583445216</v>
      </c>
      <c r="H580" s="356">
        <f t="shared" si="159"/>
        <v>12299.759619824508</v>
      </c>
      <c r="I580" s="356">
        <v>0</v>
      </c>
      <c r="J580" s="356">
        <v>0</v>
      </c>
      <c r="K580" s="356">
        <f t="shared" si="164"/>
        <v>-1554.7556179643461</v>
      </c>
      <c r="L580" s="356">
        <f t="shared" si="160"/>
        <v>1553200.8623463819</v>
      </c>
      <c r="N580" s="356">
        <f t="shared" si="165"/>
        <v>557</v>
      </c>
      <c r="O580" s="357">
        <f t="shared" si="172"/>
        <v>46</v>
      </c>
      <c r="P580" s="357">
        <f t="shared" si="173"/>
        <v>5</v>
      </c>
      <c r="Q580" s="357">
        <f t="shared" si="174"/>
        <v>46</v>
      </c>
      <c r="R580" s="356">
        <f t="shared" si="166"/>
        <v>58316622.84123304</v>
      </c>
      <c r="S580" s="356">
        <f>IF($G$4="mensual",S579,0)</f>
        <v>10000</v>
      </c>
      <c r="U580" s="356">
        <f t="shared" si="175"/>
        <v>465104.6812796981</v>
      </c>
      <c r="V580" s="359">
        <f t="shared" si="177"/>
        <v>-462.9014904044537</v>
      </c>
      <c r="X580" s="359">
        <f t="shared" si="176"/>
        <v>-58791.72752251274</v>
      </c>
      <c r="Y580" s="356">
        <f t="shared" si="161"/>
        <v>58732472.893499814</v>
      </c>
      <c r="AA580" s="357">
        <f>+Bono!J580</f>
        <v>689332.2248449108</v>
      </c>
      <c r="AC580" s="378">
        <f t="shared" si="167"/>
        <v>46.416666666666664</v>
      </c>
      <c r="AD580" s="356">
        <f t="shared" si="168"/>
        <v>60975005.980691105</v>
      </c>
    </row>
    <row r="581" spans="2:30" x14ac:dyDescent="0.25">
      <c r="B581" s="356">
        <f t="shared" si="162"/>
        <v>558</v>
      </c>
      <c r="C581" s="357">
        <f t="shared" si="169"/>
        <v>46</v>
      </c>
      <c r="D581" s="357">
        <f t="shared" si="170"/>
        <v>6</v>
      </c>
      <c r="E581" s="357">
        <f t="shared" si="171"/>
        <v>75</v>
      </c>
      <c r="F581" s="356">
        <f t="shared" si="163"/>
        <v>1553200.8623463819</v>
      </c>
      <c r="H581" s="356">
        <f t="shared" si="159"/>
        <v>12385.441790644474</v>
      </c>
      <c r="I581" s="356">
        <v>0</v>
      </c>
      <c r="J581" s="360">
        <f>-SUM(F581:H581)*$J$21</f>
        <v>-14090.27673723324</v>
      </c>
      <c r="K581" s="356">
        <f t="shared" si="164"/>
        <v>-1551.4960273997933</v>
      </c>
      <c r="L581" s="356">
        <f t="shared" si="160"/>
        <v>1549944.5313723935</v>
      </c>
      <c r="N581" s="356">
        <f t="shared" si="165"/>
        <v>558</v>
      </c>
      <c r="O581" s="357">
        <f t="shared" si="172"/>
        <v>46</v>
      </c>
      <c r="P581" s="357">
        <f t="shared" si="173"/>
        <v>6</v>
      </c>
      <c r="Q581" s="357">
        <f t="shared" si="174"/>
        <v>46</v>
      </c>
      <c r="R581" s="356">
        <f t="shared" si="166"/>
        <v>58732472.893499814</v>
      </c>
      <c r="S581" s="356">
        <f>IF($G$4="mensual",S580,0)</f>
        <v>10000</v>
      </c>
      <c r="U581" s="356">
        <f t="shared" si="175"/>
        <v>468420.72799384035</v>
      </c>
      <c r="V581" s="359">
        <f t="shared" si="177"/>
        <v>-462.9014904044537</v>
      </c>
      <c r="X581" s="359">
        <f t="shared" si="176"/>
        <v>-59210.893621493655</v>
      </c>
      <c r="Y581" s="356">
        <f t="shared" si="161"/>
        <v>59151219.82638175</v>
      </c>
      <c r="AA581" s="357">
        <f>+Bono!J581</f>
        <v>687357.4604109839</v>
      </c>
      <c r="AC581" s="378">
        <f t="shared" si="167"/>
        <v>46.5</v>
      </c>
      <c r="AD581" s="356">
        <f t="shared" si="168"/>
        <v>61388521.81816512</v>
      </c>
    </row>
    <row r="582" spans="2:30" x14ac:dyDescent="0.25">
      <c r="B582" s="356">
        <f t="shared" si="162"/>
        <v>559</v>
      </c>
      <c r="C582" s="357">
        <f t="shared" si="169"/>
        <v>46</v>
      </c>
      <c r="D582" s="357">
        <f t="shared" si="170"/>
        <v>7</v>
      </c>
      <c r="E582" s="357">
        <f t="shared" si="171"/>
        <v>75</v>
      </c>
      <c r="F582" s="356">
        <f t="shared" si="163"/>
        <v>1549944.5313723935</v>
      </c>
      <c r="H582" s="356">
        <f t="shared" si="159"/>
        <v>12359.475350174902</v>
      </c>
      <c r="I582" s="356">
        <v>0</v>
      </c>
      <c r="J582" s="356">
        <v>0</v>
      </c>
      <c r="K582" s="356">
        <f t="shared" si="164"/>
        <v>-1562.3040067225684</v>
      </c>
      <c r="L582" s="356">
        <f t="shared" si="160"/>
        <v>1560741.7027158458</v>
      </c>
      <c r="N582" s="356">
        <f t="shared" si="165"/>
        <v>559</v>
      </c>
      <c r="O582" s="357">
        <f t="shared" si="172"/>
        <v>46</v>
      </c>
      <c r="P582" s="357">
        <f t="shared" si="173"/>
        <v>7</v>
      </c>
      <c r="Q582" s="357">
        <f t="shared" si="174"/>
        <v>46</v>
      </c>
      <c r="R582" s="356">
        <f t="shared" si="166"/>
        <v>59151219.82638175</v>
      </c>
      <c r="S582" s="356">
        <f>+IF($G$4="mensual",S576,IF($G$4="trimestral",S576,IF($G$4="semestral",S576,0)))</f>
        <v>10000</v>
      </c>
      <c r="U582" s="356">
        <f t="shared" si="175"/>
        <v>471759.87484081363</v>
      </c>
      <c r="V582" s="359">
        <f t="shared" si="177"/>
        <v>-462.9014904044537</v>
      </c>
      <c r="X582" s="359">
        <f t="shared" si="176"/>
        <v>-59632.97970122256</v>
      </c>
      <c r="Y582" s="356">
        <f t="shared" si="161"/>
        <v>59572883.820030935</v>
      </c>
      <c r="AA582" s="357">
        <f>+Bono!J582</f>
        <v>691619.1563940626</v>
      </c>
      <c r="AC582" s="378">
        <f t="shared" si="167"/>
        <v>46.583333333333336</v>
      </c>
      <c r="AD582" s="356">
        <f t="shared" si="168"/>
        <v>61825244.67914084</v>
      </c>
    </row>
    <row r="583" spans="2:30" x14ac:dyDescent="0.25">
      <c r="B583" s="356">
        <f t="shared" si="162"/>
        <v>560</v>
      </c>
      <c r="C583" s="357">
        <f t="shared" si="169"/>
        <v>46</v>
      </c>
      <c r="D583" s="357">
        <f t="shared" si="170"/>
        <v>8</v>
      </c>
      <c r="E583" s="357">
        <f t="shared" si="171"/>
        <v>75</v>
      </c>
      <c r="F583" s="356">
        <f t="shared" si="163"/>
        <v>1560741.7027158458</v>
      </c>
      <c r="H583" s="356">
        <f t="shared" si="159"/>
        <v>12445.573510702527</v>
      </c>
      <c r="I583" s="356">
        <v>0</v>
      </c>
      <c r="J583" s="356">
        <v>0</v>
      </c>
      <c r="K583" s="356">
        <f t="shared" si="164"/>
        <v>-1573.1872762265482</v>
      </c>
      <c r="L583" s="356">
        <f t="shared" si="160"/>
        <v>1571614.0889503218</v>
      </c>
      <c r="N583" s="356">
        <f t="shared" si="165"/>
        <v>560</v>
      </c>
      <c r="O583" s="357">
        <f t="shared" si="172"/>
        <v>46</v>
      </c>
      <c r="P583" s="357">
        <f t="shared" si="173"/>
        <v>8</v>
      </c>
      <c r="Q583" s="357">
        <f t="shared" si="174"/>
        <v>46</v>
      </c>
      <c r="R583" s="356">
        <f t="shared" si="166"/>
        <v>59572883.820030935</v>
      </c>
      <c r="S583" s="356">
        <f>IF($G$4="mensual",S582,0)</f>
        <v>10000</v>
      </c>
      <c r="U583" s="356">
        <f t="shared" si="175"/>
        <v>475122.2827399846</v>
      </c>
      <c r="V583" s="359">
        <f t="shared" si="177"/>
        <v>-462.9014904044537</v>
      </c>
      <c r="X583" s="359">
        <f t="shared" si="176"/>
        <v>-60058.006102770916</v>
      </c>
      <c r="Y583" s="356">
        <f t="shared" si="161"/>
        <v>59997485.19517774</v>
      </c>
      <c r="AA583" s="357">
        <f>+Bono!J583</f>
        <v>695907.2753865625</v>
      </c>
      <c r="AC583" s="378">
        <f t="shared" si="167"/>
        <v>46.666666666666664</v>
      </c>
      <c r="AD583" s="356">
        <f t="shared" si="168"/>
        <v>62265006.55951463</v>
      </c>
    </row>
    <row r="584" spans="2:30" x14ac:dyDescent="0.25">
      <c r="B584" s="356">
        <f t="shared" si="162"/>
        <v>561</v>
      </c>
      <c r="C584" s="357">
        <f t="shared" si="169"/>
        <v>46</v>
      </c>
      <c r="D584" s="357">
        <f t="shared" si="170"/>
        <v>9</v>
      </c>
      <c r="E584" s="357">
        <f t="shared" si="171"/>
        <v>75</v>
      </c>
      <c r="F584" s="356">
        <f t="shared" si="163"/>
        <v>1571614.0889503218</v>
      </c>
      <c r="H584" s="356">
        <f t="shared" si="159"/>
        <v>12532.271445333517</v>
      </c>
      <c r="I584" s="356">
        <v>0</v>
      </c>
      <c r="J584" s="360">
        <f>-SUM(F584:H584)*$J$21</f>
        <v>-14257.3172435609</v>
      </c>
      <c r="K584" s="356">
        <f t="shared" si="164"/>
        <v>-1569.8890431520945</v>
      </c>
      <c r="L584" s="356">
        <f t="shared" si="160"/>
        <v>1568319.1541089423</v>
      </c>
      <c r="N584" s="356">
        <f t="shared" si="165"/>
        <v>561</v>
      </c>
      <c r="O584" s="357">
        <f t="shared" si="172"/>
        <v>46</v>
      </c>
      <c r="P584" s="357">
        <f t="shared" si="173"/>
        <v>9</v>
      </c>
      <c r="Q584" s="357">
        <f t="shared" si="174"/>
        <v>46</v>
      </c>
      <c r="R584" s="356">
        <f t="shared" si="166"/>
        <v>59997485.19517774</v>
      </c>
      <c r="S584" s="356">
        <f>IF($G$4="mensual",S583,0)</f>
        <v>10000</v>
      </c>
      <c r="U584" s="356">
        <f t="shared" si="175"/>
        <v>478508.11373171094</v>
      </c>
      <c r="V584" s="359">
        <f t="shared" si="177"/>
        <v>-462.9014904044537</v>
      </c>
      <c r="X584" s="359">
        <f t="shared" si="176"/>
        <v>-60485.993308909456</v>
      </c>
      <c r="Y584" s="356">
        <f t="shared" si="161"/>
        <v>60425044.41411014</v>
      </c>
      <c r="AA584" s="357">
        <f>+Bono!J584</f>
        <v>693913.675077142</v>
      </c>
      <c r="AC584" s="378">
        <f t="shared" si="167"/>
        <v>46.75</v>
      </c>
      <c r="AD584" s="356">
        <f t="shared" si="168"/>
        <v>62687277.24329622</v>
      </c>
    </row>
    <row r="585" spans="2:30" x14ac:dyDescent="0.25">
      <c r="B585" s="356">
        <f t="shared" si="162"/>
        <v>562</v>
      </c>
      <c r="C585" s="357">
        <f t="shared" si="169"/>
        <v>46</v>
      </c>
      <c r="D585" s="357">
        <f t="shared" si="170"/>
        <v>10</v>
      </c>
      <c r="E585" s="357">
        <f t="shared" si="171"/>
        <v>75</v>
      </c>
      <c r="F585" s="356">
        <f t="shared" si="163"/>
        <v>1568319.1541089423</v>
      </c>
      <c r="H585" s="356">
        <f t="shared" si="159"/>
        <v>12505.99717220427</v>
      </c>
      <c r="I585" s="356">
        <v>0</v>
      </c>
      <c r="J585" s="356">
        <v>0</v>
      </c>
      <c r="K585" s="356">
        <f t="shared" si="164"/>
        <v>-1580.8251512811466</v>
      </c>
      <c r="L585" s="356">
        <f t="shared" si="160"/>
        <v>1579244.3261298654</v>
      </c>
      <c r="N585" s="356">
        <f t="shared" si="165"/>
        <v>562</v>
      </c>
      <c r="O585" s="357">
        <f t="shared" si="172"/>
        <v>46</v>
      </c>
      <c r="P585" s="357">
        <f t="shared" si="173"/>
        <v>10</v>
      </c>
      <c r="Q585" s="357">
        <f t="shared" si="174"/>
        <v>46</v>
      </c>
      <c r="R585" s="356">
        <f t="shared" si="166"/>
        <v>60425044.41411014</v>
      </c>
      <c r="S585" s="356">
        <f>IF($G$4="mensual",S576,IF($G$4="trimestral",S576,0))</f>
        <v>10000</v>
      </c>
      <c r="U585" s="356">
        <f t="shared" si="175"/>
        <v>481917.53098515025</v>
      </c>
      <c r="V585" s="359">
        <f t="shared" si="177"/>
        <v>-462.9014904044537</v>
      </c>
      <c r="X585" s="359">
        <f t="shared" si="176"/>
        <v>-60916.96194509529</v>
      </c>
      <c r="Y585" s="356">
        <f t="shared" si="161"/>
        <v>60855582.08165979</v>
      </c>
      <c r="AA585" s="357">
        <f>+Bono!J585</f>
        <v>698216.0203516247</v>
      </c>
      <c r="AC585" s="378">
        <f t="shared" si="167"/>
        <v>46.833333333333336</v>
      </c>
      <c r="AD585" s="356">
        <f t="shared" si="168"/>
        <v>63133042.42814128</v>
      </c>
    </row>
    <row r="586" spans="2:30" x14ac:dyDescent="0.25">
      <c r="B586" s="356">
        <f t="shared" si="162"/>
        <v>563</v>
      </c>
      <c r="C586" s="357">
        <f t="shared" si="169"/>
        <v>46</v>
      </c>
      <c r="D586" s="357">
        <f t="shared" si="170"/>
        <v>11</v>
      </c>
      <c r="E586" s="357">
        <f t="shared" si="171"/>
        <v>75</v>
      </c>
      <c r="F586" s="356">
        <f t="shared" si="163"/>
        <v>1579244.3261298654</v>
      </c>
      <c r="H586" s="356">
        <f t="shared" si="159"/>
        <v>12593.116028109042</v>
      </c>
      <c r="I586" s="356">
        <v>0</v>
      </c>
      <c r="J586" s="356">
        <v>0</v>
      </c>
      <c r="K586" s="356">
        <f t="shared" si="164"/>
        <v>-1591.8374421579745</v>
      </c>
      <c r="L586" s="356">
        <f t="shared" si="160"/>
        <v>1590245.6047158164</v>
      </c>
      <c r="N586" s="356">
        <f t="shared" si="165"/>
        <v>563</v>
      </c>
      <c r="O586" s="357">
        <f t="shared" si="172"/>
        <v>46</v>
      </c>
      <c r="P586" s="357">
        <f t="shared" si="173"/>
        <v>11</v>
      </c>
      <c r="Q586" s="357">
        <f t="shared" si="174"/>
        <v>46</v>
      </c>
      <c r="R586" s="356">
        <f t="shared" si="166"/>
        <v>60855582.08165979</v>
      </c>
      <c r="S586" s="356">
        <f>IF($G$17="si",S574*(1+$G$20),S574)</f>
        <v>10000</v>
      </c>
      <c r="U586" s="356">
        <f t="shared" si="175"/>
        <v>485350.69880612387</v>
      </c>
      <c r="V586" s="359">
        <f t="shared" si="177"/>
        <v>-462.9014904044537</v>
      </c>
      <c r="X586" s="359">
        <f t="shared" si="176"/>
        <v>-61350.93278046591</v>
      </c>
      <c r="Y586" s="356">
        <f t="shared" si="161"/>
        <v>61289118.946195036</v>
      </c>
      <c r="AA586" s="357">
        <f>+Bono!J586</f>
        <v>702545.0406658503</v>
      </c>
      <c r="AC586" s="378">
        <f t="shared" si="167"/>
        <v>46.916666666666664</v>
      </c>
      <c r="AD586" s="356">
        <f t="shared" si="168"/>
        <v>63581909.5915767</v>
      </c>
    </row>
    <row r="587" spans="2:30" x14ac:dyDescent="0.25">
      <c r="B587" s="356">
        <f t="shared" si="162"/>
        <v>564</v>
      </c>
      <c r="C587" s="357">
        <f t="shared" si="169"/>
        <v>46</v>
      </c>
      <c r="D587" s="357">
        <f t="shared" si="170"/>
        <v>12</v>
      </c>
      <c r="E587" s="357">
        <f t="shared" si="171"/>
        <v>75</v>
      </c>
      <c r="F587" s="356">
        <f t="shared" si="163"/>
        <v>1590245.6047158164</v>
      </c>
      <c r="H587" s="356">
        <f t="shared" si="159"/>
        <v>12680.841768450906</v>
      </c>
      <c r="I587" s="356">
        <v>0</v>
      </c>
      <c r="J587" s="360">
        <f>-SUM(F587:H587)*$J$21</f>
        <v>-14426.338018358407</v>
      </c>
      <c r="K587" s="356">
        <f t="shared" si="164"/>
        <v>-1588.5001084659089</v>
      </c>
      <c r="L587" s="356">
        <f t="shared" si="160"/>
        <v>1586911.6083574428</v>
      </c>
      <c r="N587" s="356">
        <f t="shared" si="165"/>
        <v>564</v>
      </c>
      <c r="O587" s="357">
        <f t="shared" si="172"/>
        <v>46</v>
      </c>
      <c r="P587" s="357">
        <f t="shared" si="173"/>
        <v>12</v>
      </c>
      <c r="Q587" s="357">
        <f t="shared" si="174"/>
        <v>46</v>
      </c>
      <c r="R587" s="356">
        <f t="shared" si="166"/>
        <v>61289118.946195036</v>
      </c>
      <c r="S587" s="356">
        <f>IF($G$4="mensual",S586,0)</f>
        <v>10000</v>
      </c>
      <c r="U587" s="356">
        <f t="shared" si="175"/>
        <v>488807.78264503455</v>
      </c>
      <c r="V587" s="359">
        <f t="shared" si="177"/>
        <v>-462.9014904044537</v>
      </c>
      <c r="X587" s="359">
        <f t="shared" si="176"/>
        <v>-61787.926728840066</v>
      </c>
      <c r="Y587" s="356">
        <f t="shared" si="161"/>
        <v>61725675.900620826</v>
      </c>
      <c r="AA587" s="357">
        <f>+Bono!J587</f>
        <v>700532.4248188967</v>
      </c>
      <c r="AC587" s="378">
        <f t="shared" si="167"/>
        <v>47</v>
      </c>
      <c r="AD587" s="356">
        <f t="shared" si="168"/>
        <v>64013119.933797166</v>
      </c>
    </row>
    <row r="588" spans="2:30" x14ac:dyDescent="0.25">
      <c r="B588" s="356">
        <f t="shared" si="162"/>
        <v>565</v>
      </c>
      <c r="C588" s="357">
        <f t="shared" si="169"/>
        <v>47</v>
      </c>
      <c r="D588" s="357">
        <f t="shared" si="170"/>
        <v>1</v>
      </c>
      <c r="E588" s="357">
        <f t="shared" si="171"/>
        <v>76</v>
      </c>
      <c r="F588" s="356">
        <f t="shared" si="163"/>
        <v>1586911.6083574428</v>
      </c>
      <c r="H588" s="356">
        <f t="shared" si="159"/>
        <v>12654.25601329978</v>
      </c>
      <c r="I588" s="356">
        <v>0</v>
      </c>
      <c r="J588" s="356">
        <v>0</v>
      </c>
      <c r="K588" s="356">
        <f t="shared" si="164"/>
        <v>-1599.5658643707427</v>
      </c>
      <c r="L588" s="356">
        <f t="shared" si="160"/>
        <v>1597966.298506372</v>
      </c>
      <c r="N588" s="356">
        <f t="shared" si="165"/>
        <v>565</v>
      </c>
      <c r="O588" s="357">
        <f t="shared" si="172"/>
        <v>47</v>
      </c>
      <c r="P588" s="357">
        <f t="shared" si="173"/>
        <v>1</v>
      </c>
      <c r="Q588" s="357">
        <f t="shared" si="174"/>
        <v>47</v>
      </c>
      <c r="R588" s="356">
        <f t="shared" si="166"/>
        <v>61725675.900620826</v>
      </c>
      <c r="S588" s="356">
        <f>IF($G$17="si",S576*(1+$G$20),S576)</f>
        <v>10000</v>
      </c>
      <c r="U588" s="356">
        <f t="shared" si="175"/>
        <v>492288.94910484034</v>
      </c>
      <c r="V588" s="359">
        <f>(V587*(1+$G$18))</f>
        <v>-481.41755002063184</v>
      </c>
      <c r="X588" s="359">
        <f t="shared" si="176"/>
        <v>-62227.964849725664</v>
      </c>
      <c r="Y588" s="356">
        <f t="shared" si="161"/>
        <v>62165255.46732592</v>
      </c>
      <c r="AA588" s="357">
        <f>+Bono!J588</f>
        <v>704875.8071095058</v>
      </c>
      <c r="AC588" s="378">
        <f t="shared" si="167"/>
        <v>47.083333333333336</v>
      </c>
      <c r="AD588" s="356">
        <f t="shared" si="168"/>
        <v>64468097.572941795</v>
      </c>
    </row>
    <row r="589" spans="2:30" x14ac:dyDescent="0.25">
      <c r="B589" s="356">
        <f t="shared" si="162"/>
        <v>566</v>
      </c>
      <c r="C589" s="357">
        <f t="shared" si="169"/>
        <v>47</v>
      </c>
      <c r="D589" s="357">
        <f t="shared" si="170"/>
        <v>2</v>
      </c>
      <c r="E589" s="357">
        <f t="shared" si="171"/>
        <v>76</v>
      </c>
      <c r="F589" s="356">
        <f t="shared" si="163"/>
        <v>1597966.298506372</v>
      </c>
      <c r="H589" s="356">
        <f t="shared" si="159"/>
        <v>12742.407664945362</v>
      </c>
      <c r="I589" s="356">
        <v>0</v>
      </c>
      <c r="J589" s="356">
        <v>0</v>
      </c>
      <c r="K589" s="356">
        <f t="shared" si="164"/>
        <v>-1610.7087061713173</v>
      </c>
      <c r="L589" s="356">
        <f t="shared" si="160"/>
        <v>1609097.997465146</v>
      </c>
      <c r="N589" s="356">
        <f t="shared" si="165"/>
        <v>566</v>
      </c>
      <c r="O589" s="357">
        <f t="shared" si="172"/>
        <v>47</v>
      </c>
      <c r="P589" s="357">
        <f t="shared" si="173"/>
        <v>2</v>
      </c>
      <c r="Q589" s="357">
        <f t="shared" si="174"/>
        <v>47</v>
      </c>
      <c r="R589" s="356">
        <f t="shared" si="166"/>
        <v>62165255.46732592</v>
      </c>
      <c r="S589" s="356">
        <f>IF($G$4="mensual",S588,0)</f>
        <v>10000</v>
      </c>
      <c r="U589" s="356">
        <f t="shared" si="175"/>
        <v>495794.2182994234</v>
      </c>
      <c r="V589" s="359">
        <f t="shared" si="177"/>
        <v>-481.41755002063184</v>
      </c>
      <c r="X589" s="359">
        <f t="shared" si="176"/>
        <v>-62671.049685625345</v>
      </c>
      <c r="Y589" s="356">
        <f t="shared" si="161"/>
        <v>62607897.2183897</v>
      </c>
      <c r="AA589" s="357">
        <f>+Bono!J589</f>
        <v>709246.1188741176</v>
      </c>
      <c r="AC589" s="378">
        <f t="shared" si="167"/>
        <v>47.166666666666664</v>
      </c>
      <c r="AD589" s="356">
        <f t="shared" si="168"/>
        <v>64926241.33472896</v>
      </c>
    </row>
    <row r="590" spans="2:30" x14ac:dyDescent="0.25">
      <c r="B590" s="356">
        <f t="shared" si="162"/>
        <v>567</v>
      </c>
      <c r="C590" s="357">
        <f t="shared" si="169"/>
        <v>47</v>
      </c>
      <c r="D590" s="357">
        <f t="shared" si="170"/>
        <v>3</v>
      </c>
      <c r="E590" s="357">
        <f t="shared" si="171"/>
        <v>76</v>
      </c>
      <c r="F590" s="356">
        <f t="shared" si="163"/>
        <v>1609097.997465146</v>
      </c>
      <c r="H590" s="356">
        <f t="shared" si="159"/>
        <v>12831.173395654907</v>
      </c>
      <c r="I590" s="356">
        <v>0</v>
      </c>
      <c r="J590" s="360">
        <f>-SUM(F590:H590)*$J$21</f>
        <v>-14597.362537747209</v>
      </c>
      <c r="K590" s="356">
        <f t="shared" si="164"/>
        <v>-1607.3318083230536</v>
      </c>
      <c r="L590" s="356">
        <f t="shared" si="160"/>
        <v>1605724.4765147306</v>
      </c>
      <c r="N590" s="356">
        <f t="shared" si="165"/>
        <v>567</v>
      </c>
      <c r="O590" s="357">
        <f t="shared" si="172"/>
        <v>47</v>
      </c>
      <c r="P590" s="357">
        <f t="shared" si="173"/>
        <v>3</v>
      </c>
      <c r="Q590" s="357">
        <f t="shared" si="174"/>
        <v>47</v>
      </c>
      <c r="R590" s="356">
        <f t="shared" si="166"/>
        <v>62607897.2183897</v>
      </c>
      <c r="S590" s="356">
        <f>IF($G$4="mensual",S589,0)</f>
        <v>10000</v>
      </c>
      <c r="U590" s="356">
        <f t="shared" si="175"/>
        <v>499323.90578210185</v>
      </c>
      <c r="V590" s="359">
        <f t="shared" si="177"/>
        <v>-481.41755002063184</v>
      </c>
      <c r="X590" s="359">
        <f t="shared" si="176"/>
        <v>-63117.2211241718</v>
      </c>
      <c r="Y590" s="356">
        <f t="shared" si="161"/>
        <v>63053622.48549761</v>
      </c>
      <c r="AA590" s="357">
        <f>+Bono!J590</f>
        <v>707214.306113923</v>
      </c>
      <c r="AC590" s="378">
        <f t="shared" si="167"/>
        <v>47.25</v>
      </c>
      <c r="AD590" s="356">
        <f t="shared" si="168"/>
        <v>65366561.268126264</v>
      </c>
    </row>
    <row r="591" spans="2:30" x14ac:dyDescent="0.25">
      <c r="B591" s="356">
        <f t="shared" si="162"/>
        <v>568</v>
      </c>
      <c r="C591" s="357">
        <f t="shared" si="169"/>
        <v>47</v>
      </c>
      <c r="D591" s="357">
        <f t="shared" si="170"/>
        <v>4</v>
      </c>
      <c r="E591" s="357">
        <f t="shared" si="171"/>
        <v>76</v>
      </c>
      <c r="F591" s="356">
        <f t="shared" si="163"/>
        <v>1605724.4765147306</v>
      </c>
      <c r="H591" s="356">
        <f t="shared" si="159"/>
        <v>12804.272465856446</v>
      </c>
      <c r="I591" s="356">
        <v>0</v>
      </c>
      <c r="J591" s="356">
        <v>0</v>
      </c>
      <c r="K591" s="356">
        <f t="shared" si="164"/>
        <v>-1618.5287489805871</v>
      </c>
      <c r="L591" s="356">
        <f t="shared" si="160"/>
        <v>1616910.2202316066</v>
      </c>
      <c r="N591" s="356">
        <f t="shared" si="165"/>
        <v>568</v>
      </c>
      <c r="O591" s="357">
        <f t="shared" si="172"/>
        <v>47</v>
      </c>
      <c r="P591" s="357">
        <f t="shared" si="173"/>
        <v>4</v>
      </c>
      <c r="Q591" s="357">
        <f t="shared" si="174"/>
        <v>47</v>
      </c>
      <c r="R591" s="356">
        <f t="shared" si="166"/>
        <v>63053622.48549761</v>
      </c>
      <c r="S591" s="356">
        <f>IF($G$4="mensual",S588,IF($G$4="trimestral",S588,0))</f>
        <v>10000</v>
      </c>
      <c r="U591" s="356">
        <f t="shared" si="175"/>
        <v>502878.181654731</v>
      </c>
      <c r="V591" s="359">
        <f t="shared" si="177"/>
        <v>-481.41755002063184</v>
      </c>
      <c r="X591" s="359">
        <f t="shared" si="176"/>
        <v>-63566.50066715234</v>
      </c>
      <c r="Y591" s="356">
        <f t="shared" si="161"/>
        <v>63502452.74893516</v>
      </c>
      <c r="AA591" s="357">
        <f>+Bono!J591</f>
        <v>711599.1168436114</v>
      </c>
      <c r="AC591" s="378">
        <f t="shared" si="167"/>
        <v>47.333333333333336</v>
      </c>
      <c r="AD591" s="356">
        <f t="shared" si="168"/>
        <v>65830962.08601038</v>
      </c>
    </row>
    <row r="592" spans="2:30" x14ac:dyDescent="0.25">
      <c r="B592" s="356">
        <f t="shared" si="162"/>
        <v>569</v>
      </c>
      <c r="C592" s="357">
        <f t="shared" si="169"/>
        <v>47</v>
      </c>
      <c r="D592" s="357">
        <f t="shared" si="170"/>
        <v>5</v>
      </c>
      <c r="E592" s="357">
        <f t="shared" si="171"/>
        <v>76</v>
      </c>
      <c r="F592" s="356">
        <f t="shared" si="163"/>
        <v>1616910.2202316066</v>
      </c>
      <c r="H592" s="356">
        <f t="shared" si="159"/>
        <v>12893.469157056543</v>
      </c>
      <c r="I592" s="356">
        <v>0</v>
      </c>
      <c r="J592" s="356">
        <v>0</v>
      </c>
      <c r="K592" s="356">
        <f t="shared" si="164"/>
        <v>-1629.8036893886633</v>
      </c>
      <c r="L592" s="356">
        <f t="shared" si="160"/>
        <v>1628173.8856992747</v>
      </c>
      <c r="N592" s="356">
        <f t="shared" si="165"/>
        <v>569</v>
      </c>
      <c r="O592" s="357">
        <f t="shared" si="172"/>
        <v>47</v>
      </c>
      <c r="P592" s="357">
        <f t="shared" si="173"/>
        <v>5</v>
      </c>
      <c r="Q592" s="357">
        <f t="shared" si="174"/>
        <v>47</v>
      </c>
      <c r="R592" s="356">
        <f t="shared" si="166"/>
        <v>63502452.74893516</v>
      </c>
      <c r="S592" s="356">
        <f>IF($G$4="mensual",S591,0)</f>
        <v>10000</v>
      </c>
      <c r="U592" s="356">
        <f t="shared" si="175"/>
        <v>506457.2172041239</v>
      </c>
      <c r="V592" s="359">
        <f t="shared" si="177"/>
        <v>-481.41755002063184</v>
      </c>
      <c r="X592" s="359">
        <f t="shared" si="176"/>
        <v>-64018.90996613929</v>
      </c>
      <c r="Y592" s="356">
        <f t="shared" si="161"/>
        <v>63954409.638623126</v>
      </c>
      <c r="AA592" s="357">
        <f>+Bono!J592</f>
        <v>716011.1139084304</v>
      </c>
      <c r="AC592" s="378">
        <f t="shared" si="167"/>
        <v>47.416666666666664</v>
      </c>
      <c r="AD592" s="356">
        <f t="shared" si="168"/>
        <v>66298594.63823083</v>
      </c>
    </row>
    <row r="593" spans="2:30" x14ac:dyDescent="0.25">
      <c r="B593" s="356">
        <f t="shared" si="162"/>
        <v>570</v>
      </c>
      <c r="C593" s="357">
        <f t="shared" si="169"/>
        <v>47</v>
      </c>
      <c r="D593" s="357">
        <f t="shared" si="170"/>
        <v>6</v>
      </c>
      <c r="E593" s="357">
        <f t="shared" si="171"/>
        <v>76</v>
      </c>
      <c r="F593" s="356">
        <f t="shared" si="163"/>
        <v>1628173.8856992747</v>
      </c>
      <c r="H593" s="356">
        <f t="shared" si="159"/>
        <v>12983.287207239922</v>
      </c>
      <c r="I593" s="356">
        <v>0</v>
      </c>
      <c r="J593" s="360">
        <f>-SUM(F593:H593)*$J$21</f>
        <v>-14770.414556158634</v>
      </c>
      <c r="K593" s="356">
        <f t="shared" si="164"/>
        <v>-1626.386758350356</v>
      </c>
      <c r="L593" s="356">
        <f t="shared" si="160"/>
        <v>1624760.3715920057</v>
      </c>
      <c r="N593" s="356">
        <f t="shared" si="165"/>
        <v>570</v>
      </c>
      <c r="O593" s="357">
        <f t="shared" si="172"/>
        <v>47</v>
      </c>
      <c r="P593" s="357">
        <f t="shared" si="173"/>
        <v>6</v>
      </c>
      <c r="Q593" s="357">
        <f t="shared" si="174"/>
        <v>47</v>
      </c>
      <c r="R593" s="356">
        <f t="shared" si="166"/>
        <v>63954409.638623126</v>
      </c>
      <c r="S593" s="356">
        <f>IF($G$4="mensual",S592,0)</f>
        <v>10000</v>
      </c>
      <c r="U593" s="356">
        <f t="shared" si="175"/>
        <v>510061.1849103063</v>
      </c>
      <c r="V593" s="359">
        <f t="shared" si="177"/>
        <v>-481.41755002063184</v>
      </c>
      <c r="X593" s="359">
        <f t="shared" si="176"/>
        <v>-64474.47082353343</v>
      </c>
      <c r="Y593" s="356">
        <f t="shared" si="161"/>
        <v>64409514.93515988</v>
      </c>
      <c r="AA593" s="357">
        <f>+Bono!J593</f>
        <v>713959.9211292726</v>
      </c>
      <c r="AC593" s="378">
        <f t="shared" si="167"/>
        <v>47.5</v>
      </c>
      <c r="AD593" s="356">
        <f t="shared" si="168"/>
        <v>66748235.227881156</v>
      </c>
    </row>
    <row r="594" spans="2:30" x14ac:dyDescent="0.25">
      <c r="B594" s="356">
        <f t="shared" si="162"/>
        <v>571</v>
      </c>
      <c r="C594" s="357">
        <f t="shared" si="169"/>
        <v>47</v>
      </c>
      <c r="D594" s="357">
        <f t="shared" si="170"/>
        <v>7</v>
      </c>
      <c r="E594" s="357">
        <f t="shared" si="171"/>
        <v>76</v>
      </c>
      <c r="F594" s="356">
        <f t="shared" si="163"/>
        <v>1624760.3715920057</v>
      </c>
      <c r="H594" s="356">
        <f t="shared" si="159"/>
        <v>12956.067366392515</v>
      </c>
      <c r="I594" s="356">
        <v>0</v>
      </c>
      <c r="J594" s="356">
        <v>0</v>
      </c>
      <c r="K594" s="356">
        <f t="shared" si="164"/>
        <v>-1637.7164389583984</v>
      </c>
      <c r="L594" s="356">
        <f t="shared" si="160"/>
        <v>1636078.7225194399</v>
      </c>
      <c r="N594" s="356">
        <f t="shared" si="165"/>
        <v>571</v>
      </c>
      <c r="O594" s="357">
        <f t="shared" si="172"/>
        <v>47</v>
      </c>
      <c r="P594" s="357">
        <f t="shared" si="173"/>
        <v>7</v>
      </c>
      <c r="Q594" s="357">
        <f t="shared" si="174"/>
        <v>47</v>
      </c>
      <c r="R594" s="356">
        <f t="shared" si="166"/>
        <v>64409514.93515988</v>
      </c>
      <c r="S594" s="356">
        <f>+IF($G$4="mensual",S588,IF($G$4="trimestral",S588,IF($G$4="semestral",S588,0)))</f>
        <v>10000</v>
      </c>
      <c r="U594" s="356">
        <f t="shared" si="175"/>
        <v>513690.25845482823</v>
      </c>
      <c r="V594" s="359">
        <f t="shared" si="177"/>
        <v>-481.41755002063184</v>
      </c>
      <c r="X594" s="359">
        <f t="shared" si="176"/>
        <v>-64933.20519361471</v>
      </c>
      <c r="Y594" s="356">
        <f t="shared" si="161"/>
        <v>64867790.57087107</v>
      </c>
      <c r="AA594" s="357">
        <f>+Bono!J594</f>
        <v>718386.5554544991</v>
      </c>
      <c r="AC594" s="378">
        <f t="shared" si="167"/>
        <v>47.583333333333336</v>
      </c>
      <c r="AD594" s="356">
        <f t="shared" si="168"/>
        <v>67222255.848845</v>
      </c>
    </row>
    <row r="595" spans="2:30" x14ac:dyDescent="0.25">
      <c r="B595" s="356">
        <f t="shared" si="162"/>
        <v>572</v>
      </c>
      <c r="C595" s="357">
        <f t="shared" si="169"/>
        <v>47</v>
      </c>
      <c r="D595" s="357">
        <f t="shared" si="170"/>
        <v>8</v>
      </c>
      <c r="E595" s="357">
        <f t="shared" si="171"/>
        <v>76</v>
      </c>
      <c r="F595" s="356">
        <f t="shared" si="163"/>
        <v>1636078.7225194399</v>
      </c>
      <c r="H595" s="356">
        <f t="shared" si="159"/>
        <v>13046.321486111488</v>
      </c>
      <c r="I595" s="356">
        <v>0</v>
      </c>
      <c r="J595" s="356">
        <v>0</v>
      </c>
      <c r="K595" s="356">
        <f t="shared" si="164"/>
        <v>-1649.1250440055514</v>
      </c>
      <c r="L595" s="356">
        <f t="shared" si="160"/>
        <v>1647475.918961546</v>
      </c>
      <c r="N595" s="356">
        <f t="shared" si="165"/>
        <v>572</v>
      </c>
      <c r="O595" s="357">
        <f t="shared" si="172"/>
        <v>47</v>
      </c>
      <c r="P595" s="357">
        <f t="shared" si="173"/>
        <v>8</v>
      </c>
      <c r="Q595" s="357">
        <f t="shared" si="174"/>
        <v>47</v>
      </c>
      <c r="R595" s="356">
        <f t="shared" si="166"/>
        <v>64867790.57087107</v>
      </c>
      <c r="S595" s="356">
        <f>IF($G$4="mensual",S594,0)</f>
        <v>10000</v>
      </c>
      <c r="U595" s="356">
        <f t="shared" si="175"/>
        <v>517344.61272913445</v>
      </c>
      <c r="V595" s="359">
        <f t="shared" si="177"/>
        <v>-481.41755002063184</v>
      </c>
      <c r="X595" s="359">
        <f t="shared" si="176"/>
        <v>-65395.13518360021</v>
      </c>
      <c r="Y595" s="356">
        <f t="shared" si="161"/>
        <v>65329258.63086658</v>
      </c>
      <c r="AA595" s="357">
        <f>+Bono!J595</f>
        <v>722840.6354259998</v>
      </c>
      <c r="AC595" s="378">
        <f t="shared" si="167"/>
        <v>47.666666666666664</v>
      </c>
      <c r="AD595" s="356">
        <f t="shared" si="168"/>
        <v>67699575.18525413</v>
      </c>
    </row>
    <row r="596" spans="2:30" x14ac:dyDescent="0.25">
      <c r="B596" s="356">
        <f t="shared" si="162"/>
        <v>573</v>
      </c>
      <c r="C596" s="357">
        <f t="shared" si="169"/>
        <v>47</v>
      </c>
      <c r="D596" s="357">
        <f t="shared" si="170"/>
        <v>9</v>
      </c>
      <c r="E596" s="357">
        <f t="shared" si="171"/>
        <v>76</v>
      </c>
      <c r="F596" s="356">
        <f t="shared" si="163"/>
        <v>1647475.918961546</v>
      </c>
      <c r="H596" s="356">
        <f t="shared" si="159"/>
        <v>13137.204331036644</v>
      </c>
      <c r="I596" s="356">
        <v>0</v>
      </c>
      <c r="J596" s="360">
        <f>-SUM(F596:H596)*$J$21</f>
        <v>-14945.518109633245</v>
      </c>
      <c r="K596" s="356">
        <f t="shared" si="164"/>
        <v>-1645.6676051829493</v>
      </c>
      <c r="L596" s="356">
        <f t="shared" si="160"/>
        <v>1644021.9375777664</v>
      </c>
      <c r="N596" s="356">
        <f t="shared" si="165"/>
        <v>573</v>
      </c>
      <c r="O596" s="357">
        <f t="shared" si="172"/>
        <v>47</v>
      </c>
      <c r="P596" s="357">
        <f t="shared" si="173"/>
        <v>9</v>
      </c>
      <c r="Q596" s="357">
        <f t="shared" si="174"/>
        <v>47</v>
      </c>
      <c r="R596" s="356">
        <f t="shared" si="166"/>
        <v>65329258.63086658</v>
      </c>
      <c r="S596" s="356">
        <f>IF($G$4="mensual",S595,0)</f>
        <v>10000</v>
      </c>
      <c r="U596" s="356">
        <f t="shared" si="175"/>
        <v>521024.4238429924</v>
      </c>
      <c r="V596" s="359">
        <f t="shared" si="177"/>
        <v>-481.41755002063184</v>
      </c>
      <c r="X596" s="359">
        <f t="shared" si="176"/>
        <v>-65860.28305470957</v>
      </c>
      <c r="Y596" s="356">
        <f t="shared" si="161"/>
        <v>65793941.35410484</v>
      </c>
      <c r="AA596" s="357">
        <f>+Bono!J596</f>
        <v>720769.877775641</v>
      </c>
      <c r="AC596" s="378">
        <f t="shared" si="167"/>
        <v>47.75</v>
      </c>
      <c r="AD596" s="356">
        <f t="shared" si="168"/>
        <v>68158733.16945824</v>
      </c>
    </row>
    <row r="597" spans="2:30" x14ac:dyDescent="0.25">
      <c r="B597" s="356">
        <f t="shared" si="162"/>
        <v>574</v>
      </c>
      <c r="C597" s="357">
        <f t="shared" si="169"/>
        <v>47</v>
      </c>
      <c r="D597" s="357">
        <f t="shared" si="170"/>
        <v>10</v>
      </c>
      <c r="E597" s="357">
        <f t="shared" si="171"/>
        <v>76</v>
      </c>
      <c r="F597" s="356">
        <f t="shared" si="163"/>
        <v>1644021.9375777664</v>
      </c>
      <c r="H597" s="356">
        <f t="shared" si="159"/>
        <v>13109.661798443567</v>
      </c>
      <c r="I597" s="356">
        <v>0</v>
      </c>
      <c r="J597" s="356">
        <v>0</v>
      </c>
      <c r="K597" s="356">
        <f t="shared" si="164"/>
        <v>-1657.13159937621</v>
      </c>
      <c r="L597" s="356">
        <f t="shared" si="160"/>
        <v>1655474.4677768338</v>
      </c>
      <c r="N597" s="356">
        <f t="shared" si="165"/>
        <v>574</v>
      </c>
      <c r="O597" s="357">
        <f t="shared" si="172"/>
        <v>47</v>
      </c>
      <c r="P597" s="357">
        <f t="shared" si="173"/>
        <v>10</v>
      </c>
      <c r="Q597" s="357">
        <f t="shared" si="174"/>
        <v>47</v>
      </c>
      <c r="R597" s="356">
        <f t="shared" si="166"/>
        <v>65793941.35410484</v>
      </c>
      <c r="S597" s="356">
        <f>IF($G$4="mensual",S588,IF($G$4="trimestral",S588,0))</f>
        <v>10000</v>
      </c>
      <c r="U597" s="356">
        <f t="shared" si="175"/>
        <v>524729.8691329798</v>
      </c>
      <c r="V597" s="359">
        <f t="shared" si="177"/>
        <v>-481.41755002063184</v>
      </c>
      <c r="X597" s="359">
        <f t="shared" si="176"/>
        <v>-66328.67122323782</v>
      </c>
      <c r="Y597" s="356">
        <f t="shared" si="161"/>
        <v>66261861.13446456</v>
      </c>
      <c r="AA597" s="357">
        <f>+Bono!J597</f>
        <v>725238.7346219812</v>
      </c>
      <c r="AC597" s="378">
        <f t="shared" si="167"/>
        <v>47.833333333333336</v>
      </c>
      <c r="AD597" s="356">
        <f t="shared" si="168"/>
        <v>68642574.33686337</v>
      </c>
    </row>
    <row r="598" spans="2:30" x14ac:dyDescent="0.25">
      <c r="B598" s="356">
        <f t="shared" si="162"/>
        <v>575</v>
      </c>
      <c r="C598" s="357">
        <f t="shared" si="169"/>
        <v>47</v>
      </c>
      <c r="D598" s="357">
        <f t="shared" si="170"/>
        <v>11</v>
      </c>
      <c r="E598" s="357">
        <f t="shared" si="171"/>
        <v>76</v>
      </c>
      <c r="F598" s="356">
        <f t="shared" si="163"/>
        <v>1655474.4677768338</v>
      </c>
      <c r="H598" s="356">
        <f t="shared" si="159"/>
        <v>13200.985882517192</v>
      </c>
      <c r="I598" s="356">
        <v>0</v>
      </c>
      <c r="J598" s="356">
        <v>0</v>
      </c>
      <c r="K598" s="356">
        <f t="shared" si="164"/>
        <v>-1668.675453659351</v>
      </c>
      <c r="L598" s="356">
        <f t="shared" si="160"/>
        <v>1667006.7782056916</v>
      </c>
      <c r="N598" s="356">
        <f t="shared" si="165"/>
        <v>575</v>
      </c>
      <c r="O598" s="357">
        <f t="shared" si="172"/>
        <v>47</v>
      </c>
      <c r="P598" s="357">
        <f t="shared" si="173"/>
        <v>11</v>
      </c>
      <c r="Q598" s="357">
        <f t="shared" si="174"/>
        <v>47</v>
      </c>
      <c r="R598" s="356">
        <f t="shared" si="166"/>
        <v>66261861.13446456</v>
      </c>
      <c r="S598" s="356">
        <f>IF($G$17="si",S586*(1+$G$20),S586)</f>
        <v>10000</v>
      </c>
      <c r="U598" s="356">
        <f t="shared" si="175"/>
        <v>528461.1271710299</v>
      </c>
      <c r="V598" s="359">
        <f t="shared" si="177"/>
        <v>-481.41755002063184</v>
      </c>
      <c r="X598" s="359">
        <f t="shared" si="176"/>
        <v>-66800.32226163559</v>
      </c>
      <c r="Y598" s="356">
        <f t="shared" si="161"/>
        <v>66733040.521823935</v>
      </c>
      <c r="AA598" s="357">
        <f>+Bono!J598</f>
        <v>729735.2988991239</v>
      </c>
      <c r="AC598" s="378">
        <f t="shared" si="167"/>
        <v>47.916666666666664</v>
      </c>
      <c r="AD598" s="356">
        <f t="shared" si="168"/>
        <v>69129782.59892875</v>
      </c>
    </row>
    <row r="599" spans="2:30" x14ac:dyDescent="0.25">
      <c r="B599" s="356">
        <f t="shared" si="162"/>
        <v>576</v>
      </c>
      <c r="C599" s="357">
        <f t="shared" si="169"/>
        <v>47</v>
      </c>
      <c r="D599" s="357">
        <f t="shared" si="170"/>
        <v>12</v>
      </c>
      <c r="E599" s="357">
        <f t="shared" si="171"/>
        <v>76</v>
      </c>
      <c r="F599" s="356">
        <f t="shared" si="163"/>
        <v>1667006.7782056916</v>
      </c>
      <c r="H599" s="356">
        <f t="shared" si="159"/>
        <v>13292.946145346616</v>
      </c>
      <c r="I599" s="356">
        <v>0</v>
      </c>
      <c r="J599" s="360">
        <f>-SUM(F599:H599)*$J$21</f>
        <v>-15122.697519159346</v>
      </c>
      <c r="K599" s="356">
        <f t="shared" si="164"/>
        <v>-1665.177026831879</v>
      </c>
      <c r="L599" s="356">
        <f t="shared" si="160"/>
        <v>1663511.849805047</v>
      </c>
      <c r="N599" s="356">
        <f t="shared" si="165"/>
        <v>576</v>
      </c>
      <c r="O599" s="357">
        <f t="shared" si="172"/>
        <v>47</v>
      </c>
      <c r="P599" s="357">
        <f t="shared" si="173"/>
        <v>12</v>
      </c>
      <c r="Q599" s="357">
        <f t="shared" si="174"/>
        <v>47</v>
      </c>
      <c r="R599" s="356">
        <f t="shared" si="166"/>
        <v>66733040.521823935</v>
      </c>
      <c r="S599" s="356">
        <f>IF($G$4="mensual",S598,0)</f>
        <v>10000</v>
      </c>
      <c r="U599" s="356">
        <f t="shared" si="175"/>
        <v>532218.3777730385</v>
      </c>
      <c r="V599" s="359">
        <f t="shared" si="177"/>
        <v>-481.41755002063184</v>
      </c>
      <c r="X599" s="359">
        <f t="shared" si="176"/>
        <v>-67275.25889959697</v>
      </c>
      <c r="Y599" s="356">
        <f t="shared" si="161"/>
        <v>67207502.22314735</v>
      </c>
      <c r="AA599" s="357">
        <f>+Bono!J599</f>
        <v>727644.7897621527</v>
      </c>
      <c r="AC599" s="378">
        <f t="shared" si="167"/>
        <v>48</v>
      </c>
      <c r="AD599" s="356">
        <f t="shared" si="168"/>
        <v>69598658.86271454</v>
      </c>
    </row>
    <row r="600" spans="2:30" x14ac:dyDescent="0.25">
      <c r="B600" s="356">
        <f t="shared" si="162"/>
        <v>577</v>
      </c>
      <c r="C600" s="357">
        <f t="shared" si="169"/>
        <v>48</v>
      </c>
      <c r="D600" s="357">
        <f t="shared" si="170"/>
        <v>1</v>
      </c>
      <c r="E600" s="357">
        <f t="shared" si="171"/>
        <v>77</v>
      </c>
      <c r="F600" s="356">
        <f t="shared" si="163"/>
        <v>1663511.849805047</v>
      </c>
      <c r="H600" s="356">
        <f t="shared" ref="H600:H663" si="178">SUM(F600:G600)*$G$8</f>
        <v>13265.077095490911</v>
      </c>
      <c r="I600" s="356">
        <v>0</v>
      </c>
      <c r="J600" s="356">
        <v>0</v>
      </c>
      <c r="K600" s="356">
        <f t="shared" si="164"/>
        <v>-1676.776926900538</v>
      </c>
      <c r="L600" s="356">
        <f t="shared" ref="L600:L663" si="179">SUM(F600:K600)</f>
        <v>1675100.1499736374</v>
      </c>
      <c r="N600" s="356">
        <f t="shared" si="165"/>
        <v>577</v>
      </c>
      <c r="O600" s="357">
        <f t="shared" si="172"/>
        <v>48</v>
      </c>
      <c r="P600" s="357">
        <f t="shared" si="173"/>
        <v>1</v>
      </c>
      <c r="Q600" s="357">
        <f t="shared" si="174"/>
        <v>48</v>
      </c>
      <c r="R600" s="356">
        <f t="shared" si="166"/>
        <v>67207502.22314735</v>
      </c>
      <c r="S600" s="356">
        <f>IF($G$17="si",S588*(1+$G$20),S588)</f>
        <v>10000</v>
      </c>
      <c r="U600" s="356">
        <f t="shared" si="175"/>
        <v>536001.8020075279</v>
      </c>
      <c r="V600" s="359">
        <f>(V599*(1+$G$18))</f>
        <v>-500.6742520214571</v>
      </c>
      <c r="X600" s="359">
        <f t="shared" si="176"/>
        <v>-67753.50402515488</v>
      </c>
      <c r="Y600" s="356">
        <f t="shared" ref="Y600:Y663" si="180">SUM(R600:X600)</f>
        <v>67685249.8468777</v>
      </c>
      <c r="AA600" s="357">
        <f>+Bono!J600</f>
        <v>732156.2718602497</v>
      </c>
      <c r="AC600" s="378">
        <f t="shared" si="167"/>
        <v>48.083333333333336</v>
      </c>
      <c r="AD600" s="356">
        <f t="shared" si="168"/>
        <v>70092506.26871158</v>
      </c>
    </row>
    <row r="601" spans="2:30" x14ac:dyDescent="0.25">
      <c r="B601" s="356">
        <f t="shared" ref="B601:B664" si="181">+B600+1</f>
        <v>578</v>
      </c>
      <c r="C601" s="357">
        <f t="shared" si="169"/>
        <v>48</v>
      </c>
      <c r="D601" s="357">
        <f t="shared" si="170"/>
        <v>2</v>
      </c>
      <c r="E601" s="357">
        <f t="shared" si="171"/>
        <v>77</v>
      </c>
      <c r="F601" s="356">
        <f t="shared" ref="F601:F664" si="182">L600</f>
        <v>1675100.1499736374</v>
      </c>
      <c r="H601" s="356">
        <f t="shared" si="178"/>
        <v>13357.483828367542</v>
      </c>
      <c r="I601" s="356">
        <v>0</v>
      </c>
      <c r="J601" s="356">
        <v>0</v>
      </c>
      <c r="K601" s="356">
        <f t="shared" ref="K601:K664" si="183">-SUM(F601:J601)*0.1%</f>
        <v>-1688.457633802005</v>
      </c>
      <c r="L601" s="356">
        <f t="shared" si="179"/>
        <v>1686769.176168203</v>
      </c>
      <c r="N601" s="356">
        <f t="shared" ref="N601:N664" si="184">+N600+1</f>
        <v>578</v>
      </c>
      <c r="O601" s="357">
        <f t="shared" si="172"/>
        <v>48</v>
      </c>
      <c r="P601" s="357">
        <f t="shared" si="173"/>
        <v>2</v>
      </c>
      <c r="Q601" s="357">
        <f t="shared" si="174"/>
        <v>48</v>
      </c>
      <c r="R601" s="356">
        <f t="shared" ref="R601:R664" si="185">Y600</f>
        <v>67685249.8468777</v>
      </c>
      <c r="S601" s="356">
        <f>IF($G$4="mensual",S600,0)</f>
        <v>10000</v>
      </c>
      <c r="U601" s="356">
        <f t="shared" si="175"/>
        <v>539811.4286487288</v>
      </c>
      <c r="V601" s="359">
        <f t="shared" si="177"/>
        <v>-500.6742520214571</v>
      </c>
      <c r="X601" s="359">
        <f t="shared" si="176"/>
        <v>-68235.06127552642</v>
      </c>
      <c r="Y601" s="356">
        <f t="shared" si="180"/>
        <v>68166325.53999887</v>
      </c>
      <c r="AA601" s="357">
        <f>+Bono!J601</f>
        <v>736695.7256706543</v>
      </c>
      <c r="AC601" s="378">
        <f t="shared" ref="AC601:AC664" si="186">+B601/12</f>
        <v>48.166666666666664</v>
      </c>
      <c r="AD601" s="356">
        <f t="shared" ref="AD601:AD664" si="187">+AA601+Y601+L601</f>
        <v>70589790.44183773</v>
      </c>
    </row>
    <row r="602" spans="2:30" x14ac:dyDescent="0.25">
      <c r="B602" s="356">
        <f t="shared" si="181"/>
        <v>579</v>
      </c>
      <c r="C602" s="357">
        <f t="shared" si="169"/>
        <v>48</v>
      </c>
      <c r="D602" s="357">
        <f t="shared" si="170"/>
        <v>3</v>
      </c>
      <c r="E602" s="357">
        <f t="shared" si="171"/>
        <v>77</v>
      </c>
      <c r="F602" s="356">
        <f t="shared" si="182"/>
        <v>1686769.176168203</v>
      </c>
      <c r="H602" s="356">
        <f t="shared" si="178"/>
        <v>13450.534281911563</v>
      </c>
      <c r="I602" s="356">
        <v>0</v>
      </c>
      <c r="J602" s="360">
        <f>-SUM(F602:H602)*$J$21</f>
        <v>-15301.977394051031</v>
      </c>
      <c r="K602" s="356">
        <f t="shared" si="183"/>
        <v>-1684.9177330560635</v>
      </c>
      <c r="L602" s="356">
        <f t="shared" si="179"/>
        <v>1683232.8153230075</v>
      </c>
      <c r="N602" s="356">
        <f t="shared" si="184"/>
        <v>579</v>
      </c>
      <c r="O602" s="357">
        <f t="shared" si="172"/>
        <v>48</v>
      </c>
      <c r="P602" s="357">
        <f t="shared" si="173"/>
        <v>3</v>
      </c>
      <c r="Q602" s="357">
        <f t="shared" si="174"/>
        <v>48</v>
      </c>
      <c r="R602" s="356">
        <f t="shared" si="185"/>
        <v>68166325.53999887</v>
      </c>
      <c r="S602" s="356">
        <f>IF($G$4="mensual",S601,0)</f>
        <v>10000</v>
      </c>
      <c r="U602" s="356">
        <f t="shared" si="175"/>
        <v>543647.5937826093</v>
      </c>
      <c r="V602" s="359">
        <f t="shared" si="177"/>
        <v>-500.6742520214571</v>
      </c>
      <c r="X602" s="359">
        <f t="shared" si="176"/>
        <v>-68719.97313378147</v>
      </c>
      <c r="Y602" s="356">
        <f t="shared" si="180"/>
        <v>68650752.48639567</v>
      </c>
      <c r="AA602" s="357">
        <f>+Bono!J602</f>
        <v>734585.276651667</v>
      </c>
      <c r="AC602" s="378">
        <f t="shared" si="186"/>
        <v>48.25</v>
      </c>
      <c r="AD602" s="356">
        <f t="shared" si="187"/>
        <v>71068570.57837035</v>
      </c>
    </row>
    <row r="603" spans="2:30" x14ac:dyDescent="0.25">
      <c r="B603" s="356">
        <f t="shared" si="181"/>
        <v>580</v>
      </c>
      <c r="C603" s="357">
        <f t="shared" si="169"/>
        <v>48</v>
      </c>
      <c r="D603" s="357">
        <f t="shared" si="170"/>
        <v>4</v>
      </c>
      <c r="E603" s="357">
        <f t="shared" si="171"/>
        <v>77</v>
      </c>
      <c r="F603" s="356">
        <f t="shared" si="182"/>
        <v>1683232.8153230075</v>
      </c>
      <c r="H603" s="356">
        <f t="shared" si="178"/>
        <v>13422.334843924698</v>
      </c>
      <c r="I603" s="356">
        <v>0</v>
      </c>
      <c r="J603" s="356">
        <v>0</v>
      </c>
      <c r="K603" s="356">
        <f t="shared" si="183"/>
        <v>-1696.6551501669323</v>
      </c>
      <c r="L603" s="356">
        <f t="shared" si="179"/>
        <v>1694958.4950167653</v>
      </c>
      <c r="N603" s="356">
        <f t="shared" si="184"/>
        <v>580</v>
      </c>
      <c r="O603" s="357">
        <f t="shared" si="172"/>
        <v>48</v>
      </c>
      <c r="P603" s="357">
        <f t="shared" si="173"/>
        <v>4</v>
      </c>
      <c r="Q603" s="357">
        <f t="shared" si="174"/>
        <v>48</v>
      </c>
      <c r="R603" s="356">
        <f t="shared" si="185"/>
        <v>68650752.48639567</v>
      </c>
      <c r="S603" s="356">
        <f>IF($G$4="mensual",S600,IF($G$4="trimestral",S600,0))</f>
        <v>10000</v>
      </c>
      <c r="U603" s="356">
        <f t="shared" si="175"/>
        <v>547510.4822807224</v>
      </c>
      <c r="V603" s="359">
        <f t="shared" si="177"/>
        <v>-500.6742520214571</v>
      </c>
      <c r="X603" s="359">
        <f t="shared" si="176"/>
        <v>-69208.26296867638</v>
      </c>
      <c r="Y603" s="356">
        <f t="shared" si="180"/>
        <v>69138554.0314557</v>
      </c>
      <c r="AA603" s="357">
        <f>+Bono!J603</f>
        <v>739139.7905735255</v>
      </c>
      <c r="AC603" s="378">
        <f t="shared" si="186"/>
        <v>48.333333333333336</v>
      </c>
      <c r="AD603" s="356">
        <f t="shared" si="187"/>
        <v>71572652.31704599</v>
      </c>
    </row>
    <row r="604" spans="2:30" x14ac:dyDescent="0.25">
      <c r="B604" s="356">
        <f t="shared" si="181"/>
        <v>581</v>
      </c>
      <c r="C604" s="357">
        <f t="shared" si="169"/>
        <v>48</v>
      </c>
      <c r="D604" s="357">
        <f t="shared" si="170"/>
        <v>5</v>
      </c>
      <c r="E604" s="357">
        <f t="shared" si="171"/>
        <v>77</v>
      </c>
      <c r="F604" s="356">
        <f t="shared" si="182"/>
        <v>1694958.4950167653</v>
      </c>
      <c r="H604" s="356">
        <f t="shared" si="178"/>
        <v>13515.837060427068</v>
      </c>
      <c r="I604" s="356">
        <v>0</v>
      </c>
      <c r="J604" s="356">
        <v>0</v>
      </c>
      <c r="K604" s="356">
        <f t="shared" si="183"/>
        <v>-1708.4743320771925</v>
      </c>
      <c r="L604" s="356">
        <f t="shared" si="179"/>
        <v>1706765.8577451152</v>
      </c>
      <c r="N604" s="356">
        <f t="shared" si="184"/>
        <v>581</v>
      </c>
      <c r="O604" s="357">
        <f t="shared" si="172"/>
        <v>48</v>
      </c>
      <c r="P604" s="357">
        <f t="shared" si="173"/>
        <v>5</v>
      </c>
      <c r="Q604" s="357">
        <f t="shared" si="174"/>
        <v>48</v>
      </c>
      <c r="R604" s="356">
        <f t="shared" si="185"/>
        <v>69138554.0314557</v>
      </c>
      <c r="S604" s="356">
        <f>IF($G$4="mensual",S603,0)</f>
        <v>10000</v>
      </c>
      <c r="U604" s="356">
        <f t="shared" si="175"/>
        <v>551400.2803024673</v>
      </c>
      <c r="V604" s="359">
        <f t="shared" si="177"/>
        <v>-500.6742520214571</v>
      </c>
      <c r="X604" s="359">
        <f t="shared" si="176"/>
        <v>-69699.95431175816</v>
      </c>
      <c r="Y604" s="356">
        <f t="shared" si="180"/>
        <v>69629753.68319438</v>
      </c>
      <c r="AA604" s="357">
        <f>+Bono!J604</f>
        <v>743722.5430099904</v>
      </c>
      <c r="AC604" s="378">
        <f t="shared" si="186"/>
        <v>48.416666666666664</v>
      </c>
      <c r="AD604" s="356">
        <f t="shared" si="187"/>
        <v>72080242.08394949</v>
      </c>
    </row>
    <row r="605" spans="2:30" x14ac:dyDescent="0.25">
      <c r="B605" s="356">
        <f t="shared" si="181"/>
        <v>582</v>
      </c>
      <c r="C605" s="357">
        <f t="shared" si="169"/>
        <v>48</v>
      </c>
      <c r="D605" s="357">
        <f t="shared" si="170"/>
        <v>6</v>
      </c>
      <c r="E605" s="357">
        <f t="shared" si="171"/>
        <v>77</v>
      </c>
      <c r="F605" s="356">
        <f t="shared" si="182"/>
        <v>1706765.8577451152</v>
      </c>
      <c r="H605" s="356">
        <f t="shared" si="178"/>
        <v>13609.990628917934</v>
      </c>
      <c r="I605" s="356">
        <v>0</v>
      </c>
      <c r="J605" s="360">
        <f>-SUM(F605:H605)*$J$21</f>
        <v>-15483.3826353663</v>
      </c>
      <c r="K605" s="356">
        <f t="shared" si="183"/>
        <v>-1704.8924657386667</v>
      </c>
      <c r="L605" s="356">
        <f t="shared" si="179"/>
        <v>1703187.5732729281</v>
      </c>
      <c r="N605" s="356">
        <f t="shared" si="184"/>
        <v>582</v>
      </c>
      <c r="O605" s="357">
        <f t="shared" si="172"/>
        <v>48</v>
      </c>
      <c r="P605" s="357">
        <f t="shared" si="173"/>
        <v>6</v>
      </c>
      <c r="Q605" s="357">
        <f t="shared" si="174"/>
        <v>48</v>
      </c>
      <c r="R605" s="356">
        <f t="shared" si="185"/>
        <v>69629753.68319438</v>
      </c>
      <c r="S605" s="356">
        <f>IF($G$4="mensual",S604,0)</f>
        <v>10000</v>
      </c>
      <c r="U605" s="356">
        <f t="shared" si="175"/>
        <v>555317.1753040602</v>
      </c>
      <c r="V605" s="359">
        <f t="shared" si="177"/>
        <v>-500.6742520214571</v>
      </c>
      <c r="X605" s="359">
        <f t="shared" si="176"/>
        <v>-70195.07085849844</v>
      </c>
      <c r="Y605" s="356">
        <f t="shared" si="180"/>
        <v>70124375.11338793</v>
      </c>
      <c r="AA605" s="357">
        <f>+Bono!J605</f>
        <v>741591.9639166131</v>
      </c>
      <c r="AC605" s="378">
        <f t="shared" si="186"/>
        <v>48.5</v>
      </c>
      <c r="AD605" s="356">
        <f t="shared" si="187"/>
        <v>72569154.65057747</v>
      </c>
    </row>
    <row r="606" spans="2:30" x14ac:dyDescent="0.25">
      <c r="B606" s="356">
        <f t="shared" si="181"/>
        <v>583</v>
      </c>
      <c r="C606" s="357">
        <f t="shared" si="169"/>
        <v>48</v>
      </c>
      <c r="D606" s="357">
        <f t="shared" si="170"/>
        <v>7</v>
      </c>
      <c r="E606" s="357">
        <f t="shared" si="171"/>
        <v>77</v>
      </c>
      <c r="F606" s="356">
        <f t="shared" si="182"/>
        <v>1703187.5732729281</v>
      </c>
      <c r="H606" s="356">
        <f t="shared" si="178"/>
        <v>13581.456886042148</v>
      </c>
      <c r="I606" s="356">
        <v>0</v>
      </c>
      <c r="J606" s="356">
        <v>0</v>
      </c>
      <c r="K606" s="356">
        <f t="shared" si="183"/>
        <v>-1716.7690301589703</v>
      </c>
      <c r="L606" s="356">
        <f t="shared" si="179"/>
        <v>1715052.2611288114</v>
      </c>
      <c r="N606" s="356">
        <f t="shared" si="184"/>
        <v>583</v>
      </c>
      <c r="O606" s="357">
        <f t="shared" si="172"/>
        <v>48</v>
      </c>
      <c r="P606" s="357">
        <f t="shared" si="173"/>
        <v>7</v>
      </c>
      <c r="Q606" s="357">
        <f t="shared" si="174"/>
        <v>48</v>
      </c>
      <c r="R606" s="356">
        <f t="shared" si="185"/>
        <v>70124375.11338793</v>
      </c>
      <c r="S606" s="356">
        <f>+IF($G$4="mensual",S600,IF($G$4="trimestral",S600,IF($G$4="semestral",S600,0)))</f>
        <v>10000</v>
      </c>
      <c r="U606" s="356">
        <f t="shared" si="175"/>
        <v>559261.3560475687</v>
      </c>
      <c r="V606" s="359">
        <f t="shared" si="177"/>
        <v>-500.6742520214571</v>
      </c>
      <c r="X606" s="359">
        <f t="shared" si="176"/>
        <v>-70693.6364694355</v>
      </c>
      <c r="Y606" s="356">
        <f t="shared" si="180"/>
        <v>70622442.15871404</v>
      </c>
      <c r="AA606" s="357">
        <f>+Bono!J606</f>
        <v>746189.9201122397</v>
      </c>
      <c r="AC606" s="378">
        <f t="shared" si="186"/>
        <v>48.583333333333336</v>
      </c>
      <c r="AD606" s="356">
        <f t="shared" si="187"/>
        <v>73083684.33995509</v>
      </c>
    </row>
    <row r="607" spans="2:30" x14ac:dyDescent="0.25">
      <c r="B607" s="356">
        <f t="shared" si="181"/>
        <v>584</v>
      </c>
      <c r="C607" s="357">
        <f t="shared" si="169"/>
        <v>48</v>
      </c>
      <c r="D607" s="357">
        <f t="shared" si="170"/>
        <v>8</v>
      </c>
      <c r="E607" s="357">
        <f t="shared" si="171"/>
        <v>77</v>
      </c>
      <c r="F607" s="356">
        <f t="shared" si="182"/>
        <v>1715052.2611288114</v>
      </c>
      <c r="H607" s="356">
        <f t="shared" si="178"/>
        <v>13676.06757315007</v>
      </c>
      <c r="I607" s="356">
        <v>0</v>
      </c>
      <c r="J607" s="356">
        <v>0</v>
      </c>
      <c r="K607" s="356">
        <f t="shared" si="183"/>
        <v>-1728.7283287019616</v>
      </c>
      <c r="L607" s="356">
        <f t="shared" si="179"/>
        <v>1726999.6003732595</v>
      </c>
      <c r="N607" s="356">
        <f t="shared" si="184"/>
        <v>584</v>
      </c>
      <c r="O607" s="357">
        <f t="shared" si="172"/>
        <v>48</v>
      </c>
      <c r="P607" s="357">
        <f t="shared" si="173"/>
        <v>8</v>
      </c>
      <c r="Q607" s="357">
        <f t="shared" si="174"/>
        <v>48</v>
      </c>
      <c r="R607" s="356">
        <f t="shared" si="185"/>
        <v>70622442.15871404</v>
      </c>
      <c r="S607" s="356">
        <f>IF($G$4="mensual",S606,0)</f>
        <v>10000</v>
      </c>
      <c r="U607" s="356">
        <f t="shared" si="175"/>
        <v>563233.0126100084</v>
      </c>
      <c r="V607" s="359">
        <f t="shared" si="177"/>
        <v>-500.6742520214571</v>
      </c>
      <c r="X607" s="359">
        <f t="shared" si="176"/>
        <v>-71195.67517132405</v>
      </c>
      <c r="Y607" s="356">
        <f t="shared" si="180"/>
        <v>71123978.8219007</v>
      </c>
      <c r="AA607" s="357">
        <f>+Bono!J607</f>
        <v>750816.384169609</v>
      </c>
      <c r="AC607" s="378">
        <f t="shared" si="186"/>
        <v>48.666666666666664</v>
      </c>
      <c r="AD607" s="356">
        <f t="shared" si="187"/>
        <v>73601794.80644356</v>
      </c>
    </row>
    <row r="608" spans="2:30" x14ac:dyDescent="0.25">
      <c r="B608" s="356">
        <f t="shared" si="181"/>
        <v>585</v>
      </c>
      <c r="C608" s="357">
        <f t="shared" si="169"/>
        <v>48</v>
      </c>
      <c r="D608" s="357">
        <f t="shared" si="170"/>
        <v>9</v>
      </c>
      <c r="E608" s="357">
        <f t="shared" si="171"/>
        <v>77</v>
      </c>
      <c r="F608" s="356">
        <f t="shared" si="182"/>
        <v>1726999.6003732595</v>
      </c>
      <c r="H608" s="356">
        <f t="shared" si="178"/>
        <v>13771.337334037053</v>
      </c>
      <c r="I608" s="356">
        <v>0</v>
      </c>
      <c r="J608" s="360">
        <f>-SUM(F608:H608)*$J$21</f>
        <v>-15666.938439365671</v>
      </c>
      <c r="K608" s="356">
        <f t="shared" si="183"/>
        <v>-1725.103999267931</v>
      </c>
      <c r="L608" s="356">
        <f t="shared" si="179"/>
        <v>1723378.8952686628</v>
      </c>
      <c r="N608" s="356">
        <f t="shared" si="184"/>
        <v>585</v>
      </c>
      <c r="O608" s="357">
        <f t="shared" si="172"/>
        <v>48</v>
      </c>
      <c r="P608" s="357">
        <f t="shared" si="173"/>
        <v>9</v>
      </c>
      <c r="Q608" s="357">
        <f t="shared" si="174"/>
        <v>48</v>
      </c>
      <c r="R608" s="356">
        <f t="shared" si="185"/>
        <v>71123978.8219007</v>
      </c>
      <c r="S608" s="356">
        <f>IF($G$4="mensual",S607,0)</f>
        <v>10000</v>
      </c>
      <c r="U608" s="356">
        <f t="shared" si="175"/>
        <v>567232.3363925025</v>
      </c>
      <c r="V608" s="359">
        <f t="shared" si="177"/>
        <v>-500.6742520214571</v>
      </c>
      <c r="X608" s="359">
        <f t="shared" si="176"/>
        <v>-71701.2111582932</v>
      </c>
      <c r="Y608" s="356">
        <f t="shared" si="180"/>
        <v>71629009.2728829</v>
      </c>
      <c r="AA608" s="357">
        <f>+Bono!J608</f>
        <v>748665.4829953584</v>
      </c>
      <c r="AC608" s="378">
        <f t="shared" si="186"/>
        <v>48.75</v>
      </c>
      <c r="AD608" s="356">
        <f t="shared" si="187"/>
        <v>74101053.65114692</v>
      </c>
    </row>
    <row r="609" spans="2:30" x14ac:dyDescent="0.25">
      <c r="B609" s="356">
        <f t="shared" si="181"/>
        <v>586</v>
      </c>
      <c r="C609" s="357">
        <f t="shared" si="169"/>
        <v>48</v>
      </c>
      <c r="D609" s="357">
        <f t="shared" si="170"/>
        <v>10</v>
      </c>
      <c r="E609" s="357">
        <f t="shared" si="171"/>
        <v>77</v>
      </c>
      <c r="F609" s="356">
        <f t="shared" si="182"/>
        <v>1723378.8952686628</v>
      </c>
      <c r="H609" s="356">
        <f t="shared" si="178"/>
        <v>13742.465323081351</v>
      </c>
      <c r="I609" s="356">
        <v>0</v>
      </c>
      <c r="J609" s="356">
        <v>0</v>
      </c>
      <c r="K609" s="356">
        <f t="shared" si="183"/>
        <v>-1737.1213605917442</v>
      </c>
      <c r="L609" s="356">
        <f t="shared" si="179"/>
        <v>1735384.2392311522</v>
      </c>
      <c r="N609" s="356">
        <f t="shared" si="184"/>
        <v>586</v>
      </c>
      <c r="O609" s="357">
        <f t="shared" si="172"/>
        <v>48</v>
      </c>
      <c r="P609" s="357">
        <f t="shared" si="173"/>
        <v>10</v>
      </c>
      <c r="Q609" s="357">
        <f t="shared" si="174"/>
        <v>48</v>
      </c>
      <c r="R609" s="356">
        <f t="shared" si="185"/>
        <v>71629009.2728829</v>
      </c>
      <c r="S609" s="356">
        <f>IF($G$4="mensual",S600,IF($G$4="trimestral",S600,0))</f>
        <v>10000</v>
      </c>
      <c r="U609" s="356">
        <f t="shared" si="175"/>
        <v>571259.5201295072</v>
      </c>
      <c r="V609" s="359">
        <f t="shared" si="177"/>
        <v>-500.6742520214571</v>
      </c>
      <c r="X609" s="359">
        <f t="shared" si="176"/>
        <v>-72210.2687930124</v>
      </c>
      <c r="Y609" s="356">
        <f t="shared" si="180"/>
        <v>72137557.84996736</v>
      </c>
      <c r="AA609" s="357">
        <f>+Bono!J609</f>
        <v>753307.2958297506</v>
      </c>
      <c r="AC609" s="378">
        <f t="shared" si="186"/>
        <v>48.833333333333336</v>
      </c>
      <c r="AD609" s="356">
        <f t="shared" si="187"/>
        <v>74626249.38502826</v>
      </c>
    </row>
    <row r="610" spans="2:30" x14ac:dyDescent="0.25">
      <c r="B610" s="356">
        <f t="shared" si="181"/>
        <v>587</v>
      </c>
      <c r="C610" s="357">
        <f t="shared" si="169"/>
        <v>48</v>
      </c>
      <c r="D610" s="357">
        <f t="shared" si="170"/>
        <v>11</v>
      </c>
      <c r="E610" s="357">
        <f t="shared" si="171"/>
        <v>77</v>
      </c>
      <c r="F610" s="356">
        <f t="shared" si="182"/>
        <v>1735384.2392311522</v>
      </c>
      <c r="H610" s="356">
        <f t="shared" si="178"/>
        <v>13838.197621735533</v>
      </c>
      <c r="I610" s="356">
        <v>0</v>
      </c>
      <c r="J610" s="356">
        <v>0</v>
      </c>
      <c r="K610" s="356">
        <f t="shared" si="183"/>
        <v>-1749.2224368528878</v>
      </c>
      <c r="L610" s="356">
        <f t="shared" si="179"/>
        <v>1747473.2144160348</v>
      </c>
      <c r="N610" s="356">
        <f t="shared" si="184"/>
        <v>587</v>
      </c>
      <c r="O610" s="357">
        <f t="shared" si="172"/>
        <v>48</v>
      </c>
      <c r="P610" s="357">
        <f t="shared" si="173"/>
        <v>11</v>
      </c>
      <c r="Q610" s="357">
        <f t="shared" si="174"/>
        <v>48</v>
      </c>
      <c r="R610" s="356">
        <f t="shared" si="185"/>
        <v>72137557.84996736</v>
      </c>
      <c r="S610" s="356">
        <f>IF($G$17="si",S598*(1+$G$20),S598)</f>
        <v>10000</v>
      </c>
      <c r="U610" s="356">
        <f t="shared" si="175"/>
        <v>575314.7578980979</v>
      </c>
      <c r="V610" s="359">
        <f t="shared" si="177"/>
        <v>-500.6742520214571</v>
      </c>
      <c r="X610" s="359">
        <f t="shared" si="176"/>
        <v>-72722.87260786546</v>
      </c>
      <c r="Y610" s="356">
        <f t="shared" si="180"/>
        <v>72649649.06100556</v>
      </c>
      <c r="AA610" s="357">
        <f>+Bono!J610</f>
        <v>757977.8884421331</v>
      </c>
      <c r="AC610" s="378">
        <f t="shared" si="186"/>
        <v>48.916666666666664</v>
      </c>
      <c r="AD610" s="356">
        <f t="shared" si="187"/>
        <v>75155100.16386373</v>
      </c>
    </row>
    <row r="611" spans="2:30" x14ac:dyDescent="0.25">
      <c r="B611" s="356">
        <f t="shared" si="181"/>
        <v>588</v>
      </c>
      <c r="C611" s="357">
        <f t="shared" si="169"/>
        <v>48</v>
      </c>
      <c r="D611" s="357">
        <f t="shared" si="170"/>
        <v>12</v>
      </c>
      <c r="E611" s="357">
        <f t="shared" si="171"/>
        <v>77</v>
      </c>
      <c r="F611" s="356">
        <f t="shared" si="182"/>
        <v>1747473.2144160348</v>
      </c>
      <c r="H611" s="356">
        <f t="shared" si="178"/>
        <v>13934.596807501319</v>
      </c>
      <c r="I611" s="356">
        <v>0</v>
      </c>
      <c r="J611" s="360">
        <f>-SUM(F611:H611)*$J$21</f>
        <v>-15852.670301011825</v>
      </c>
      <c r="K611" s="356">
        <f t="shared" si="183"/>
        <v>-1745.5551409225243</v>
      </c>
      <c r="L611" s="356">
        <f t="shared" si="179"/>
        <v>1743809.5857816017</v>
      </c>
      <c r="N611" s="356">
        <f t="shared" si="184"/>
        <v>588</v>
      </c>
      <c r="O611" s="357">
        <f t="shared" si="172"/>
        <v>48</v>
      </c>
      <c r="P611" s="357">
        <f t="shared" si="173"/>
        <v>12</v>
      </c>
      <c r="Q611" s="357">
        <f t="shared" si="174"/>
        <v>48</v>
      </c>
      <c r="R611" s="356">
        <f t="shared" si="185"/>
        <v>72649649.06100556</v>
      </c>
      <c r="S611" s="356">
        <f>IF($G$4="mensual",S610,0)</f>
        <v>10000</v>
      </c>
      <c r="U611" s="356">
        <f t="shared" si="175"/>
        <v>579398.2451273239</v>
      </c>
      <c r="V611" s="359">
        <f t="shared" si="177"/>
        <v>-500.6742520214571</v>
      </c>
      <c r="X611" s="359">
        <f t="shared" si="176"/>
        <v>-73239.04730613288</v>
      </c>
      <c r="Y611" s="356">
        <f t="shared" si="180"/>
        <v>73165307.58457473</v>
      </c>
      <c r="AA611" s="357">
        <f>+Bono!J611</f>
        <v>755806.471349112</v>
      </c>
      <c r="AC611" s="378">
        <f t="shared" si="186"/>
        <v>49</v>
      </c>
      <c r="AD611" s="356">
        <f t="shared" si="187"/>
        <v>75664923.64170544</v>
      </c>
    </row>
    <row r="612" spans="2:30" x14ac:dyDescent="0.25">
      <c r="B612" s="356">
        <f t="shared" si="181"/>
        <v>589</v>
      </c>
      <c r="C612" s="357">
        <f t="shared" ref="C612:C675" si="188">C600+1</f>
        <v>49</v>
      </c>
      <c r="D612" s="357">
        <f t="shared" ref="D612:D675" si="189">D600</f>
        <v>1</v>
      </c>
      <c r="E612" s="357">
        <f t="shared" ref="E612:E675" si="190">E600+1</f>
        <v>78</v>
      </c>
      <c r="F612" s="356">
        <f t="shared" si="182"/>
        <v>1743809.5857816017</v>
      </c>
      <c r="H612" s="356">
        <f t="shared" si="178"/>
        <v>13905.382518290997</v>
      </c>
      <c r="I612" s="356">
        <v>0</v>
      </c>
      <c r="J612" s="356">
        <v>0</v>
      </c>
      <c r="K612" s="356">
        <f t="shared" si="183"/>
        <v>-1757.7149682998927</v>
      </c>
      <c r="L612" s="356">
        <f t="shared" si="179"/>
        <v>1755957.2533315928</v>
      </c>
      <c r="N612" s="356">
        <f t="shared" si="184"/>
        <v>589</v>
      </c>
      <c r="O612" s="357">
        <f t="shared" ref="O612:O675" si="191">O600+1</f>
        <v>49</v>
      </c>
      <c r="P612" s="357">
        <f t="shared" ref="P612:P675" si="192">P600</f>
        <v>1</v>
      </c>
      <c r="Q612" s="357">
        <f t="shared" ref="Q612:Q675" si="193">Q600+1</f>
        <v>49</v>
      </c>
      <c r="R612" s="356">
        <f t="shared" si="185"/>
        <v>73165307.58457473</v>
      </c>
      <c r="S612" s="356">
        <f>IF($G$17="si",S600*(1+$G$20),S600)</f>
        <v>10000</v>
      </c>
      <c r="U612" s="356">
        <f t="shared" ref="U612:U675" si="194">SUM(R612:T612)*$G$8</f>
        <v>583510.1786076257</v>
      </c>
      <c r="V612" s="359">
        <f>(V611*(1+$G$18))</f>
        <v>-520.7012221023155</v>
      </c>
      <c r="X612" s="359">
        <f t="shared" si="176"/>
        <v>-73758.81776318236</v>
      </c>
      <c r="Y612" s="356">
        <f t="shared" si="180"/>
        <v>73684538.24419707</v>
      </c>
      <c r="AA612" s="357">
        <f>+Bono!J612</f>
        <v>760492.559139601</v>
      </c>
      <c r="AC612" s="378">
        <f t="shared" si="186"/>
        <v>49.083333333333336</v>
      </c>
      <c r="AD612" s="356">
        <f t="shared" si="187"/>
        <v>76200988.05666825</v>
      </c>
    </row>
    <row r="613" spans="2:30" x14ac:dyDescent="0.25">
      <c r="B613" s="356">
        <f t="shared" si="181"/>
        <v>590</v>
      </c>
      <c r="C613" s="357">
        <f t="shared" si="188"/>
        <v>49</v>
      </c>
      <c r="D613" s="357">
        <f t="shared" si="189"/>
        <v>2</v>
      </c>
      <c r="E613" s="357">
        <f t="shared" si="190"/>
        <v>78</v>
      </c>
      <c r="F613" s="356">
        <f t="shared" si="182"/>
        <v>1755957.2533315928</v>
      </c>
      <c r="H613" s="356">
        <f t="shared" si="178"/>
        <v>14002.249725218264</v>
      </c>
      <c r="I613" s="356">
        <v>0</v>
      </c>
      <c r="J613" s="356">
        <v>0</v>
      </c>
      <c r="K613" s="356">
        <f t="shared" si="183"/>
        <v>-1769.959503056811</v>
      </c>
      <c r="L613" s="356">
        <f t="shared" si="179"/>
        <v>1768189.5435537542</v>
      </c>
      <c r="N613" s="356">
        <f t="shared" si="184"/>
        <v>590</v>
      </c>
      <c r="O613" s="357">
        <f t="shared" si="191"/>
        <v>49</v>
      </c>
      <c r="P613" s="357">
        <f t="shared" si="192"/>
        <v>2</v>
      </c>
      <c r="Q613" s="357">
        <f t="shared" si="193"/>
        <v>49</v>
      </c>
      <c r="R613" s="356">
        <f t="shared" si="185"/>
        <v>73684538.24419707</v>
      </c>
      <c r="S613" s="356">
        <f>IF($G$4="mensual",S612,0)</f>
        <v>10000</v>
      </c>
      <c r="U613" s="356">
        <f t="shared" si="194"/>
        <v>587650.5968024465</v>
      </c>
      <c r="V613" s="359">
        <f t="shared" si="177"/>
        <v>-520.7012221023155</v>
      </c>
      <c r="X613" s="359">
        <f t="shared" si="176"/>
        <v>-74282.18884099952</v>
      </c>
      <c r="Y613" s="356">
        <f t="shared" si="180"/>
        <v>74207385.9509364</v>
      </c>
      <c r="AA613" s="357">
        <f>+Bono!J613</f>
        <v>765207.7012179435</v>
      </c>
      <c r="AC613" s="378">
        <f t="shared" si="186"/>
        <v>49.166666666666664</v>
      </c>
      <c r="AD613" s="356">
        <f t="shared" si="187"/>
        <v>76740783.19570811</v>
      </c>
    </row>
    <row r="614" spans="2:30" x14ac:dyDescent="0.25">
      <c r="B614" s="356">
        <f t="shared" si="181"/>
        <v>591</v>
      </c>
      <c r="C614" s="357">
        <f t="shared" si="188"/>
        <v>49</v>
      </c>
      <c r="D614" s="357">
        <f t="shared" si="189"/>
        <v>3</v>
      </c>
      <c r="E614" s="357">
        <f t="shared" si="190"/>
        <v>78</v>
      </c>
      <c r="F614" s="356">
        <f t="shared" si="182"/>
        <v>1768189.5435537542</v>
      </c>
      <c r="H614" s="356">
        <f t="shared" si="178"/>
        <v>14099.791725216885</v>
      </c>
      <c r="I614" s="356">
        <v>0</v>
      </c>
      <c r="J614" s="360">
        <f>-SUM(F614:H614)*$J$21</f>
        <v>-16040.604017510743</v>
      </c>
      <c r="K614" s="356">
        <f t="shared" si="183"/>
        <v>-1766.2487312614603</v>
      </c>
      <c r="L614" s="356">
        <f t="shared" si="179"/>
        <v>1764482.482530199</v>
      </c>
      <c r="N614" s="356">
        <f t="shared" si="184"/>
        <v>591</v>
      </c>
      <c r="O614" s="357">
        <f t="shared" si="191"/>
        <v>49</v>
      </c>
      <c r="P614" s="357">
        <f t="shared" si="192"/>
        <v>3</v>
      </c>
      <c r="Q614" s="357">
        <f t="shared" si="193"/>
        <v>49</v>
      </c>
      <c r="R614" s="356">
        <f t="shared" si="185"/>
        <v>74207385.9509364</v>
      </c>
      <c r="S614" s="356">
        <f>IF($G$4="mensual",S613,0)</f>
        <v>10000</v>
      </c>
      <c r="U614" s="356">
        <f t="shared" si="194"/>
        <v>591819.8578389162</v>
      </c>
      <c r="V614" s="359">
        <f t="shared" si="177"/>
        <v>-520.7012221023155</v>
      </c>
      <c r="X614" s="359">
        <f t="shared" si="176"/>
        <v>-74809.20580877532</v>
      </c>
      <c r="Y614" s="356">
        <f t="shared" si="180"/>
        <v>74733875.90174444</v>
      </c>
      <c r="AA614" s="357">
        <f>+Bono!J614</f>
        <v>763015.5725193727</v>
      </c>
      <c r="AC614" s="378">
        <f t="shared" si="186"/>
        <v>49.25</v>
      </c>
      <c r="AD614" s="356">
        <f t="shared" si="187"/>
        <v>77261373.95679402</v>
      </c>
    </row>
    <row r="615" spans="2:30" x14ac:dyDescent="0.25">
      <c r="B615" s="356">
        <f t="shared" si="181"/>
        <v>592</v>
      </c>
      <c r="C615" s="357">
        <f t="shared" si="188"/>
        <v>49</v>
      </c>
      <c r="D615" s="357">
        <f t="shared" si="189"/>
        <v>4</v>
      </c>
      <c r="E615" s="357">
        <f t="shared" si="190"/>
        <v>78</v>
      </c>
      <c r="F615" s="356">
        <f t="shared" si="182"/>
        <v>1764482.482530199</v>
      </c>
      <c r="H615" s="356">
        <f t="shared" si="178"/>
        <v>14070.231100036539</v>
      </c>
      <c r="I615" s="356">
        <v>0</v>
      </c>
      <c r="J615" s="356">
        <v>0</v>
      </c>
      <c r="K615" s="356">
        <f t="shared" si="183"/>
        <v>-1778.5527136302355</v>
      </c>
      <c r="L615" s="356">
        <f t="shared" si="179"/>
        <v>1776774.1609166053</v>
      </c>
      <c r="N615" s="356">
        <f t="shared" si="184"/>
        <v>592</v>
      </c>
      <c r="O615" s="357">
        <f t="shared" si="191"/>
        <v>49</v>
      </c>
      <c r="P615" s="357">
        <f t="shared" si="192"/>
        <v>4</v>
      </c>
      <c r="Q615" s="357">
        <f t="shared" si="193"/>
        <v>49</v>
      </c>
      <c r="R615" s="356">
        <f t="shared" si="185"/>
        <v>74733875.90174444</v>
      </c>
      <c r="S615" s="356">
        <f>IF($G$4="mensual",S612,IF($G$4="trimestral",S612,0))</f>
        <v>10000</v>
      </c>
      <c r="U615" s="356">
        <f t="shared" si="194"/>
        <v>596018.1626410661</v>
      </c>
      <c r="V615" s="359">
        <f t="shared" si="177"/>
        <v>-520.7012221023155</v>
      </c>
      <c r="X615" s="359">
        <f t="shared" si="176"/>
        <v>-75339.8940643855</v>
      </c>
      <c r="Y615" s="356">
        <f t="shared" si="180"/>
        <v>75264033.46909901</v>
      </c>
      <c r="AA615" s="357">
        <f>+Bono!J615</f>
        <v>767746.3575733212</v>
      </c>
      <c r="AC615" s="378">
        <f t="shared" si="186"/>
        <v>49.333333333333336</v>
      </c>
      <c r="AD615" s="356">
        <f t="shared" si="187"/>
        <v>77808553.98758894</v>
      </c>
    </row>
    <row r="616" spans="2:30" x14ac:dyDescent="0.25">
      <c r="B616" s="356">
        <f t="shared" si="181"/>
        <v>593</v>
      </c>
      <c r="C616" s="357">
        <f t="shared" si="188"/>
        <v>49</v>
      </c>
      <c r="D616" s="357">
        <f t="shared" si="189"/>
        <v>5</v>
      </c>
      <c r="E616" s="357">
        <f t="shared" si="190"/>
        <v>78</v>
      </c>
      <c r="F616" s="356">
        <f t="shared" si="182"/>
        <v>1776774.1609166053</v>
      </c>
      <c r="H616" s="356">
        <f t="shared" si="178"/>
        <v>14168.246669596665</v>
      </c>
      <c r="I616" s="356">
        <v>0</v>
      </c>
      <c r="J616" s="356">
        <v>0</v>
      </c>
      <c r="K616" s="356">
        <f t="shared" si="183"/>
        <v>-1790.942407586202</v>
      </c>
      <c r="L616" s="356">
        <f t="shared" si="179"/>
        <v>1789151.4651786159</v>
      </c>
      <c r="N616" s="356">
        <f t="shared" si="184"/>
        <v>593</v>
      </c>
      <c r="O616" s="357">
        <f t="shared" si="191"/>
        <v>49</v>
      </c>
      <c r="P616" s="357">
        <f t="shared" si="192"/>
        <v>5</v>
      </c>
      <c r="Q616" s="357">
        <f t="shared" si="193"/>
        <v>49</v>
      </c>
      <c r="R616" s="356">
        <f t="shared" si="185"/>
        <v>75264033.46909901</v>
      </c>
      <c r="S616" s="356">
        <f>IF($G$4="mensual",S615,0)</f>
        <v>10000</v>
      </c>
      <c r="U616" s="356">
        <f t="shared" si="194"/>
        <v>600245.7135325975</v>
      </c>
      <c r="V616" s="359">
        <f t="shared" si="177"/>
        <v>-520.7012221023155</v>
      </c>
      <c r="X616" s="359">
        <f t="shared" si="176"/>
        <v>-75874.27918263161</v>
      </c>
      <c r="Y616" s="356">
        <f t="shared" si="180"/>
        <v>75797884.20222688</v>
      </c>
      <c r="AA616" s="357">
        <f>+Bono!J616</f>
        <v>772506.4740433414</v>
      </c>
      <c r="AC616" s="378">
        <f t="shared" si="186"/>
        <v>49.416666666666664</v>
      </c>
      <c r="AD616" s="356">
        <f t="shared" si="187"/>
        <v>78359542.14144883</v>
      </c>
    </row>
    <row r="617" spans="2:30" x14ac:dyDescent="0.25">
      <c r="B617" s="356">
        <f t="shared" si="181"/>
        <v>594</v>
      </c>
      <c r="C617" s="357">
        <f t="shared" si="188"/>
        <v>49</v>
      </c>
      <c r="D617" s="357">
        <f t="shared" si="189"/>
        <v>6</v>
      </c>
      <c r="E617" s="357">
        <f t="shared" si="190"/>
        <v>78</v>
      </c>
      <c r="F617" s="356">
        <f t="shared" si="182"/>
        <v>1789151.4651786159</v>
      </c>
      <c r="H617" s="356">
        <f t="shared" si="178"/>
        <v>14266.945031913207</v>
      </c>
      <c r="I617" s="356">
        <v>0</v>
      </c>
      <c r="J617" s="360">
        <f>-SUM(F617:H617)*$J$21</f>
        <v>-16230.765691894763</v>
      </c>
      <c r="K617" s="356">
        <f t="shared" si="183"/>
        <v>-1787.1876445186344</v>
      </c>
      <c r="L617" s="356">
        <f t="shared" si="179"/>
        <v>1785400.4568741156</v>
      </c>
      <c r="N617" s="356">
        <f t="shared" si="184"/>
        <v>594</v>
      </c>
      <c r="O617" s="357">
        <f t="shared" si="191"/>
        <v>49</v>
      </c>
      <c r="P617" s="357">
        <f t="shared" si="192"/>
        <v>6</v>
      </c>
      <c r="Q617" s="357">
        <f t="shared" si="193"/>
        <v>49</v>
      </c>
      <c r="R617" s="356">
        <f t="shared" si="185"/>
        <v>75797884.20222688</v>
      </c>
      <c r="S617" s="356">
        <f>IF($G$4="mensual",S616,0)</f>
        <v>10000</v>
      </c>
      <c r="U617" s="356">
        <f t="shared" si="194"/>
        <v>604502.7142466323</v>
      </c>
      <c r="V617" s="359">
        <f t="shared" si="177"/>
        <v>-520.7012221023155</v>
      </c>
      <c r="X617" s="359">
        <f t="shared" si="176"/>
        <v>-76412.38691647351</v>
      </c>
      <c r="Y617" s="356">
        <f t="shared" si="180"/>
        <v>76335453.82833493</v>
      </c>
      <c r="AA617" s="357">
        <f>+Bono!J617</f>
        <v>770293.4361859246</v>
      </c>
      <c r="AC617" s="378">
        <f t="shared" si="186"/>
        <v>49.5</v>
      </c>
      <c r="AD617" s="356">
        <f t="shared" si="187"/>
        <v>78891147.72139497</v>
      </c>
    </row>
    <row r="618" spans="2:30" x14ac:dyDescent="0.25">
      <c r="B618" s="356">
        <f t="shared" si="181"/>
        <v>595</v>
      </c>
      <c r="C618" s="357">
        <f t="shared" si="188"/>
        <v>49</v>
      </c>
      <c r="D618" s="357">
        <f t="shared" si="189"/>
        <v>7</v>
      </c>
      <c r="E618" s="357">
        <f t="shared" si="190"/>
        <v>78</v>
      </c>
      <c r="F618" s="356">
        <f t="shared" si="182"/>
        <v>1785400.4568741156</v>
      </c>
      <c r="H618" s="356">
        <f t="shared" si="178"/>
        <v>14237.033964943137</v>
      </c>
      <c r="I618" s="356">
        <v>0</v>
      </c>
      <c r="J618" s="356">
        <v>0</v>
      </c>
      <c r="K618" s="356">
        <f t="shared" si="183"/>
        <v>-1799.6374908390587</v>
      </c>
      <c r="L618" s="356">
        <f t="shared" si="179"/>
        <v>1797837.8533482198</v>
      </c>
      <c r="N618" s="356">
        <f t="shared" si="184"/>
        <v>595</v>
      </c>
      <c r="O618" s="357">
        <f t="shared" si="191"/>
        <v>49</v>
      </c>
      <c r="P618" s="357">
        <f t="shared" si="192"/>
        <v>7</v>
      </c>
      <c r="Q618" s="357">
        <f t="shared" si="193"/>
        <v>49</v>
      </c>
      <c r="R618" s="356">
        <f t="shared" si="185"/>
        <v>76335453.82833493</v>
      </c>
      <c r="S618" s="356">
        <f>+IF($G$4="mensual",S612,IF($G$4="trimestral",S612,IF($G$4="semestral",S612,0)))</f>
        <v>10000</v>
      </c>
      <c r="U618" s="356">
        <f t="shared" si="194"/>
        <v>608789.3699355312</v>
      </c>
      <c r="V618" s="359">
        <f t="shared" si="177"/>
        <v>-520.7012221023155</v>
      </c>
      <c r="X618" s="359">
        <f t="shared" si="176"/>
        <v>-76954.24319827046</v>
      </c>
      <c r="Y618" s="356">
        <f t="shared" si="180"/>
        <v>76876768.25385007</v>
      </c>
      <c r="AA618" s="357">
        <f>+Bono!J618</f>
        <v>775069.3448387857</v>
      </c>
      <c r="AC618" s="378">
        <f t="shared" si="186"/>
        <v>49.583333333333336</v>
      </c>
      <c r="AD618" s="356">
        <f t="shared" si="187"/>
        <v>79449675.45203708</v>
      </c>
    </row>
    <row r="619" spans="2:30" x14ac:dyDescent="0.25">
      <c r="B619" s="356">
        <f t="shared" si="181"/>
        <v>596</v>
      </c>
      <c r="C619" s="357">
        <f t="shared" si="188"/>
        <v>49</v>
      </c>
      <c r="D619" s="357">
        <f t="shared" si="189"/>
        <v>8</v>
      </c>
      <c r="E619" s="357">
        <f t="shared" si="190"/>
        <v>78</v>
      </c>
      <c r="F619" s="356">
        <f t="shared" si="182"/>
        <v>1797837.8533482198</v>
      </c>
      <c r="H619" s="356">
        <f t="shared" si="178"/>
        <v>14336.211510997597</v>
      </c>
      <c r="I619" s="356">
        <v>0</v>
      </c>
      <c r="J619" s="356">
        <v>0</v>
      </c>
      <c r="K619" s="356">
        <f t="shared" si="183"/>
        <v>-1812.1740648592172</v>
      </c>
      <c r="L619" s="356">
        <f t="shared" si="179"/>
        <v>1810361.890794358</v>
      </c>
      <c r="N619" s="356">
        <f t="shared" si="184"/>
        <v>596</v>
      </c>
      <c r="O619" s="357">
        <f t="shared" si="191"/>
        <v>49</v>
      </c>
      <c r="P619" s="357">
        <f t="shared" si="192"/>
        <v>8</v>
      </c>
      <c r="Q619" s="357">
        <f t="shared" si="193"/>
        <v>49</v>
      </c>
      <c r="R619" s="356">
        <f t="shared" si="185"/>
        <v>76876768.25385007</v>
      </c>
      <c r="S619" s="356">
        <f>IF($G$4="mensual",S618,0)</f>
        <v>10000</v>
      </c>
      <c r="U619" s="356">
        <f t="shared" si="194"/>
        <v>613105.8871807803</v>
      </c>
      <c r="V619" s="359">
        <f t="shared" si="177"/>
        <v>-520.7012221023155</v>
      </c>
      <c r="X619" s="359">
        <f t="shared" ref="X619:X682" si="195">-SUM(R619:U619)*0.1%</f>
        <v>-77499.87414103084</v>
      </c>
      <c r="Y619" s="356">
        <f t="shared" si="180"/>
        <v>77421853.5656677</v>
      </c>
      <c r="AA619" s="357">
        <f>+Bono!J619</f>
        <v>779874.8646792657</v>
      </c>
      <c r="AC619" s="378">
        <f t="shared" si="186"/>
        <v>49.666666666666664</v>
      </c>
      <c r="AD619" s="356">
        <f t="shared" si="187"/>
        <v>80012090.32114132</v>
      </c>
    </row>
    <row r="620" spans="2:30" x14ac:dyDescent="0.25">
      <c r="B620" s="356">
        <f t="shared" si="181"/>
        <v>597</v>
      </c>
      <c r="C620" s="357">
        <f t="shared" si="188"/>
        <v>49</v>
      </c>
      <c r="D620" s="357">
        <f t="shared" si="189"/>
        <v>9</v>
      </c>
      <c r="E620" s="357">
        <f t="shared" si="190"/>
        <v>78</v>
      </c>
      <c r="F620" s="356">
        <f t="shared" si="182"/>
        <v>1810361.890794358</v>
      </c>
      <c r="H620" s="356">
        <f t="shared" si="178"/>
        <v>14436.079944329951</v>
      </c>
      <c r="I620" s="356">
        <v>0</v>
      </c>
      <c r="J620" s="360">
        <f>-SUM(F620:H620)*$J$21</f>
        <v>-16423.181736648196</v>
      </c>
      <c r="K620" s="356">
        <f t="shared" si="183"/>
        <v>-1808.37478900204</v>
      </c>
      <c r="L620" s="356">
        <f t="shared" si="179"/>
        <v>1806566.4142130378</v>
      </c>
      <c r="N620" s="356">
        <f t="shared" si="184"/>
        <v>597</v>
      </c>
      <c r="O620" s="357">
        <f t="shared" si="191"/>
        <v>49</v>
      </c>
      <c r="P620" s="357">
        <f t="shared" si="192"/>
        <v>9</v>
      </c>
      <c r="Q620" s="357">
        <f t="shared" si="193"/>
        <v>49</v>
      </c>
      <c r="R620" s="356">
        <f t="shared" si="185"/>
        <v>77421853.5656677</v>
      </c>
      <c r="S620" s="356">
        <f>IF($G$4="mensual",S619,0)</f>
        <v>10000</v>
      </c>
      <c r="U620" s="356">
        <f t="shared" si="194"/>
        <v>617452.474002947</v>
      </c>
      <c r="V620" s="359">
        <f t="shared" si="177"/>
        <v>-520.7012221023155</v>
      </c>
      <c r="X620" s="359">
        <f t="shared" si="195"/>
        <v>-78049.30603967064</v>
      </c>
      <c r="Y620" s="356">
        <f t="shared" si="180"/>
        <v>77970736.03240886</v>
      </c>
      <c r="AA620" s="357">
        <f>+Bono!J620</f>
        <v>777640.7182253861</v>
      </c>
      <c r="AC620" s="378">
        <f t="shared" si="186"/>
        <v>49.75</v>
      </c>
      <c r="AD620" s="356">
        <f t="shared" si="187"/>
        <v>80554943.16484728</v>
      </c>
    </row>
    <row r="621" spans="2:30" x14ac:dyDescent="0.25">
      <c r="B621" s="356">
        <f t="shared" si="181"/>
        <v>598</v>
      </c>
      <c r="C621" s="357">
        <f t="shared" si="188"/>
        <v>49</v>
      </c>
      <c r="D621" s="357">
        <f t="shared" si="189"/>
        <v>10</v>
      </c>
      <c r="E621" s="357">
        <f t="shared" si="190"/>
        <v>78</v>
      </c>
      <c r="F621" s="356">
        <f t="shared" si="182"/>
        <v>1806566.4142130378</v>
      </c>
      <c r="H621" s="356">
        <f t="shared" si="178"/>
        <v>14405.814281075889</v>
      </c>
      <c r="I621" s="356">
        <v>0</v>
      </c>
      <c r="J621" s="356">
        <v>0</v>
      </c>
      <c r="K621" s="356">
        <f t="shared" si="183"/>
        <v>-1820.9722284941138</v>
      </c>
      <c r="L621" s="356">
        <f t="shared" si="179"/>
        <v>1819151.2562656198</v>
      </c>
      <c r="N621" s="356">
        <f t="shared" si="184"/>
        <v>598</v>
      </c>
      <c r="O621" s="357">
        <f t="shared" si="191"/>
        <v>49</v>
      </c>
      <c r="P621" s="357">
        <f t="shared" si="192"/>
        <v>10</v>
      </c>
      <c r="Q621" s="357">
        <f t="shared" si="193"/>
        <v>49</v>
      </c>
      <c r="R621" s="356">
        <f t="shared" si="185"/>
        <v>77970736.03240886</v>
      </c>
      <c r="S621" s="356">
        <f>IF($G$4="mensual",S612,IF($G$4="trimestral",S612,0))</f>
        <v>10000</v>
      </c>
      <c r="U621" s="356">
        <f t="shared" si="194"/>
        <v>621829.339871704</v>
      </c>
      <c r="V621" s="359">
        <f t="shared" si="177"/>
        <v>-520.7012221023155</v>
      </c>
      <c r="X621" s="359">
        <f t="shared" si="195"/>
        <v>-78602.56537228057</v>
      </c>
      <c r="Y621" s="356">
        <f t="shared" si="180"/>
        <v>78523442.10568619</v>
      </c>
      <c r="AA621" s="357">
        <f>+Bono!J621</f>
        <v>782462.1808791237</v>
      </c>
      <c r="AC621" s="378">
        <f t="shared" si="186"/>
        <v>49.833333333333336</v>
      </c>
      <c r="AD621" s="356">
        <f t="shared" si="187"/>
        <v>81125055.54283094</v>
      </c>
    </row>
    <row r="622" spans="2:30" x14ac:dyDescent="0.25">
      <c r="B622" s="356">
        <f t="shared" si="181"/>
        <v>599</v>
      </c>
      <c r="C622" s="357">
        <f t="shared" si="188"/>
        <v>49</v>
      </c>
      <c r="D622" s="357">
        <f t="shared" si="189"/>
        <v>11</v>
      </c>
      <c r="E622" s="357">
        <f t="shared" si="190"/>
        <v>78</v>
      </c>
      <c r="F622" s="356">
        <f t="shared" si="182"/>
        <v>1819151.2562656198</v>
      </c>
      <c r="H622" s="356">
        <f t="shared" si="178"/>
        <v>14506.16757887875</v>
      </c>
      <c r="I622" s="356">
        <v>0</v>
      </c>
      <c r="J622" s="356">
        <v>0</v>
      </c>
      <c r="K622" s="356">
        <f t="shared" si="183"/>
        <v>-1833.6574238444987</v>
      </c>
      <c r="L622" s="356">
        <f t="shared" si="179"/>
        <v>1831823.766420654</v>
      </c>
      <c r="N622" s="356">
        <f t="shared" si="184"/>
        <v>599</v>
      </c>
      <c r="O622" s="357">
        <f t="shared" si="191"/>
        <v>49</v>
      </c>
      <c r="P622" s="357">
        <f t="shared" si="192"/>
        <v>11</v>
      </c>
      <c r="Q622" s="357">
        <f t="shared" si="193"/>
        <v>49</v>
      </c>
      <c r="R622" s="356">
        <f t="shared" si="185"/>
        <v>78523442.10568619</v>
      </c>
      <c r="S622" s="356">
        <f>IF($G$17="si",S610*(1+$G$20),S610)</f>
        <v>10000</v>
      </c>
      <c r="U622" s="356">
        <f t="shared" si="194"/>
        <v>626236.6957159254</v>
      </c>
      <c r="V622" s="359">
        <f t="shared" si="177"/>
        <v>-520.7012221023155</v>
      </c>
      <c r="X622" s="359">
        <f t="shared" si="195"/>
        <v>-79159.67880140211</v>
      </c>
      <c r="Y622" s="356">
        <f t="shared" si="180"/>
        <v>79079998.4213786</v>
      </c>
      <c r="AA622" s="357">
        <f>+Bono!J622</f>
        <v>787313.5371605696</v>
      </c>
      <c r="AC622" s="378">
        <f t="shared" si="186"/>
        <v>49.916666666666664</v>
      </c>
      <c r="AD622" s="356">
        <f t="shared" si="187"/>
        <v>81699135.72495982</v>
      </c>
    </row>
    <row r="623" spans="2:30" x14ac:dyDescent="0.25">
      <c r="B623" s="356">
        <f t="shared" si="181"/>
        <v>600</v>
      </c>
      <c r="C623" s="357">
        <f t="shared" si="188"/>
        <v>49</v>
      </c>
      <c r="D623" s="357">
        <f t="shared" si="189"/>
        <v>12</v>
      </c>
      <c r="E623" s="357">
        <f t="shared" si="190"/>
        <v>78</v>
      </c>
      <c r="F623" s="356">
        <f t="shared" si="182"/>
        <v>1831823.766420654</v>
      </c>
      <c r="H623" s="356">
        <f t="shared" si="178"/>
        <v>14607.219954441704</v>
      </c>
      <c r="I623" s="356">
        <v>0</v>
      </c>
      <c r="J623" s="360">
        <f>-SUM(F623:H623)*$J$21</f>
        <v>-16617.878877375864</v>
      </c>
      <c r="K623" s="356">
        <f t="shared" si="183"/>
        <v>-1829.8131074977198</v>
      </c>
      <c r="L623" s="356">
        <f t="shared" si="179"/>
        <v>1827983.294390222</v>
      </c>
      <c r="N623" s="356">
        <f t="shared" si="184"/>
        <v>600</v>
      </c>
      <c r="O623" s="357">
        <f t="shared" si="191"/>
        <v>49</v>
      </c>
      <c r="P623" s="357">
        <f t="shared" si="192"/>
        <v>12</v>
      </c>
      <c r="Q623" s="357">
        <f t="shared" si="193"/>
        <v>49</v>
      </c>
      <c r="R623" s="356">
        <f t="shared" si="185"/>
        <v>79079998.4213786</v>
      </c>
      <c r="S623" s="356">
        <f>IF($G$4="mensual",S622,0)</f>
        <v>10000</v>
      </c>
      <c r="U623" s="356">
        <f t="shared" si="194"/>
        <v>630674.75393385</v>
      </c>
      <c r="V623" s="359">
        <f t="shared" si="177"/>
        <v>-520.7012221023155</v>
      </c>
      <c r="X623" s="359">
        <f t="shared" si="195"/>
        <v>-79720.67317531245</v>
      </c>
      <c r="Y623" s="356">
        <f t="shared" si="180"/>
        <v>79640431.80091503</v>
      </c>
      <c r="AA623" s="357">
        <f>+Bono!J623</f>
        <v>785058.0807703164</v>
      </c>
      <c r="AC623" s="378">
        <f t="shared" si="186"/>
        <v>50</v>
      </c>
      <c r="AD623" s="356">
        <f t="shared" si="187"/>
        <v>82253473.17607556</v>
      </c>
    </row>
    <row r="624" spans="2:30" x14ac:dyDescent="0.25">
      <c r="B624" s="356">
        <f t="shared" si="181"/>
        <v>601</v>
      </c>
      <c r="C624" s="357">
        <f t="shared" si="188"/>
        <v>50</v>
      </c>
      <c r="D624" s="357">
        <f t="shared" si="189"/>
        <v>1</v>
      </c>
      <c r="E624" s="357">
        <f t="shared" si="190"/>
        <v>79</v>
      </c>
      <c r="F624" s="356">
        <f t="shared" si="182"/>
        <v>1827983.294390222</v>
      </c>
      <c r="H624" s="356">
        <f t="shared" si="178"/>
        <v>14576.595491157761</v>
      </c>
      <c r="I624" s="356">
        <v>0</v>
      </c>
      <c r="J624" s="356">
        <v>0</v>
      </c>
      <c r="K624" s="356">
        <f t="shared" si="183"/>
        <v>-1842.5598898813798</v>
      </c>
      <c r="L624" s="356">
        <f t="shared" si="179"/>
        <v>1840717.3299914985</v>
      </c>
      <c r="N624" s="356">
        <f t="shared" si="184"/>
        <v>601</v>
      </c>
      <c r="O624" s="357">
        <f t="shared" si="191"/>
        <v>50</v>
      </c>
      <c r="P624" s="357">
        <f t="shared" si="192"/>
        <v>1</v>
      </c>
      <c r="Q624" s="357">
        <f t="shared" si="193"/>
        <v>50</v>
      </c>
      <c r="R624" s="356">
        <f t="shared" si="185"/>
        <v>79640431.80091503</v>
      </c>
      <c r="S624" s="356">
        <f>IF($G$17="si",S612*(1+$G$20),S612)</f>
        <v>10000</v>
      </c>
      <c r="U624" s="356">
        <f t="shared" si="194"/>
        <v>635143.7284033187</v>
      </c>
      <c r="V624" s="359">
        <f>(V623*(1+$G$18))</f>
        <v>-541.529270986408</v>
      </c>
      <c r="X624" s="359">
        <f t="shared" si="195"/>
        <v>-80285.57552931835</v>
      </c>
      <c r="Y624" s="356">
        <f t="shared" si="180"/>
        <v>80204748.42451803</v>
      </c>
      <c r="AA624" s="357">
        <f>+Bono!J624</f>
        <v>789925.5319321934</v>
      </c>
      <c r="AC624" s="378">
        <f t="shared" si="186"/>
        <v>50.083333333333336</v>
      </c>
      <c r="AD624" s="356">
        <f t="shared" si="187"/>
        <v>82835391.28644173</v>
      </c>
    </row>
    <row r="625" spans="2:30" x14ac:dyDescent="0.25">
      <c r="B625" s="356">
        <f t="shared" si="181"/>
        <v>602</v>
      </c>
      <c r="C625" s="357">
        <f t="shared" si="188"/>
        <v>50</v>
      </c>
      <c r="D625" s="357">
        <f t="shared" si="189"/>
        <v>2</v>
      </c>
      <c r="E625" s="357">
        <f t="shared" si="190"/>
        <v>79</v>
      </c>
      <c r="F625" s="356">
        <f t="shared" si="182"/>
        <v>1840717.3299914985</v>
      </c>
      <c r="H625" s="356">
        <f t="shared" si="178"/>
        <v>14678.138479269</v>
      </c>
      <c r="I625" s="356">
        <v>0</v>
      </c>
      <c r="J625" s="356">
        <v>0</v>
      </c>
      <c r="K625" s="356">
        <f t="shared" si="183"/>
        <v>-1855.3954684707676</v>
      </c>
      <c r="L625" s="356">
        <f t="shared" si="179"/>
        <v>1853540.0730022967</v>
      </c>
      <c r="N625" s="356">
        <f t="shared" si="184"/>
        <v>602</v>
      </c>
      <c r="O625" s="357">
        <f t="shared" si="191"/>
        <v>50</v>
      </c>
      <c r="P625" s="357">
        <f t="shared" si="192"/>
        <v>2</v>
      </c>
      <c r="Q625" s="357">
        <f t="shared" si="193"/>
        <v>50</v>
      </c>
      <c r="R625" s="356">
        <f t="shared" si="185"/>
        <v>80204748.42451803</v>
      </c>
      <c r="S625" s="356">
        <f>IF($G$4="mensual",S624,0)</f>
        <v>10000</v>
      </c>
      <c r="U625" s="356">
        <f t="shared" si="194"/>
        <v>639643.6684062937</v>
      </c>
      <c r="V625" s="359">
        <f t="shared" ref="V625:V688" si="196">V624</f>
        <v>-541.529270986408</v>
      </c>
      <c r="X625" s="359">
        <f t="shared" si="195"/>
        <v>-80854.39209292433</v>
      </c>
      <c r="Y625" s="356">
        <f t="shared" si="180"/>
        <v>80772996.1715604</v>
      </c>
      <c r="AA625" s="357">
        <f>+Bono!J625</f>
        <v>794823.1618558635</v>
      </c>
      <c r="AC625" s="378">
        <f t="shared" si="186"/>
        <v>50.166666666666664</v>
      </c>
      <c r="AD625" s="356">
        <f t="shared" si="187"/>
        <v>83421359.40641856</v>
      </c>
    </row>
    <row r="626" spans="2:30" x14ac:dyDescent="0.25">
      <c r="B626" s="356">
        <f t="shared" si="181"/>
        <v>603</v>
      </c>
      <c r="C626" s="357">
        <f t="shared" si="188"/>
        <v>50</v>
      </c>
      <c r="D626" s="357">
        <f t="shared" si="189"/>
        <v>3</v>
      </c>
      <c r="E626" s="357">
        <f t="shared" si="190"/>
        <v>79</v>
      </c>
      <c r="F626" s="356">
        <f t="shared" si="182"/>
        <v>1853540.0730022967</v>
      </c>
      <c r="H626" s="356">
        <f t="shared" si="178"/>
        <v>14780.38883272085</v>
      </c>
      <c r="I626" s="356">
        <v>0</v>
      </c>
      <c r="J626" s="360">
        <f>-SUM(F626:H626)*$J$21</f>
        <v>-16814.88415651516</v>
      </c>
      <c r="K626" s="356">
        <f t="shared" si="183"/>
        <v>-1851.5055776785025</v>
      </c>
      <c r="L626" s="356">
        <f t="shared" si="179"/>
        <v>1849654.072100824</v>
      </c>
      <c r="N626" s="356">
        <f t="shared" si="184"/>
        <v>603</v>
      </c>
      <c r="O626" s="357">
        <f t="shared" si="191"/>
        <v>50</v>
      </c>
      <c r="P626" s="357">
        <f t="shared" si="192"/>
        <v>3</v>
      </c>
      <c r="Q626" s="357">
        <f t="shared" si="193"/>
        <v>50</v>
      </c>
      <c r="R626" s="356">
        <f t="shared" si="185"/>
        <v>80772996.1715604</v>
      </c>
      <c r="S626" s="356">
        <f>IF($G$4="mensual",S625,0)</f>
        <v>10000</v>
      </c>
      <c r="U626" s="356">
        <f t="shared" si="194"/>
        <v>644174.9557396178</v>
      </c>
      <c r="V626" s="359">
        <f t="shared" si="196"/>
        <v>-541.529270986408</v>
      </c>
      <c r="X626" s="359">
        <f t="shared" si="195"/>
        <v>-81427.17112730003</v>
      </c>
      <c r="Y626" s="356">
        <f t="shared" si="180"/>
        <v>81345202.42690173</v>
      </c>
      <c r="AA626" s="357">
        <f>+Bono!J626</f>
        <v>792546.1922688877</v>
      </c>
      <c r="AC626" s="378">
        <f t="shared" si="186"/>
        <v>50.25</v>
      </c>
      <c r="AD626" s="356">
        <f t="shared" si="187"/>
        <v>83987402.69127144</v>
      </c>
    </row>
    <row r="627" spans="2:30" x14ac:dyDescent="0.25">
      <c r="B627" s="356">
        <f t="shared" si="181"/>
        <v>604</v>
      </c>
      <c r="C627" s="357">
        <f t="shared" si="188"/>
        <v>50</v>
      </c>
      <c r="D627" s="357">
        <f t="shared" si="189"/>
        <v>4</v>
      </c>
      <c r="E627" s="357">
        <f t="shared" si="190"/>
        <v>79</v>
      </c>
      <c r="F627" s="356">
        <f t="shared" si="182"/>
        <v>1849654.072100824</v>
      </c>
      <c r="H627" s="356">
        <f t="shared" si="178"/>
        <v>14749.401315825658</v>
      </c>
      <c r="I627" s="356">
        <v>0</v>
      </c>
      <c r="J627" s="356">
        <v>0</v>
      </c>
      <c r="K627" s="356">
        <f t="shared" si="183"/>
        <v>-1864.4034734166498</v>
      </c>
      <c r="L627" s="356">
        <f t="shared" si="179"/>
        <v>1862539.0699432332</v>
      </c>
      <c r="N627" s="356">
        <f t="shared" si="184"/>
        <v>604</v>
      </c>
      <c r="O627" s="357">
        <f t="shared" si="191"/>
        <v>50</v>
      </c>
      <c r="P627" s="357">
        <f t="shared" si="192"/>
        <v>4</v>
      </c>
      <c r="Q627" s="357">
        <f t="shared" si="193"/>
        <v>50</v>
      </c>
      <c r="R627" s="356">
        <f t="shared" si="185"/>
        <v>81345202.42690173</v>
      </c>
      <c r="S627" s="356">
        <f>IF($G$4="mensual",S624,IF($G$4="trimestral",S624,0))</f>
        <v>10000</v>
      </c>
      <c r="U627" s="356">
        <f t="shared" si="194"/>
        <v>648737.8087740067</v>
      </c>
      <c r="V627" s="359">
        <f t="shared" si="196"/>
        <v>-541.529270986408</v>
      </c>
      <c r="X627" s="359">
        <f t="shared" si="195"/>
        <v>-82003.94023567573</v>
      </c>
      <c r="Y627" s="356">
        <f t="shared" si="180"/>
        <v>81921394.76616907</v>
      </c>
      <c r="AA627" s="357">
        <f>+Bono!J627</f>
        <v>797460.0705906231</v>
      </c>
      <c r="AC627" s="378">
        <f t="shared" si="186"/>
        <v>50.333333333333336</v>
      </c>
      <c r="AD627" s="356">
        <f t="shared" si="187"/>
        <v>84581393.90670294</v>
      </c>
    </row>
    <row r="628" spans="2:30" x14ac:dyDescent="0.25">
      <c r="B628" s="356">
        <f t="shared" si="181"/>
        <v>605</v>
      </c>
      <c r="C628" s="357">
        <f t="shared" si="188"/>
        <v>50</v>
      </c>
      <c r="D628" s="357">
        <f t="shared" si="189"/>
        <v>5</v>
      </c>
      <c r="E628" s="357">
        <f t="shared" si="190"/>
        <v>79</v>
      </c>
      <c r="F628" s="356">
        <f t="shared" si="182"/>
        <v>1862539.0699432332</v>
      </c>
      <c r="H628" s="356">
        <f t="shared" si="178"/>
        <v>14852.148098047152</v>
      </c>
      <c r="I628" s="356">
        <v>0</v>
      </c>
      <c r="J628" s="356">
        <v>0</v>
      </c>
      <c r="K628" s="356">
        <f t="shared" si="183"/>
        <v>-1877.3912180412804</v>
      </c>
      <c r="L628" s="356">
        <f t="shared" si="179"/>
        <v>1875513.826823239</v>
      </c>
      <c r="N628" s="356">
        <f t="shared" si="184"/>
        <v>605</v>
      </c>
      <c r="O628" s="357">
        <f t="shared" si="191"/>
        <v>50</v>
      </c>
      <c r="P628" s="357">
        <f t="shared" si="192"/>
        <v>5</v>
      </c>
      <c r="Q628" s="357">
        <f t="shared" si="193"/>
        <v>50</v>
      </c>
      <c r="R628" s="356">
        <f t="shared" si="185"/>
        <v>81921394.76616907</v>
      </c>
      <c r="S628" s="356">
        <f>IF($G$4="mensual",S627,0)</f>
        <v>10000</v>
      </c>
      <c r="U628" s="356">
        <f t="shared" si="194"/>
        <v>653332.4474013831</v>
      </c>
      <c r="V628" s="359">
        <f t="shared" si="196"/>
        <v>-541.529270986408</v>
      </c>
      <c r="X628" s="359">
        <f t="shared" si="195"/>
        <v>-82584.72721357046</v>
      </c>
      <c r="Y628" s="356">
        <f t="shared" si="180"/>
        <v>82501600.9570859</v>
      </c>
      <c r="AA628" s="357">
        <f>+Bono!J628</f>
        <v>802404.4155279278</v>
      </c>
      <c r="AC628" s="378">
        <f t="shared" si="186"/>
        <v>50.416666666666664</v>
      </c>
      <c r="AD628" s="356">
        <f t="shared" si="187"/>
        <v>85179519.19943705</v>
      </c>
    </row>
    <row r="629" spans="2:30" x14ac:dyDescent="0.25">
      <c r="B629" s="356">
        <f t="shared" si="181"/>
        <v>606</v>
      </c>
      <c r="C629" s="357">
        <f t="shared" si="188"/>
        <v>50</v>
      </c>
      <c r="D629" s="357">
        <f t="shared" si="189"/>
        <v>6</v>
      </c>
      <c r="E629" s="357">
        <f t="shared" si="190"/>
        <v>79</v>
      </c>
      <c r="F629" s="356">
        <f t="shared" si="182"/>
        <v>1875513.826823239</v>
      </c>
      <c r="H629" s="356">
        <f t="shared" si="178"/>
        <v>14955.610631439204</v>
      </c>
      <c r="I629" s="356">
        <v>0</v>
      </c>
      <c r="J629" s="360">
        <f>-SUM(F629:H629)*$J$21</f>
        <v>-17014.224937092105</v>
      </c>
      <c r="K629" s="356">
        <f t="shared" si="183"/>
        <v>-1873.455212517586</v>
      </c>
      <c r="L629" s="356">
        <f t="shared" si="179"/>
        <v>1871581.7573050684</v>
      </c>
      <c r="N629" s="356">
        <f t="shared" si="184"/>
        <v>606</v>
      </c>
      <c r="O629" s="357">
        <f t="shared" si="191"/>
        <v>50</v>
      </c>
      <c r="P629" s="357">
        <f t="shared" si="192"/>
        <v>6</v>
      </c>
      <c r="Q629" s="357">
        <f t="shared" si="193"/>
        <v>50</v>
      </c>
      <c r="R629" s="356">
        <f t="shared" si="185"/>
        <v>82501600.9570859</v>
      </c>
      <c r="S629" s="356">
        <f>IF($G$4="mensual",S628,0)</f>
        <v>10000</v>
      </c>
      <c r="U629" s="356">
        <f t="shared" si="194"/>
        <v>657959.0930454731</v>
      </c>
      <c r="V629" s="359">
        <f t="shared" si="196"/>
        <v>-541.529270986408</v>
      </c>
      <c r="X629" s="359">
        <f t="shared" si="195"/>
        <v>-83169.56005013136</v>
      </c>
      <c r="Y629" s="356">
        <f t="shared" si="180"/>
        <v>83085848.96081024</v>
      </c>
      <c r="AA629" s="357">
        <f>+Bono!J629</f>
        <v>800105.727545124</v>
      </c>
      <c r="AC629" s="378">
        <f t="shared" si="186"/>
        <v>50.5</v>
      </c>
      <c r="AD629" s="356">
        <f t="shared" si="187"/>
        <v>85757536.44566044</v>
      </c>
    </row>
    <row r="630" spans="2:30" x14ac:dyDescent="0.25">
      <c r="B630" s="356">
        <f t="shared" si="181"/>
        <v>607</v>
      </c>
      <c r="C630" s="357">
        <f t="shared" si="188"/>
        <v>50</v>
      </c>
      <c r="D630" s="357">
        <f t="shared" si="189"/>
        <v>7</v>
      </c>
      <c r="E630" s="357">
        <f t="shared" si="190"/>
        <v>79</v>
      </c>
      <c r="F630" s="356">
        <f t="shared" si="182"/>
        <v>1871581.7573050684</v>
      </c>
      <c r="H630" s="356">
        <f t="shared" si="178"/>
        <v>14924.255756925098</v>
      </c>
      <c r="I630" s="356">
        <v>0</v>
      </c>
      <c r="J630" s="356">
        <v>0</v>
      </c>
      <c r="K630" s="356">
        <f t="shared" si="183"/>
        <v>-1886.5060130619936</v>
      </c>
      <c r="L630" s="356">
        <f t="shared" si="179"/>
        <v>1884619.5070489314</v>
      </c>
      <c r="N630" s="356">
        <f t="shared" si="184"/>
        <v>607</v>
      </c>
      <c r="O630" s="357">
        <f t="shared" si="191"/>
        <v>50</v>
      </c>
      <c r="P630" s="357">
        <f t="shared" si="192"/>
        <v>7</v>
      </c>
      <c r="Q630" s="357">
        <f t="shared" si="193"/>
        <v>50</v>
      </c>
      <c r="R630" s="356">
        <f t="shared" si="185"/>
        <v>83085848.96081024</v>
      </c>
      <c r="S630" s="356">
        <f>+IF($G$4="mensual",S624,IF($G$4="trimestral",S624,IF($G$4="semestral",S624,0)))</f>
        <v>10000</v>
      </c>
      <c r="U630" s="356">
        <f t="shared" si="194"/>
        <v>662617.9686724779</v>
      </c>
      <c r="V630" s="359">
        <f t="shared" si="196"/>
        <v>-541.529270986408</v>
      </c>
      <c r="X630" s="359">
        <f t="shared" si="195"/>
        <v>-83758.46692948273</v>
      </c>
      <c r="Y630" s="356">
        <f t="shared" si="180"/>
        <v>83674166.93328226</v>
      </c>
      <c r="AA630" s="357">
        <f>+Bono!J630</f>
        <v>805066.4758624239</v>
      </c>
      <c r="AC630" s="378">
        <f t="shared" si="186"/>
        <v>50.583333333333336</v>
      </c>
      <c r="AD630" s="356">
        <f t="shared" si="187"/>
        <v>86363852.91619362</v>
      </c>
    </row>
    <row r="631" spans="2:30" x14ac:dyDescent="0.25">
      <c r="B631" s="356">
        <f t="shared" si="181"/>
        <v>608</v>
      </c>
      <c r="C631" s="357">
        <f t="shared" si="188"/>
        <v>50</v>
      </c>
      <c r="D631" s="357">
        <f t="shared" si="189"/>
        <v>8</v>
      </c>
      <c r="E631" s="357">
        <f t="shared" si="190"/>
        <v>79</v>
      </c>
      <c r="F631" s="356">
        <f t="shared" si="182"/>
        <v>1884619.5070489314</v>
      </c>
      <c r="H631" s="356">
        <f t="shared" si="178"/>
        <v>15028.220604259566</v>
      </c>
      <c r="I631" s="356">
        <v>0</v>
      </c>
      <c r="J631" s="356">
        <v>0</v>
      </c>
      <c r="K631" s="356">
        <f t="shared" si="183"/>
        <v>-1899.647727653191</v>
      </c>
      <c r="L631" s="356">
        <f t="shared" si="179"/>
        <v>1897748.0799255378</v>
      </c>
      <c r="N631" s="356">
        <f t="shared" si="184"/>
        <v>608</v>
      </c>
      <c r="O631" s="357">
        <f t="shared" si="191"/>
        <v>50</v>
      </c>
      <c r="P631" s="357">
        <f t="shared" si="192"/>
        <v>8</v>
      </c>
      <c r="Q631" s="357">
        <f t="shared" si="193"/>
        <v>50</v>
      </c>
      <c r="R631" s="356">
        <f t="shared" si="185"/>
        <v>83674166.93328226</v>
      </c>
      <c r="S631" s="356">
        <f>IF($G$4="mensual",S630,0)</f>
        <v>10000</v>
      </c>
      <c r="U631" s="356">
        <f t="shared" si="194"/>
        <v>667309.2988018176</v>
      </c>
      <c r="V631" s="359">
        <f t="shared" si="196"/>
        <v>-541.529270986408</v>
      </c>
      <c r="X631" s="359">
        <f t="shared" si="195"/>
        <v>-84351.47623208408</v>
      </c>
      <c r="Y631" s="356">
        <f t="shared" si="180"/>
        <v>84266583.226581</v>
      </c>
      <c r="AA631" s="357">
        <f>+Bono!J631</f>
        <v>810057.9813947022</v>
      </c>
      <c r="AC631" s="378">
        <f t="shared" si="186"/>
        <v>50.666666666666664</v>
      </c>
      <c r="AD631" s="356">
        <f t="shared" si="187"/>
        <v>86974389.28790125</v>
      </c>
    </row>
    <row r="632" spans="2:30" x14ac:dyDescent="0.25">
      <c r="B632" s="356">
        <f t="shared" si="181"/>
        <v>609</v>
      </c>
      <c r="C632" s="357">
        <f t="shared" si="188"/>
        <v>50</v>
      </c>
      <c r="D632" s="357">
        <f t="shared" si="189"/>
        <v>9</v>
      </c>
      <c r="E632" s="357">
        <f t="shared" si="190"/>
        <v>79</v>
      </c>
      <c r="F632" s="356">
        <f t="shared" si="182"/>
        <v>1897748.0799255378</v>
      </c>
      <c r="H632" s="356">
        <f t="shared" si="178"/>
        <v>15132.909688008724</v>
      </c>
      <c r="I632" s="356">
        <v>0</v>
      </c>
      <c r="J632" s="360">
        <f>-SUM(F632:H632)*$J$21</f>
        <v>-17215.92890652192</v>
      </c>
      <c r="K632" s="356">
        <f t="shared" si="183"/>
        <v>-1895.6650607070246</v>
      </c>
      <c r="L632" s="356">
        <f t="shared" si="179"/>
        <v>1893769.3956463174</v>
      </c>
      <c r="N632" s="356">
        <f t="shared" si="184"/>
        <v>609</v>
      </c>
      <c r="O632" s="357">
        <f t="shared" si="191"/>
        <v>50</v>
      </c>
      <c r="P632" s="357">
        <f t="shared" si="192"/>
        <v>9</v>
      </c>
      <c r="Q632" s="357">
        <f t="shared" si="193"/>
        <v>50</v>
      </c>
      <c r="R632" s="356">
        <f t="shared" si="185"/>
        <v>84266583.226581</v>
      </c>
      <c r="S632" s="356">
        <f>IF($G$4="mensual",S631,0)</f>
        <v>10000</v>
      </c>
      <c r="U632" s="356">
        <f t="shared" si="194"/>
        <v>672033.3095169525</v>
      </c>
      <c r="V632" s="359">
        <f t="shared" si="196"/>
        <v>-541.529270986408</v>
      </c>
      <c r="X632" s="359">
        <f t="shared" si="195"/>
        <v>-84948.61653609796</v>
      </c>
      <c r="Y632" s="356">
        <f t="shared" si="180"/>
        <v>84863126.39029087</v>
      </c>
      <c r="AA632" s="357">
        <f>+Bono!J632</f>
        <v>807737.3678597166</v>
      </c>
      <c r="AC632" s="378">
        <f t="shared" si="186"/>
        <v>50.75</v>
      </c>
      <c r="AD632" s="356">
        <f t="shared" si="187"/>
        <v>87564633.15379691</v>
      </c>
    </row>
    <row r="633" spans="2:30" x14ac:dyDescent="0.25">
      <c r="B633" s="356">
        <f t="shared" si="181"/>
        <v>610</v>
      </c>
      <c r="C633" s="357">
        <f t="shared" si="188"/>
        <v>50</v>
      </c>
      <c r="D633" s="357">
        <f t="shared" si="189"/>
        <v>10</v>
      </c>
      <c r="E633" s="357">
        <f t="shared" si="190"/>
        <v>79</v>
      </c>
      <c r="F633" s="356">
        <f t="shared" si="182"/>
        <v>1893769.3956463174</v>
      </c>
      <c r="H633" s="356">
        <f t="shared" si="178"/>
        <v>15101.183100843948</v>
      </c>
      <c r="I633" s="356">
        <v>0</v>
      </c>
      <c r="J633" s="356">
        <v>0</v>
      </c>
      <c r="K633" s="356">
        <f t="shared" si="183"/>
        <v>-1908.8705787471615</v>
      </c>
      <c r="L633" s="356">
        <f t="shared" si="179"/>
        <v>1906961.7081684142</v>
      </c>
      <c r="N633" s="356">
        <f t="shared" si="184"/>
        <v>610</v>
      </c>
      <c r="O633" s="357">
        <f t="shared" si="191"/>
        <v>50</v>
      </c>
      <c r="P633" s="357">
        <f t="shared" si="192"/>
        <v>10</v>
      </c>
      <c r="Q633" s="357">
        <f t="shared" si="193"/>
        <v>50</v>
      </c>
      <c r="R633" s="356">
        <f t="shared" si="185"/>
        <v>84863126.39029087</v>
      </c>
      <c r="S633" s="356">
        <f>IF($G$4="mensual",S624,IF($G$4="trimestral",S624,0))</f>
        <v>10000</v>
      </c>
      <c r="U633" s="356">
        <f t="shared" si="194"/>
        <v>676790.2284762774</v>
      </c>
      <c r="V633" s="359">
        <f t="shared" si="196"/>
        <v>-541.529270986408</v>
      </c>
      <c r="X633" s="359">
        <f t="shared" si="195"/>
        <v>-85549.91661876715</v>
      </c>
      <c r="Y633" s="356">
        <f t="shared" si="180"/>
        <v>85463825.17287739</v>
      </c>
      <c r="AA633" s="357">
        <f>+Bono!J633</f>
        <v>812745.4332321825</v>
      </c>
      <c r="AC633" s="378">
        <f t="shared" si="186"/>
        <v>50.833333333333336</v>
      </c>
      <c r="AD633" s="356">
        <f t="shared" si="187"/>
        <v>88183532.31427799</v>
      </c>
    </row>
    <row r="634" spans="2:30" x14ac:dyDescent="0.25">
      <c r="B634" s="356">
        <f t="shared" si="181"/>
        <v>611</v>
      </c>
      <c r="C634" s="357">
        <f t="shared" si="188"/>
        <v>50</v>
      </c>
      <c r="D634" s="357">
        <f t="shared" si="189"/>
        <v>11</v>
      </c>
      <c r="E634" s="357">
        <f t="shared" si="190"/>
        <v>79</v>
      </c>
      <c r="F634" s="356">
        <f t="shared" si="182"/>
        <v>1906961.7081684142</v>
      </c>
      <c r="H634" s="356">
        <f t="shared" si="178"/>
        <v>15206.380453477133</v>
      </c>
      <c r="I634" s="356">
        <v>0</v>
      </c>
      <c r="J634" s="356">
        <v>0</v>
      </c>
      <c r="K634" s="356">
        <f t="shared" si="183"/>
        <v>-1922.1680886218915</v>
      </c>
      <c r="L634" s="356">
        <f t="shared" si="179"/>
        <v>1920245.9205332694</v>
      </c>
      <c r="N634" s="356">
        <f t="shared" si="184"/>
        <v>611</v>
      </c>
      <c r="O634" s="357">
        <f t="shared" si="191"/>
        <v>50</v>
      </c>
      <c r="P634" s="357">
        <f t="shared" si="192"/>
        <v>11</v>
      </c>
      <c r="Q634" s="357">
        <f t="shared" si="193"/>
        <v>50</v>
      </c>
      <c r="R634" s="356">
        <f t="shared" si="185"/>
        <v>85463825.17287739</v>
      </c>
      <c r="S634" s="356">
        <f>IF($G$17="si",S622*(1+$G$20),S622)</f>
        <v>10000</v>
      </c>
      <c r="U634" s="356">
        <f t="shared" si="194"/>
        <v>681580.2849240939</v>
      </c>
      <c r="V634" s="359">
        <f t="shared" si="196"/>
        <v>-541.529270986408</v>
      </c>
      <c r="X634" s="359">
        <f t="shared" si="195"/>
        <v>-86155.40545780148</v>
      </c>
      <c r="Y634" s="356">
        <f t="shared" si="180"/>
        <v>86068708.52307269</v>
      </c>
      <c r="AA634" s="357">
        <f>+Bono!J634</f>
        <v>817784.5491908573</v>
      </c>
      <c r="AC634" s="378">
        <f t="shared" si="186"/>
        <v>50.916666666666664</v>
      </c>
      <c r="AD634" s="356">
        <f t="shared" si="187"/>
        <v>88806738.99279682</v>
      </c>
    </row>
    <row r="635" spans="2:30" x14ac:dyDescent="0.25">
      <c r="B635" s="356">
        <f t="shared" si="181"/>
        <v>612</v>
      </c>
      <c r="C635" s="357">
        <f t="shared" si="188"/>
        <v>50</v>
      </c>
      <c r="D635" s="357">
        <f t="shared" si="189"/>
        <v>12</v>
      </c>
      <c r="E635" s="357">
        <f t="shared" si="190"/>
        <v>79</v>
      </c>
      <c r="F635" s="356">
        <f t="shared" si="182"/>
        <v>1920245.9205332694</v>
      </c>
      <c r="H635" s="356">
        <f t="shared" si="178"/>
        <v>15312.310628361869</v>
      </c>
      <c r="I635" s="356">
        <v>0</v>
      </c>
      <c r="J635" s="360">
        <f>-SUM(F635:H635)*$J$21</f>
        <v>-17420.02408045468</v>
      </c>
      <c r="K635" s="356">
        <f t="shared" si="183"/>
        <v>-1918.1382070811767</v>
      </c>
      <c r="L635" s="356">
        <f t="shared" si="179"/>
        <v>1916220.0688740953</v>
      </c>
      <c r="N635" s="356">
        <f t="shared" si="184"/>
        <v>612</v>
      </c>
      <c r="O635" s="357">
        <f t="shared" si="191"/>
        <v>50</v>
      </c>
      <c r="P635" s="357">
        <f t="shared" si="192"/>
        <v>12</v>
      </c>
      <c r="Q635" s="357">
        <f t="shared" si="193"/>
        <v>50</v>
      </c>
      <c r="R635" s="356">
        <f t="shared" si="185"/>
        <v>86068708.52307269</v>
      </c>
      <c r="S635" s="356">
        <f>IF($G$4="mensual",S634,0)</f>
        <v>10000</v>
      </c>
      <c r="U635" s="356">
        <f t="shared" si="194"/>
        <v>686403.709701657</v>
      </c>
      <c r="V635" s="359">
        <f t="shared" si="196"/>
        <v>-541.529270986408</v>
      </c>
      <c r="X635" s="359">
        <f t="shared" si="195"/>
        <v>-86765.11223277435</v>
      </c>
      <c r="Y635" s="356">
        <f t="shared" si="180"/>
        <v>86677805.59127058</v>
      </c>
      <c r="AA635" s="357">
        <f>+Bono!J635</f>
        <v>815441.8009714189</v>
      </c>
      <c r="AC635" s="378">
        <f t="shared" si="186"/>
        <v>51</v>
      </c>
      <c r="AD635" s="356">
        <f t="shared" si="187"/>
        <v>89409467.46111609</v>
      </c>
    </row>
    <row r="636" spans="2:30" x14ac:dyDescent="0.25">
      <c r="B636" s="356">
        <f t="shared" si="181"/>
        <v>613</v>
      </c>
      <c r="C636" s="357">
        <f t="shared" si="188"/>
        <v>51</v>
      </c>
      <c r="D636" s="357">
        <f t="shared" si="189"/>
        <v>1</v>
      </c>
      <c r="E636" s="357">
        <f t="shared" si="190"/>
        <v>80</v>
      </c>
      <c r="F636" s="356">
        <f t="shared" si="182"/>
        <v>1916220.0688740953</v>
      </c>
      <c r="H636" s="356">
        <f t="shared" si="178"/>
        <v>15280.20792188568</v>
      </c>
      <c r="I636" s="356">
        <v>0</v>
      </c>
      <c r="J636" s="356">
        <v>0</v>
      </c>
      <c r="K636" s="356">
        <f t="shared" si="183"/>
        <v>-1931.500276795981</v>
      </c>
      <c r="L636" s="356">
        <f t="shared" si="179"/>
        <v>1929568.776519185</v>
      </c>
      <c r="N636" s="356">
        <f t="shared" si="184"/>
        <v>613</v>
      </c>
      <c r="O636" s="357">
        <f t="shared" si="191"/>
        <v>51</v>
      </c>
      <c r="P636" s="357">
        <f t="shared" si="192"/>
        <v>1</v>
      </c>
      <c r="Q636" s="357">
        <f t="shared" si="193"/>
        <v>51</v>
      </c>
      <c r="R636" s="356">
        <f t="shared" si="185"/>
        <v>86677805.59127058</v>
      </c>
      <c r="S636" s="356">
        <f>IF($G$17="si",S624*(1+$G$20),S624)</f>
        <v>10000</v>
      </c>
      <c r="U636" s="356">
        <f t="shared" si="194"/>
        <v>691260.7352583006</v>
      </c>
      <c r="V636" s="359">
        <f>(V635*(1+$G$18))</f>
        <v>-563.1904418258644</v>
      </c>
      <c r="X636" s="359">
        <f t="shared" si="195"/>
        <v>-87379.06632652887</v>
      </c>
      <c r="Y636" s="356">
        <f t="shared" si="180"/>
        <v>87291124.06976052</v>
      </c>
      <c r="AA636" s="357">
        <f>+Bono!J636</f>
        <v>820497.6347228362</v>
      </c>
      <c r="AC636" s="378">
        <f t="shared" si="186"/>
        <v>51.083333333333336</v>
      </c>
      <c r="AD636" s="356">
        <f t="shared" si="187"/>
        <v>90041190.48100252</v>
      </c>
    </row>
    <row r="637" spans="2:30" x14ac:dyDescent="0.25">
      <c r="B637" s="356">
        <f t="shared" si="181"/>
        <v>614</v>
      </c>
      <c r="C637" s="357">
        <f t="shared" si="188"/>
        <v>51</v>
      </c>
      <c r="D637" s="357">
        <f t="shared" si="189"/>
        <v>2</v>
      </c>
      <c r="E637" s="357">
        <f t="shared" si="190"/>
        <v>80</v>
      </c>
      <c r="F637" s="356">
        <f t="shared" si="182"/>
        <v>1929568.776519185</v>
      </c>
      <c r="H637" s="356">
        <f t="shared" si="178"/>
        <v>15386.652391192005</v>
      </c>
      <c r="I637" s="356">
        <v>0</v>
      </c>
      <c r="J637" s="356">
        <v>0</v>
      </c>
      <c r="K637" s="356">
        <f t="shared" si="183"/>
        <v>-1944.9554289103771</v>
      </c>
      <c r="L637" s="356">
        <f t="shared" si="179"/>
        <v>1943010.4734814665</v>
      </c>
      <c r="N637" s="356">
        <f t="shared" si="184"/>
        <v>614</v>
      </c>
      <c r="O637" s="357">
        <f t="shared" si="191"/>
        <v>51</v>
      </c>
      <c r="P637" s="357">
        <f t="shared" si="192"/>
        <v>2</v>
      </c>
      <c r="Q637" s="357">
        <f t="shared" si="193"/>
        <v>51</v>
      </c>
      <c r="R637" s="356">
        <f t="shared" si="185"/>
        <v>87291124.06976052</v>
      </c>
      <c r="S637" s="356">
        <f>IF($G$4="mensual",S636,0)</f>
        <v>10000</v>
      </c>
      <c r="U637" s="356">
        <f t="shared" si="194"/>
        <v>696151.4229334209</v>
      </c>
      <c r="V637" s="359">
        <f t="shared" si="196"/>
        <v>-563.1904418258644</v>
      </c>
      <c r="X637" s="359">
        <f t="shared" si="195"/>
        <v>-87997.27549269394</v>
      </c>
      <c r="Y637" s="356">
        <f t="shared" si="180"/>
        <v>87908715.0267594</v>
      </c>
      <c r="AA637" s="357">
        <f>+Bono!J637</f>
        <v>825584.8152299527</v>
      </c>
      <c r="AC637" s="378">
        <f t="shared" si="186"/>
        <v>51.166666666666664</v>
      </c>
      <c r="AD637" s="356">
        <f t="shared" si="187"/>
        <v>90677310.31547081</v>
      </c>
    </row>
    <row r="638" spans="2:30" x14ac:dyDescent="0.25">
      <c r="B638" s="356">
        <f t="shared" si="181"/>
        <v>615</v>
      </c>
      <c r="C638" s="357">
        <f t="shared" si="188"/>
        <v>51</v>
      </c>
      <c r="D638" s="357">
        <f t="shared" si="189"/>
        <v>3</v>
      </c>
      <c r="E638" s="357">
        <f t="shared" si="190"/>
        <v>80</v>
      </c>
      <c r="F638" s="356">
        <f t="shared" si="182"/>
        <v>1943010.4734814665</v>
      </c>
      <c r="H638" s="356">
        <f t="shared" si="178"/>
        <v>15493.838370372008</v>
      </c>
      <c r="I638" s="356">
        <v>0</v>
      </c>
      <c r="J638" s="360">
        <f>-SUM(F638:H638)*$J$21</f>
        <v>-17626.53880666655</v>
      </c>
      <c r="K638" s="356">
        <f t="shared" si="183"/>
        <v>-1940.877773045172</v>
      </c>
      <c r="L638" s="356">
        <f t="shared" si="179"/>
        <v>1938936.895272127</v>
      </c>
      <c r="N638" s="356">
        <f t="shared" si="184"/>
        <v>615</v>
      </c>
      <c r="O638" s="357">
        <f t="shared" si="191"/>
        <v>51</v>
      </c>
      <c r="P638" s="357">
        <f t="shared" si="192"/>
        <v>3</v>
      </c>
      <c r="Q638" s="357">
        <f t="shared" si="193"/>
        <v>51</v>
      </c>
      <c r="R638" s="356">
        <f t="shared" si="185"/>
        <v>87908715.0267594</v>
      </c>
      <c r="S638" s="356">
        <f>IF($G$4="mensual",S637,0)</f>
        <v>10000</v>
      </c>
      <c r="U638" s="356">
        <f t="shared" si="194"/>
        <v>701076.179952151</v>
      </c>
      <c r="V638" s="359">
        <f t="shared" si="196"/>
        <v>-563.1904418258644</v>
      </c>
      <c r="X638" s="359">
        <f t="shared" si="195"/>
        <v>-88619.79120671155</v>
      </c>
      <c r="Y638" s="356">
        <f t="shared" si="180"/>
        <v>88530608.225063</v>
      </c>
      <c r="AA638" s="357">
        <f>+Bono!J638</f>
        <v>823219.7211990259</v>
      </c>
      <c r="AC638" s="378">
        <f t="shared" si="186"/>
        <v>51.25</v>
      </c>
      <c r="AD638" s="356">
        <f t="shared" si="187"/>
        <v>91292764.84153414</v>
      </c>
    </row>
    <row r="639" spans="2:30" x14ac:dyDescent="0.25">
      <c r="B639" s="356">
        <f t="shared" si="181"/>
        <v>616</v>
      </c>
      <c r="C639" s="357">
        <f t="shared" si="188"/>
        <v>51</v>
      </c>
      <c r="D639" s="357">
        <f t="shared" si="189"/>
        <v>4</v>
      </c>
      <c r="E639" s="357">
        <f t="shared" si="190"/>
        <v>80</v>
      </c>
      <c r="F639" s="356">
        <f t="shared" si="182"/>
        <v>1938936.895272127</v>
      </c>
      <c r="H639" s="356">
        <f t="shared" si="178"/>
        <v>15461.355085682611</v>
      </c>
      <c r="I639" s="356">
        <v>0</v>
      </c>
      <c r="J639" s="356">
        <v>0</v>
      </c>
      <c r="K639" s="356">
        <f t="shared" si="183"/>
        <v>-1954.3982503578095</v>
      </c>
      <c r="L639" s="356">
        <f t="shared" si="179"/>
        <v>1952443.8521074518</v>
      </c>
      <c r="N639" s="356">
        <f t="shared" si="184"/>
        <v>616</v>
      </c>
      <c r="O639" s="357">
        <f t="shared" si="191"/>
        <v>51</v>
      </c>
      <c r="P639" s="357">
        <f t="shared" si="192"/>
        <v>4</v>
      </c>
      <c r="Q639" s="357">
        <f t="shared" si="193"/>
        <v>51</v>
      </c>
      <c r="R639" s="356">
        <f t="shared" si="185"/>
        <v>88530608.225063</v>
      </c>
      <c r="S639" s="356">
        <f>IF($G$4="mensual",S636,IF($G$4="trimestral",S636,0))</f>
        <v>10000</v>
      </c>
      <c r="U639" s="356">
        <f t="shared" si="194"/>
        <v>706035.243647204</v>
      </c>
      <c r="V639" s="359">
        <f t="shared" si="196"/>
        <v>-563.1904418258644</v>
      </c>
      <c r="X639" s="359">
        <f t="shared" si="195"/>
        <v>-89246.6434687102</v>
      </c>
      <c r="Y639" s="356">
        <f t="shared" si="180"/>
        <v>89156833.63479966</v>
      </c>
      <c r="AA639" s="357">
        <f>+Bono!J639</f>
        <v>828323.7789580371</v>
      </c>
      <c r="AC639" s="378">
        <f t="shared" si="186"/>
        <v>51.333333333333336</v>
      </c>
      <c r="AD639" s="356">
        <f t="shared" si="187"/>
        <v>91937601.26586515</v>
      </c>
    </row>
    <row r="640" spans="2:30" x14ac:dyDescent="0.25">
      <c r="B640" s="356">
        <f t="shared" si="181"/>
        <v>617</v>
      </c>
      <c r="C640" s="357">
        <f t="shared" si="188"/>
        <v>51</v>
      </c>
      <c r="D640" s="357">
        <f t="shared" si="189"/>
        <v>5</v>
      </c>
      <c r="E640" s="357">
        <f t="shared" si="190"/>
        <v>80</v>
      </c>
      <c r="F640" s="356">
        <f t="shared" si="182"/>
        <v>1952443.8521074518</v>
      </c>
      <c r="H640" s="356">
        <f t="shared" si="178"/>
        <v>15569.061456254633</v>
      </c>
      <c r="I640" s="356">
        <v>0</v>
      </c>
      <c r="J640" s="356">
        <v>0</v>
      </c>
      <c r="K640" s="356">
        <f t="shared" si="183"/>
        <v>-1968.0129135637064</v>
      </c>
      <c r="L640" s="356">
        <f t="shared" si="179"/>
        <v>1966044.9006501427</v>
      </c>
      <c r="N640" s="356">
        <f t="shared" si="184"/>
        <v>617</v>
      </c>
      <c r="O640" s="357">
        <f t="shared" si="191"/>
        <v>51</v>
      </c>
      <c r="P640" s="357">
        <f t="shared" si="192"/>
        <v>5</v>
      </c>
      <c r="Q640" s="357">
        <f t="shared" si="193"/>
        <v>51</v>
      </c>
      <c r="R640" s="356">
        <f t="shared" si="185"/>
        <v>89156833.63479966</v>
      </c>
      <c r="S640" s="356">
        <f>IF($G$4="mensual",S639,0)</f>
        <v>10000</v>
      </c>
      <c r="U640" s="356">
        <f t="shared" si="194"/>
        <v>711028.853004592</v>
      </c>
      <c r="V640" s="359">
        <f t="shared" si="196"/>
        <v>-563.1904418258644</v>
      </c>
      <c r="X640" s="359">
        <f t="shared" si="195"/>
        <v>-89877.86248780425</v>
      </c>
      <c r="Y640" s="356">
        <f t="shared" si="180"/>
        <v>89787421.43487461</v>
      </c>
      <c r="AA640" s="357">
        <f>+Bono!J640</f>
        <v>833459.4824671884</v>
      </c>
      <c r="AC640" s="378">
        <f t="shared" si="186"/>
        <v>51.416666666666664</v>
      </c>
      <c r="AD640" s="356">
        <f t="shared" si="187"/>
        <v>92586925.81799194</v>
      </c>
    </row>
    <row r="641" spans="2:30" x14ac:dyDescent="0.25">
      <c r="B641" s="356">
        <f t="shared" si="181"/>
        <v>618</v>
      </c>
      <c r="C641" s="357">
        <f t="shared" si="188"/>
        <v>51</v>
      </c>
      <c r="D641" s="357">
        <f t="shared" si="189"/>
        <v>6</v>
      </c>
      <c r="E641" s="357">
        <f t="shared" si="190"/>
        <v>80</v>
      </c>
      <c r="F641" s="356">
        <f t="shared" si="182"/>
        <v>1966044.9006501427</v>
      </c>
      <c r="H641" s="356">
        <f t="shared" si="178"/>
        <v>15677.518127314388</v>
      </c>
      <c r="I641" s="356">
        <v>0</v>
      </c>
      <c r="J641" s="360">
        <f>-SUM(F641:H641)*$J$21</f>
        <v>-17835.501768997114</v>
      </c>
      <c r="K641" s="356">
        <f t="shared" si="183"/>
        <v>-1963.88691700846</v>
      </c>
      <c r="L641" s="356">
        <f t="shared" si="179"/>
        <v>1961923.0300914512</v>
      </c>
      <c r="N641" s="356">
        <f t="shared" si="184"/>
        <v>618</v>
      </c>
      <c r="O641" s="357">
        <f t="shared" si="191"/>
        <v>51</v>
      </c>
      <c r="P641" s="357">
        <f t="shared" si="192"/>
        <v>6</v>
      </c>
      <c r="Q641" s="357">
        <f t="shared" si="193"/>
        <v>51</v>
      </c>
      <c r="R641" s="356">
        <f t="shared" si="185"/>
        <v>89787421.43487461</v>
      </c>
      <c r="S641" s="356">
        <f>IF($G$4="mensual",S640,0)</f>
        <v>10000</v>
      </c>
      <c r="U641" s="356">
        <f t="shared" si="194"/>
        <v>716057.2486751431</v>
      </c>
      <c r="V641" s="359">
        <f t="shared" si="196"/>
        <v>-563.1904418258644</v>
      </c>
      <c r="X641" s="359">
        <f t="shared" si="195"/>
        <v>-90513.47868354975</v>
      </c>
      <c r="Y641" s="356">
        <f t="shared" si="180"/>
        <v>90422402.01442437</v>
      </c>
      <c r="AA641" s="357">
        <f>+Bono!J641</f>
        <v>831071.8294839471</v>
      </c>
      <c r="AC641" s="378">
        <f t="shared" si="186"/>
        <v>51.5</v>
      </c>
      <c r="AD641" s="356">
        <f t="shared" si="187"/>
        <v>93215396.87399976</v>
      </c>
    </row>
    <row r="642" spans="2:30" x14ac:dyDescent="0.25">
      <c r="B642" s="356">
        <f t="shared" si="181"/>
        <v>619</v>
      </c>
      <c r="C642" s="357">
        <f t="shared" si="188"/>
        <v>51</v>
      </c>
      <c r="D642" s="357">
        <f t="shared" si="189"/>
        <v>7</v>
      </c>
      <c r="E642" s="357">
        <f t="shared" si="190"/>
        <v>80</v>
      </c>
      <c r="F642" s="356">
        <f t="shared" si="182"/>
        <v>1961923.0300914512</v>
      </c>
      <c r="H642" s="356">
        <f t="shared" si="178"/>
        <v>15644.649752649619</v>
      </c>
      <c r="I642" s="356">
        <v>0</v>
      </c>
      <c r="J642" s="356">
        <v>0</v>
      </c>
      <c r="K642" s="356">
        <f t="shared" si="183"/>
        <v>-1977.567679844101</v>
      </c>
      <c r="L642" s="356">
        <f t="shared" si="179"/>
        <v>1975590.1121642569</v>
      </c>
      <c r="N642" s="356">
        <f t="shared" si="184"/>
        <v>619</v>
      </c>
      <c r="O642" s="357">
        <f t="shared" si="191"/>
        <v>51</v>
      </c>
      <c r="P642" s="357">
        <f t="shared" si="192"/>
        <v>7</v>
      </c>
      <c r="Q642" s="357">
        <f t="shared" si="193"/>
        <v>51</v>
      </c>
      <c r="R642" s="356">
        <f t="shared" si="185"/>
        <v>90422402.01442437</v>
      </c>
      <c r="S642" s="356">
        <f>+IF($G$4="mensual",S636,IF($G$4="trimestral",S636,IF($G$4="semestral",S636,0)))</f>
        <v>10000</v>
      </c>
      <c r="U642" s="356">
        <f t="shared" si="194"/>
        <v>721120.6729860996</v>
      </c>
      <c r="V642" s="359">
        <f t="shared" si="196"/>
        <v>-563.1904418258644</v>
      </c>
      <c r="X642" s="359">
        <f t="shared" si="195"/>
        <v>-91153.52268741047</v>
      </c>
      <c r="Y642" s="356">
        <f t="shared" si="180"/>
        <v>91061805.97428124</v>
      </c>
      <c r="AA642" s="357">
        <f>+Bono!J642</f>
        <v>836224.5712251131</v>
      </c>
      <c r="AC642" s="378">
        <f t="shared" si="186"/>
        <v>51.583333333333336</v>
      </c>
      <c r="AD642" s="356">
        <f t="shared" si="187"/>
        <v>93873620.6576706</v>
      </c>
    </row>
    <row r="643" spans="2:30" x14ac:dyDescent="0.25">
      <c r="B643" s="356">
        <f t="shared" si="181"/>
        <v>620</v>
      </c>
      <c r="C643" s="357">
        <f t="shared" si="188"/>
        <v>51</v>
      </c>
      <c r="D643" s="357">
        <f t="shared" si="189"/>
        <v>8</v>
      </c>
      <c r="E643" s="357">
        <f t="shared" si="190"/>
        <v>80</v>
      </c>
      <c r="F643" s="356">
        <f t="shared" si="182"/>
        <v>1975590.1121642569</v>
      </c>
      <c r="H643" s="356">
        <f t="shared" si="178"/>
        <v>15753.632984351523</v>
      </c>
      <c r="I643" s="356">
        <v>0</v>
      </c>
      <c r="J643" s="356">
        <v>0</v>
      </c>
      <c r="K643" s="356">
        <f t="shared" si="183"/>
        <v>-1991.3437451486086</v>
      </c>
      <c r="L643" s="356">
        <f t="shared" si="179"/>
        <v>1989352.40140346</v>
      </c>
      <c r="N643" s="356">
        <f t="shared" si="184"/>
        <v>620</v>
      </c>
      <c r="O643" s="357">
        <f t="shared" si="191"/>
        <v>51</v>
      </c>
      <c r="P643" s="357">
        <f t="shared" si="192"/>
        <v>8</v>
      </c>
      <c r="Q643" s="357">
        <f t="shared" si="193"/>
        <v>51</v>
      </c>
      <c r="R643" s="356">
        <f t="shared" si="185"/>
        <v>91061805.97428124</v>
      </c>
      <c r="S643" s="356">
        <f>IF($G$4="mensual",S642,0)</f>
        <v>10000</v>
      </c>
      <c r="U643" s="356">
        <f t="shared" si="194"/>
        <v>726219.3699527953</v>
      </c>
      <c r="V643" s="359">
        <f t="shared" si="196"/>
        <v>-563.1904418258644</v>
      </c>
      <c r="X643" s="359">
        <f t="shared" si="195"/>
        <v>-91798.02534423403</v>
      </c>
      <c r="Y643" s="356">
        <f t="shared" si="180"/>
        <v>91705664.12844796</v>
      </c>
      <c r="AA643" s="357">
        <f>+Bono!J643</f>
        <v>841409.2605627555</v>
      </c>
      <c r="AC643" s="378">
        <f t="shared" si="186"/>
        <v>51.666666666666664</v>
      </c>
      <c r="AD643" s="356">
        <f t="shared" si="187"/>
        <v>94536425.79041418</v>
      </c>
    </row>
    <row r="644" spans="2:30" x14ac:dyDescent="0.25">
      <c r="B644" s="356">
        <f t="shared" si="181"/>
        <v>621</v>
      </c>
      <c r="C644" s="357">
        <f t="shared" si="188"/>
        <v>51</v>
      </c>
      <c r="D644" s="357">
        <f t="shared" si="189"/>
        <v>9</v>
      </c>
      <c r="E644" s="357">
        <f t="shared" si="190"/>
        <v>80</v>
      </c>
      <c r="F644" s="356">
        <f t="shared" si="182"/>
        <v>1989352.40140346</v>
      </c>
      <c r="H644" s="356">
        <f t="shared" si="178"/>
        <v>15863.375411368119</v>
      </c>
      <c r="I644" s="356">
        <v>0</v>
      </c>
      <c r="J644" s="360">
        <f>-SUM(F644:H644)*$J$21</f>
        <v>-18046.941991333457</v>
      </c>
      <c r="K644" s="356">
        <f t="shared" si="183"/>
        <v>-1987.1688348234948</v>
      </c>
      <c r="L644" s="356">
        <f t="shared" si="179"/>
        <v>1985181.6659886714</v>
      </c>
      <c r="N644" s="356">
        <f t="shared" si="184"/>
        <v>621</v>
      </c>
      <c r="O644" s="357">
        <f t="shared" si="191"/>
        <v>51</v>
      </c>
      <c r="P644" s="357">
        <f t="shared" si="192"/>
        <v>9</v>
      </c>
      <c r="Q644" s="357">
        <f t="shared" si="193"/>
        <v>51</v>
      </c>
      <c r="R644" s="356">
        <f t="shared" si="185"/>
        <v>91705664.12844796</v>
      </c>
      <c r="S644" s="356">
        <f>IF($G$4="mensual",S643,0)</f>
        <v>10000</v>
      </c>
      <c r="U644" s="356">
        <f t="shared" si="194"/>
        <v>731353.5852904157</v>
      </c>
      <c r="V644" s="359">
        <f t="shared" si="196"/>
        <v>-563.1904418258644</v>
      </c>
      <c r="X644" s="359">
        <f t="shared" si="195"/>
        <v>-92447.01771373839</v>
      </c>
      <c r="Y644" s="356">
        <f t="shared" si="180"/>
        <v>92354007.50558281</v>
      </c>
      <c r="AA644" s="357">
        <f>+Bono!J644</f>
        <v>838998.8334533746</v>
      </c>
      <c r="AC644" s="378">
        <f t="shared" si="186"/>
        <v>51.75</v>
      </c>
      <c r="AD644" s="356">
        <f t="shared" si="187"/>
        <v>95178188.00502485</v>
      </c>
    </row>
    <row r="645" spans="2:30" x14ac:dyDescent="0.25">
      <c r="B645" s="356">
        <f t="shared" si="181"/>
        <v>622</v>
      </c>
      <c r="C645" s="357">
        <f t="shared" si="188"/>
        <v>51</v>
      </c>
      <c r="D645" s="357">
        <f t="shared" si="189"/>
        <v>10</v>
      </c>
      <c r="E645" s="357">
        <f t="shared" si="190"/>
        <v>80</v>
      </c>
      <c r="F645" s="356">
        <f t="shared" si="182"/>
        <v>1985181.6659886714</v>
      </c>
      <c r="H645" s="356">
        <f t="shared" si="178"/>
        <v>15830.117381478793</v>
      </c>
      <c r="I645" s="356">
        <v>0</v>
      </c>
      <c r="J645" s="356">
        <v>0</v>
      </c>
      <c r="K645" s="356">
        <f t="shared" si="183"/>
        <v>-2001.0117833701504</v>
      </c>
      <c r="L645" s="356">
        <f t="shared" si="179"/>
        <v>1999010.7715867802</v>
      </c>
      <c r="N645" s="356">
        <f t="shared" si="184"/>
        <v>622</v>
      </c>
      <c r="O645" s="357">
        <f t="shared" si="191"/>
        <v>51</v>
      </c>
      <c r="P645" s="357">
        <f t="shared" si="192"/>
        <v>10</v>
      </c>
      <c r="Q645" s="357">
        <f t="shared" si="193"/>
        <v>51</v>
      </c>
      <c r="R645" s="356">
        <f t="shared" si="185"/>
        <v>92354007.50558281</v>
      </c>
      <c r="S645" s="356">
        <f>IF($G$4="mensual",S636,IF($G$4="trimestral",S636,0))</f>
        <v>10000</v>
      </c>
      <c r="U645" s="356">
        <f t="shared" si="194"/>
        <v>736523.5664258386</v>
      </c>
      <c r="V645" s="359">
        <f t="shared" si="196"/>
        <v>-563.1904418258644</v>
      </c>
      <c r="X645" s="359">
        <f t="shared" si="195"/>
        <v>-93100.53107200866</v>
      </c>
      <c r="Y645" s="356">
        <f t="shared" si="180"/>
        <v>93006867.35049482</v>
      </c>
      <c r="AA645" s="357">
        <f>+Bono!J645</f>
        <v>844200.7235386267</v>
      </c>
      <c r="AC645" s="378">
        <f t="shared" si="186"/>
        <v>51.833333333333336</v>
      </c>
      <c r="AD645" s="356">
        <f t="shared" si="187"/>
        <v>95850078.84562021</v>
      </c>
    </row>
    <row r="646" spans="2:30" x14ac:dyDescent="0.25">
      <c r="B646" s="356">
        <f t="shared" si="181"/>
        <v>623</v>
      </c>
      <c r="C646" s="357">
        <f t="shared" si="188"/>
        <v>51</v>
      </c>
      <c r="D646" s="357">
        <f t="shared" si="189"/>
        <v>11</v>
      </c>
      <c r="E646" s="357">
        <f t="shared" si="190"/>
        <v>80</v>
      </c>
      <c r="F646" s="356">
        <f t="shared" si="182"/>
        <v>1999010.7715867802</v>
      </c>
      <c r="H646" s="356">
        <f t="shared" si="178"/>
        <v>15940.392611524252</v>
      </c>
      <c r="I646" s="356">
        <v>0</v>
      </c>
      <c r="J646" s="356">
        <v>0</v>
      </c>
      <c r="K646" s="356">
        <f t="shared" si="183"/>
        <v>-2014.9511641983045</v>
      </c>
      <c r="L646" s="356">
        <f t="shared" si="179"/>
        <v>2012936.2130341062</v>
      </c>
      <c r="N646" s="356">
        <f t="shared" si="184"/>
        <v>623</v>
      </c>
      <c r="O646" s="357">
        <f t="shared" si="191"/>
        <v>51</v>
      </c>
      <c r="P646" s="357">
        <f t="shared" si="192"/>
        <v>11</v>
      </c>
      <c r="Q646" s="357">
        <f t="shared" si="193"/>
        <v>51</v>
      </c>
      <c r="R646" s="356">
        <f t="shared" si="185"/>
        <v>93006867.35049482</v>
      </c>
      <c r="S646" s="356">
        <f>IF($G$17="si",S634*(1+$G$20),S634)</f>
        <v>10000</v>
      </c>
      <c r="U646" s="356">
        <f t="shared" si="194"/>
        <v>741729.5625095593</v>
      </c>
      <c r="V646" s="359">
        <f t="shared" si="196"/>
        <v>-563.1904418258644</v>
      </c>
      <c r="X646" s="359">
        <f t="shared" si="195"/>
        <v>-93758.59691300438</v>
      </c>
      <c r="Y646" s="356">
        <f t="shared" si="180"/>
        <v>93664275.12564954</v>
      </c>
      <c r="AA646" s="357">
        <f>+Bono!J646</f>
        <v>849434.8659457893</v>
      </c>
      <c r="AC646" s="378">
        <f t="shared" si="186"/>
        <v>51.916666666666664</v>
      </c>
      <c r="AD646" s="356">
        <f t="shared" si="187"/>
        <v>96526646.20462944</v>
      </c>
    </row>
    <row r="647" spans="2:30" x14ac:dyDescent="0.25">
      <c r="B647" s="356">
        <f t="shared" si="181"/>
        <v>624</v>
      </c>
      <c r="C647" s="357">
        <f t="shared" si="188"/>
        <v>51</v>
      </c>
      <c r="D647" s="357">
        <f t="shared" si="189"/>
        <v>12</v>
      </c>
      <c r="E647" s="357">
        <f t="shared" si="190"/>
        <v>80</v>
      </c>
      <c r="F647" s="356">
        <f t="shared" si="182"/>
        <v>2012936.2130341062</v>
      </c>
      <c r="H647" s="356">
        <f t="shared" si="178"/>
        <v>16051.436037159707</v>
      </c>
      <c r="I647" s="356">
        <v>0</v>
      </c>
      <c r="J647" s="360">
        <f>-SUM(F647:H647)*$J$21</f>
        <v>-18260.888841641397</v>
      </c>
      <c r="K647" s="356">
        <f t="shared" si="183"/>
        <v>-2010.7267602296247</v>
      </c>
      <c r="L647" s="356">
        <f t="shared" si="179"/>
        <v>2008716.033469395</v>
      </c>
      <c r="N647" s="356">
        <f t="shared" si="184"/>
        <v>624</v>
      </c>
      <c r="O647" s="357">
        <f t="shared" si="191"/>
        <v>51</v>
      </c>
      <c r="P647" s="357">
        <f t="shared" si="192"/>
        <v>12</v>
      </c>
      <c r="Q647" s="357">
        <f t="shared" si="193"/>
        <v>51</v>
      </c>
      <c r="R647" s="356">
        <f t="shared" si="185"/>
        <v>93664275.12564954</v>
      </c>
      <c r="S647" s="356">
        <f>IF($G$4="mensual",S646,0)</f>
        <v>10000</v>
      </c>
      <c r="U647" s="356">
        <f t="shared" si="194"/>
        <v>746971.8244276963</v>
      </c>
      <c r="V647" s="359">
        <f t="shared" si="196"/>
        <v>-563.1904418258644</v>
      </c>
      <c r="X647" s="359">
        <f t="shared" si="195"/>
        <v>-94421.24695007724</v>
      </c>
      <c r="Y647" s="356">
        <f t="shared" si="180"/>
        <v>94326262.51268533</v>
      </c>
      <c r="AA647" s="357">
        <f>+Bono!J647</f>
        <v>847001.4474840532</v>
      </c>
      <c r="AC647" s="378">
        <f t="shared" si="186"/>
        <v>52</v>
      </c>
      <c r="AD647" s="356">
        <f t="shared" si="187"/>
        <v>97181979.99363877</v>
      </c>
    </row>
    <row r="648" spans="2:30" x14ac:dyDescent="0.25">
      <c r="B648" s="356">
        <f t="shared" si="181"/>
        <v>625</v>
      </c>
      <c r="C648" s="357">
        <f t="shared" si="188"/>
        <v>52</v>
      </c>
      <c r="D648" s="357">
        <f t="shared" si="189"/>
        <v>1</v>
      </c>
      <c r="E648" s="357">
        <f t="shared" si="190"/>
        <v>81</v>
      </c>
      <c r="F648" s="356">
        <f t="shared" si="182"/>
        <v>2008716.033469395</v>
      </c>
      <c r="H648" s="356">
        <f t="shared" si="178"/>
        <v>16017.783732675509</v>
      </c>
      <c r="I648" s="356">
        <v>0</v>
      </c>
      <c r="J648" s="356">
        <v>0</v>
      </c>
      <c r="K648" s="356">
        <f t="shared" si="183"/>
        <v>-2024.7338172020704</v>
      </c>
      <c r="L648" s="356">
        <f t="shared" si="179"/>
        <v>2022709.0833848685</v>
      </c>
      <c r="N648" s="356">
        <f t="shared" si="184"/>
        <v>625</v>
      </c>
      <c r="O648" s="357">
        <f t="shared" si="191"/>
        <v>52</v>
      </c>
      <c r="P648" s="357">
        <f t="shared" si="192"/>
        <v>1</v>
      </c>
      <c r="Q648" s="357">
        <f t="shared" si="193"/>
        <v>52</v>
      </c>
      <c r="R648" s="356">
        <f t="shared" si="185"/>
        <v>94326262.51268533</v>
      </c>
      <c r="S648" s="356">
        <f>IF($G$17="si",S636*(1+$G$20),S636)</f>
        <v>10000</v>
      </c>
      <c r="U648" s="356">
        <f t="shared" si="194"/>
        <v>752250.6048140827</v>
      </c>
      <c r="V648" s="359">
        <f>(V647*(1+$G$18))</f>
        <v>-585.7180594988989</v>
      </c>
      <c r="X648" s="359">
        <f t="shared" si="195"/>
        <v>-95088.51311749942</v>
      </c>
      <c r="Y648" s="356">
        <f t="shared" si="180"/>
        <v>94992838.88632242</v>
      </c>
      <c r="AA648" s="357">
        <f>+Bono!J648</f>
        <v>852252.9547045412</v>
      </c>
      <c r="AC648" s="378">
        <f t="shared" si="186"/>
        <v>52.083333333333336</v>
      </c>
      <c r="AD648" s="356">
        <f t="shared" si="187"/>
        <v>97867800.92441183</v>
      </c>
    </row>
    <row r="649" spans="2:30" x14ac:dyDescent="0.25">
      <c r="B649" s="356">
        <f t="shared" si="181"/>
        <v>626</v>
      </c>
      <c r="C649" s="357">
        <f t="shared" si="188"/>
        <v>52</v>
      </c>
      <c r="D649" s="357">
        <f t="shared" si="189"/>
        <v>2</v>
      </c>
      <c r="E649" s="357">
        <f t="shared" si="190"/>
        <v>81</v>
      </c>
      <c r="F649" s="356">
        <f t="shared" si="182"/>
        <v>2022709.0833848685</v>
      </c>
      <c r="H649" s="356">
        <f t="shared" si="178"/>
        <v>16129.366277730154</v>
      </c>
      <c r="I649" s="356">
        <v>0</v>
      </c>
      <c r="J649" s="356">
        <v>0</v>
      </c>
      <c r="K649" s="356">
        <f t="shared" si="183"/>
        <v>-2038.8384496625986</v>
      </c>
      <c r="L649" s="356">
        <f t="shared" si="179"/>
        <v>2036799.611212936</v>
      </c>
      <c r="N649" s="356">
        <f t="shared" si="184"/>
        <v>626</v>
      </c>
      <c r="O649" s="357">
        <f t="shared" si="191"/>
        <v>52</v>
      </c>
      <c r="P649" s="357">
        <f t="shared" si="192"/>
        <v>2</v>
      </c>
      <c r="Q649" s="357">
        <f t="shared" si="193"/>
        <v>52</v>
      </c>
      <c r="R649" s="356">
        <f t="shared" si="185"/>
        <v>94992838.88632242</v>
      </c>
      <c r="S649" s="356">
        <f>IF($G$4="mensual",S648,0)</f>
        <v>10000</v>
      </c>
      <c r="U649" s="356">
        <f t="shared" si="194"/>
        <v>757565.9784240543</v>
      </c>
      <c r="V649" s="359">
        <f t="shared" si="196"/>
        <v>-585.7180594988989</v>
      </c>
      <c r="X649" s="359">
        <f t="shared" si="195"/>
        <v>-95760.40486474648</v>
      </c>
      <c r="Y649" s="356">
        <f t="shared" si="180"/>
        <v>95664058.74182224</v>
      </c>
      <c r="AA649" s="357">
        <f>+Bono!J649</f>
        <v>857537.0218789335</v>
      </c>
      <c r="AC649" s="378">
        <f t="shared" si="186"/>
        <v>52.166666666666664</v>
      </c>
      <c r="AD649" s="356">
        <f t="shared" si="187"/>
        <v>98558395.37491411</v>
      </c>
    </row>
    <row r="650" spans="2:30" x14ac:dyDescent="0.25">
      <c r="B650" s="356">
        <f t="shared" si="181"/>
        <v>627</v>
      </c>
      <c r="C650" s="357">
        <f t="shared" si="188"/>
        <v>52</v>
      </c>
      <c r="D650" s="357">
        <f t="shared" si="189"/>
        <v>3</v>
      </c>
      <c r="E650" s="357">
        <f t="shared" si="190"/>
        <v>81</v>
      </c>
      <c r="F650" s="356">
        <f t="shared" si="182"/>
        <v>2036799.611212936</v>
      </c>
      <c r="H650" s="356">
        <f t="shared" si="178"/>
        <v>16241.726125348541</v>
      </c>
      <c r="I650" s="356">
        <v>0</v>
      </c>
      <c r="J650" s="360">
        <f>-SUM(F650:H650)*$J$21</f>
        <v>-18477.372036044562</v>
      </c>
      <c r="K650" s="356">
        <f t="shared" si="183"/>
        <v>-2034.5639653022401</v>
      </c>
      <c r="L650" s="356">
        <f t="shared" si="179"/>
        <v>2032529.401336938</v>
      </c>
      <c r="N650" s="356">
        <f t="shared" si="184"/>
        <v>627</v>
      </c>
      <c r="O650" s="357">
        <f t="shared" si="191"/>
        <v>52</v>
      </c>
      <c r="P650" s="357">
        <f t="shared" si="192"/>
        <v>3</v>
      </c>
      <c r="Q650" s="357">
        <f t="shared" si="193"/>
        <v>52</v>
      </c>
      <c r="R650" s="356">
        <f t="shared" si="185"/>
        <v>95664058.74182224</v>
      </c>
      <c r="S650" s="356">
        <f>IF($G$4="mensual",S649,0)</f>
        <v>10000</v>
      </c>
      <c r="U650" s="356">
        <f t="shared" si="194"/>
        <v>762918.3798104783</v>
      </c>
      <c r="V650" s="359">
        <f t="shared" si="196"/>
        <v>-585.7180594988989</v>
      </c>
      <c r="X650" s="359">
        <f t="shared" si="195"/>
        <v>-96436.97712163272</v>
      </c>
      <c r="Y650" s="356">
        <f t="shared" si="180"/>
        <v>96339954.4264516</v>
      </c>
      <c r="AA650" s="357">
        <f>+Bono!J650</f>
        <v>855080.3927666602</v>
      </c>
      <c r="AC650" s="378">
        <f t="shared" si="186"/>
        <v>52.25</v>
      </c>
      <c r="AD650" s="356">
        <f t="shared" si="187"/>
        <v>99227564.22055519</v>
      </c>
    </row>
    <row r="651" spans="2:30" x14ac:dyDescent="0.25">
      <c r="B651" s="356">
        <f t="shared" si="181"/>
        <v>628</v>
      </c>
      <c r="C651" s="357">
        <f t="shared" si="188"/>
        <v>52</v>
      </c>
      <c r="D651" s="357">
        <f t="shared" si="189"/>
        <v>4</v>
      </c>
      <c r="E651" s="357">
        <f t="shared" si="190"/>
        <v>81</v>
      </c>
      <c r="F651" s="356">
        <f t="shared" si="182"/>
        <v>2032529.401336938</v>
      </c>
      <c r="H651" s="356">
        <f t="shared" si="178"/>
        <v>16207.674872136442</v>
      </c>
      <c r="I651" s="356">
        <v>0</v>
      </c>
      <c r="J651" s="356">
        <v>0</v>
      </c>
      <c r="K651" s="356">
        <f t="shared" si="183"/>
        <v>-2048.7370762090745</v>
      </c>
      <c r="L651" s="356">
        <f t="shared" si="179"/>
        <v>2046688.3391328652</v>
      </c>
      <c r="N651" s="356">
        <f t="shared" si="184"/>
        <v>628</v>
      </c>
      <c r="O651" s="357">
        <f t="shared" si="191"/>
        <v>52</v>
      </c>
      <c r="P651" s="357">
        <f t="shared" si="192"/>
        <v>4</v>
      </c>
      <c r="Q651" s="357">
        <f t="shared" si="193"/>
        <v>52</v>
      </c>
      <c r="R651" s="356">
        <f t="shared" si="185"/>
        <v>96339954.4264516</v>
      </c>
      <c r="S651" s="356">
        <f>IF($G$4="mensual",S648,IF($G$4="trimestral",S648,0))</f>
        <v>10000</v>
      </c>
      <c r="U651" s="356">
        <f t="shared" si="194"/>
        <v>768308.0669150029</v>
      </c>
      <c r="V651" s="359">
        <f t="shared" si="196"/>
        <v>-585.7180594988989</v>
      </c>
      <c r="X651" s="359">
        <f t="shared" si="195"/>
        <v>-97118.2624933666</v>
      </c>
      <c r="Y651" s="356">
        <f t="shared" si="180"/>
        <v>97020558.51281373</v>
      </c>
      <c r="AA651" s="357">
        <f>+Bono!J651</f>
        <v>860381.990385</v>
      </c>
      <c r="AC651" s="378">
        <f t="shared" si="186"/>
        <v>52.333333333333336</v>
      </c>
      <c r="AD651" s="356">
        <f t="shared" si="187"/>
        <v>99927628.84233159</v>
      </c>
    </row>
    <row r="652" spans="2:30" x14ac:dyDescent="0.25">
      <c r="B652" s="356">
        <f t="shared" si="181"/>
        <v>629</v>
      </c>
      <c r="C652" s="357">
        <f t="shared" si="188"/>
        <v>52</v>
      </c>
      <c r="D652" s="357">
        <f t="shared" si="189"/>
        <v>5</v>
      </c>
      <c r="E652" s="357">
        <f t="shared" si="190"/>
        <v>81</v>
      </c>
      <c r="F652" s="356">
        <f t="shared" si="182"/>
        <v>2046688.3391328652</v>
      </c>
      <c r="H652" s="356">
        <f t="shared" si="178"/>
        <v>16320.580230445279</v>
      </c>
      <c r="I652" s="356">
        <v>0</v>
      </c>
      <c r="J652" s="356">
        <v>0</v>
      </c>
      <c r="K652" s="356">
        <f t="shared" si="183"/>
        <v>-2063.0089193633107</v>
      </c>
      <c r="L652" s="356">
        <f t="shared" si="179"/>
        <v>2060945.9104439472</v>
      </c>
      <c r="N652" s="356">
        <f t="shared" si="184"/>
        <v>629</v>
      </c>
      <c r="O652" s="357">
        <f t="shared" si="191"/>
        <v>52</v>
      </c>
      <c r="P652" s="357">
        <f t="shared" si="192"/>
        <v>5</v>
      </c>
      <c r="Q652" s="357">
        <f t="shared" si="193"/>
        <v>52</v>
      </c>
      <c r="R652" s="356">
        <f t="shared" si="185"/>
        <v>97020558.51281373</v>
      </c>
      <c r="S652" s="356">
        <f>IF($G$4="mensual",S651,0)</f>
        <v>10000</v>
      </c>
      <c r="U652" s="356">
        <f t="shared" si="194"/>
        <v>773735.2994761403</v>
      </c>
      <c r="V652" s="359">
        <f t="shared" si="196"/>
        <v>-585.7180594988989</v>
      </c>
      <c r="X652" s="359">
        <f t="shared" si="195"/>
        <v>-97804.29381228988</v>
      </c>
      <c r="Y652" s="356">
        <f t="shared" si="180"/>
        <v>97705903.8004181</v>
      </c>
      <c r="AA652" s="357">
        <f>+Bono!J652</f>
        <v>865716.4585235209</v>
      </c>
      <c r="AC652" s="378">
        <f t="shared" si="186"/>
        <v>52.416666666666664</v>
      </c>
      <c r="AD652" s="356">
        <f t="shared" si="187"/>
        <v>100632566.16938557</v>
      </c>
    </row>
    <row r="653" spans="2:30" x14ac:dyDescent="0.25">
      <c r="B653" s="356">
        <f t="shared" si="181"/>
        <v>630</v>
      </c>
      <c r="C653" s="357">
        <f t="shared" si="188"/>
        <v>52</v>
      </c>
      <c r="D653" s="357">
        <f t="shared" si="189"/>
        <v>6</v>
      </c>
      <c r="E653" s="357">
        <f t="shared" si="190"/>
        <v>81</v>
      </c>
      <c r="F653" s="356">
        <f t="shared" si="182"/>
        <v>2060945.9104439472</v>
      </c>
      <c r="H653" s="356">
        <f t="shared" si="178"/>
        <v>16434.272106254957</v>
      </c>
      <c r="I653" s="356">
        <v>0</v>
      </c>
      <c r="J653" s="360">
        <f>-SUM(F653:H653)*$J$21</f>
        <v>-18696.42164295182</v>
      </c>
      <c r="K653" s="356">
        <f t="shared" si="183"/>
        <v>-2058.6837609072504</v>
      </c>
      <c r="L653" s="356">
        <f t="shared" si="179"/>
        <v>2056625.077146343</v>
      </c>
      <c r="N653" s="356">
        <f t="shared" si="184"/>
        <v>630</v>
      </c>
      <c r="O653" s="357">
        <f t="shared" si="191"/>
        <v>52</v>
      </c>
      <c r="P653" s="357">
        <f t="shared" si="192"/>
        <v>6</v>
      </c>
      <c r="Q653" s="357">
        <f t="shared" si="193"/>
        <v>52</v>
      </c>
      <c r="R653" s="356">
        <f t="shared" si="185"/>
        <v>97705903.8004181</v>
      </c>
      <c r="S653" s="356">
        <f>IF($G$4="mensual",S652,0)</f>
        <v>10000</v>
      </c>
      <c r="U653" s="356">
        <f t="shared" si="194"/>
        <v>779200.3390417849</v>
      </c>
      <c r="V653" s="359">
        <f t="shared" si="196"/>
        <v>-585.7180594988989</v>
      </c>
      <c r="X653" s="359">
        <f t="shared" si="195"/>
        <v>-98495.10413945989</v>
      </c>
      <c r="Y653" s="356">
        <f t="shared" si="180"/>
        <v>98396023.31726092</v>
      </c>
      <c r="AA653" s="357">
        <f>+Bono!J653</f>
        <v>863236.3973707987</v>
      </c>
      <c r="AC653" s="378">
        <f t="shared" si="186"/>
        <v>52.5</v>
      </c>
      <c r="AD653" s="356">
        <f t="shared" si="187"/>
        <v>101315884.79177806</v>
      </c>
    </row>
    <row r="654" spans="2:30" x14ac:dyDescent="0.25">
      <c r="B654" s="356">
        <f t="shared" si="181"/>
        <v>631</v>
      </c>
      <c r="C654" s="357">
        <f t="shared" si="188"/>
        <v>52</v>
      </c>
      <c r="D654" s="357">
        <f t="shared" si="189"/>
        <v>7</v>
      </c>
      <c r="E654" s="357">
        <f t="shared" si="190"/>
        <v>81</v>
      </c>
      <c r="F654" s="356">
        <f t="shared" si="182"/>
        <v>2056625.077146343</v>
      </c>
      <c r="H654" s="356">
        <f t="shared" si="178"/>
        <v>16399.817174769978</v>
      </c>
      <c r="I654" s="356">
        <v>0</v>
      </c>
      <c r="J654" s="356">
        <v>0</v>
      </c>
      <c r="K654" s="356">
        <f t="shared" si="183"/>
        <v>-2073.024894321113</v>
      </c>
      <c r="L654" s="356">
        <f t="shared" si="179"/>
        <v>2070951.8694267918</v>
      </c>
      <c r="N654" s="356">
        <f t="shared" si="184"/>
        <v>631</v>
      </c>
      <c r="O654" s="357">
        <f t="shared" si="191"/>
        <v>52</v>
      </c>
      <c r="P654" s="357">
        <f t="shared" si="192"/>
        <v>7</v>
      </c>
      <c r="Q654" s="357">
        <f t="shared" si="193"/>
        <v>52</v>
      </c>
      <c r="R654" s="356">
        <f t="shared" si="185"/>
        <v>98396023.31726092</v>
      </c>
      <c r="S654" s="356">
        <f>+IF($G$4="mensual",S648,IF($G$4="trimestral",S648,IF($G$4="semestral",S648,0)))</f>
        <v>10000</v>
      </c>
      <c r="U654" s="356">
        <f t="shared" si="194"/>
        <v>784703.4489818169</v>
      </c>
      <c r="V654" s="359">
        <f t="shared" si="196"/>
        <v>-585.7180594988989</v>
      </c>
      <c r="X654" s="359">
        <f t="shared" si="195"/>
        <v>-99190.72676624275</v>
      </c>
      <c r="Y654" s="356">
        <f t="shared" si="180"/>
        <v>99090950.321417</v>
      </c>
      <c r="AA654" s="357">
        <f>+Bono!J654</f>
        <v>868588.5631637223</v>
      </c>
      <c r="AC654" s="378">
        <f t="shared" si="186"/>
        <v>52.583333333333336</v>
      </c>
      <c r="AD654" s="356">
        <f t="shared" si="187"/>
        <v>102030490.75400752</v>
      </c>
    </row>
    <row r="655" spans="2:30" x14ac:dyDescent="0.25">
      <c r="B655" s="356">
        <f t="shared" si="181"/>
        <v>632</v>
      </c>
      <c r="C655" s="357">
        <f t="shared" si="188"/>
        <v>52</v>
      </c>
      <c r="D655" s="357">
        <f t="shared" si="189"/>
        <v>8</v>
      </c>
      <c r="E655" s="357">
        <f t="shared" si="190"/>
        <v>81</v>
      </c>
      <c r="F655" s="356">
        <f t="shared" si="182"/>
        <v>2070951.8694267918</v>
      </c>
      <c r="H655" s="356">
        <f t="shared" si="178"/>
        <v>16514.06102831001</v>
      </c>
      <c r="I655" s="356">
        <v>0</v>
      </c>
      <c r="J655" s="356">
        <v>0</v>
      </c>
      <c r="K655" s="356">
        <f t="shared" si="183"/>
        <v>-2087.465930455102</v>
      </c>
      <c r="L655" s="356">
        <f t="shared" si="179"/>
        <v>2085378.4645246468</v>
      </c>
      <c r="N655" s="356">
        <f t="shared" si="184"/>
        <v>632</v>
      </c>
      <c r="O655" s="357">
        <f t="shared" si="191"/>
        <v>52</v>
      </c>
      <c r="P655" s="357">
        <f t="shared" si="192"/>
        <v>8</v>
      </c>
      <c r="Q655" s="357">
        <f t="shared" si="193"/>
        <v>52</v>
      </c>
      <c r="R655" s="356">
        <f t="shared" si="185"/>
        <v>99090950.321417</v>
      </c>
      <c r="S655" s="356">
        <f>IF($G$4="mensual",S654,0)</f>
        <v>10000</v>
      </c>
      <c r="U655" s="356">
        <f t="shared" si="194"/>
        <v>790244.8945007948</v>
      </c>
      <c r="V655" s="359">
        <f t="shared" si="196"/>
        <v>-585.7180594988989</v>
      </c>
      <c r="X655" s="359">
        <f t="shared" si="195"/>
        <v>-99891.1952159178</v>
      </c>
      <c r="Y655" s="356">
        <f t="shared" si="180"/>
        <v>99790718.30264239</v>
      </c>
      <c r="AA655" s="357">
        <f>+Bono!J655</f>
        <v>873973.9130053747</v>
      </c>
      <c r="AC655" s="378">
        <f t="shared" si="186"/>
        <v>52.666666666666664</v>
      </c>
      <c r="AD655" s="356">
        <f t="shared" si="187"/>
        <v>102750070.68017241</v>
      </c>
    </row>
    <row r="656" spans="2:30" x14ac:dyDescent="0.25">
      <c r="B656" s="356">
        <f t="shared" si="181"/>
        <v>633</v>
      </c>
      <c r="C656" s="357">
        <f t="shared" si="188"/>
        <v>52</v>
      </c>
      <c r="D656" s="357">
        <f t="shared" si="189"/>
        <v>9</v>
      </c>
      <c r="E656" s="357">
        <f t="shared" si="190"/>
        <v>81</v>
      </c>
      <c r="F656" s="356">
        <f t="shared" si="182"/>
        <v>2085378.4645246468</v>
      </c>
      <c r="H656" s="356">
        <f t="shared" si="178"/>
        <v>16629.10072353124</v>
      </c>
      <c r="I656" s="356">
        <v>0</v>
      </c>
      <c r="J656" s="360">
        <f>-SUM(F656:H656)*$J$21</f>
        <v>-18918.0680872336</v>
      </c>
      <c r="K656" s="356">
        <f t="shared" si="183"/>
        <v>-2083.089497160944</v>
      </c>
      <c r="L656" s="356">
        <f t="shared" si="179"/>
        <v>2081006.4076637833</v>
      </c>
      <c r="N656" s="356">
        <f t="shared" si="184"/>
        <v>633</v>
      </c>
      <c r="O656" s="357">
        <f t="shared" si="191"/>
        <v>52</v>
      </c>
      <c r="P656" s="357">
        <f t="shared" si="192"/>
        <v>9</v>
      </c>
      <c r="Q656" s="357">
        <f t="shared" si="193"/>
        <v>52</v>
      </c>
      <c r="R656" s="356">
        <f t="shared" si="185"/>
        <v>99790718.30264239</v>
      </c>
      <c r="S656" s="356">
        <f>IF($G$4="mensual",S655,0)</f>
        <v>10000</v>
      </c>
      <c r="U656" s="356">
        <f t="shared" si="194"/>
        <v>795824.9426507365</v>
      </c>
      <c r="V656" s="359">
        <f t="shared" si="196"/>
        <v>-585.7180594988989</v>
      </c>
      <c r="X656" s="359">
        <f t="shared" si="195"/>
        <v>-100596.54324529313</v>
      </c>
      <c r="Y656" s="356">
        <f t="shared" si="180"/>
        <v>100495360.98398834</v>
      </c>
      <c r="AA656" s="357">
        <f>+Bono!J656</f>
        <v>871470.1963106109</v>
      </c>
      <c r="AC656" s="378">
        <f t="shared" si="186"/>
        <v>52.75</v>
      </c>
      <c r="AD656" s="356">
        <f t="shared" si="187"/>
        <v>103447837.58796273</v>
      </c>
    </row>
    <row r="657" spans="2:30" x14ac:dyDescent="0.25">
      <c r="B657" s="356">
        <f t="shared" si="181"/>
        <v>634</v>
      </c>
      <c r="C657" s="357">
        <f t="shared" si="188"/>
        <v>52</v>
      </c>
      <c r="D657" s="357">
        <f t="shared" si="189"/>
        <v>10</v>
      </c>
      <c r="E657" s="357">
        <f t="shared" si="190"/>
        <v>81</v>
      </c>
      <c r="F657" s="356">
        <f t="shared" si="182"/>
        <v>2081006.4076637833</v>
      </c>
      <c r="H657" s="356">
        <f t="shared" si="178"/>
        <v>16594.23732815956</v>
      </c>
      <c r="I657" s="356">
        <v>0</v>
      </c>
      <c r="J657" s="356">
        <v>0</v>
      </c>
      <c r="K657" s="356">
        <f t="shared" si="183"/>
        <v>-2097.6006449919428</v>
      </c>
      <c r="L657" s="356">
        <f t="shared" si="179"/>
        <v>2095503.0443469507</v>
      </c>
      <c r="N657" s="356">
        <f t="shared" si="184"/>
        <v>634</v>
      </c>
      <c r="O657" s="357">
        <f t="shared" si="191"/>
        <v>52</v>
      </c>
      <c r="P657" s="357">
        <f t="shared" si="192"/>
        <v>10</v>
      </c>
      <c r="Q657" s="357">
        <f t="shared" si="193"/>
        <v>52</v>
      </c>
      <c r="R657" s="356">
        <f t="shared" si="185"/>
        <v>100495360.98398834</v>
      </c>
      <c r="S657" s="356">
        <f>IF($G$4="mensual",S648,IF($G$4="trimestral",S648,0))</f>
        <v>10000</v>
      </c>
      <c r="U657" s="356">
        <f t="shared" si="194"/>
        <v>801443.8623439885</v>
      </c>
      <c r="V657" s="359">
        <f t="shared" si="196"/>
        <v>-585.7180594988989</v>
      </c>
      <c r="X657" s="359">
        <f t="shared" si="195"/>
        <v>-101306.80484633234</v>
      </c>
      <c r="Y657" s="356">
        <f t="shared" si="180"/>
        <v>101204912.3234265</v>
      </c>
      <c r="AA657" s="357">
        <f>+Bono!J657</f>
        <v>876873.4126120227</v>
      </c>
      <c r="AC657" s="378">
        <f t="shared" si="186"/>
        <v>52.833333333333336</v>
      </c>
      <c r="AD657" s="356">
        <f t="shared" si="187"/>
        <v>104177288.78038546</v>
      </c>
    </row>
    <row r="658" spans="2:30" x14ac:dyDescent="0.25">
      <c r="B658" s="356">
        <f t="shared" si="181"/>
        <v>635</v>
      </c>
      <c r="C658" s="357">
        <f t="shared" si="188"/>
        <v>52</v>
      </c>
      <c r="D658" s="357">
        <f t="shared" si="189"/>
        <v>11</v>
      </c>
      <c r="E658" s="357">
        <f t="shared" si="190"/>
        <v>81</v>
      </c>
      <c r="F658" s="356">
        <f t="shared" si="182"/>
        <v>2095503.0443469507</v>
      </c>
      <c r="H658" s="356">
        <f t="shared" si="178"/>
        <v>16709.83554481794</v>
      </c>
      <c r="I658" s="356">
        <v>0</v>
      </c>
      <c r="J658" s="356">
        <v>0</v>
      </c>
      <c r="K658" s="356">
        <f t="shared" si="183"/>
        <v>-2112.212879891769</v>
      </c>
      <c r="L658" s="356">
        <f t="shared" si="179"/>
        <v>2110100.6670118766</v>
      </c>
      <c r="N658" s="356">
        <f t="shared" si="184"/>
        <v>635</v>
      </c>
      <c r="O658" s="357">
        <f t="shared" si="191"/>
        <v>52</v>
      </c>
      <c r="P658" s="357">
        <f t="shared" si="192"/>
        <v>11</v>
      </c>
      <c r="Q658" s="357">
        <f t="shared" si="193"/>
        <v>52</v>
      </c>
      <c r="R658" s="356">
        <f t="shared" si="185"/>
        <v>101204912.3234265</v>
      </c>
      <c r="S658" s="356">
        <f>IF($G$17="si",S646*(1+$G$20),S646)</f>
        <v>10000</v>
      </c>
      <c r="U658" s="356">
        <f t="shared" si="194"/>
        <v>807101.9243661851</v>
      </c>
      <c r="V658" s="359">
        <f t="shared" si="196"/>
        <v>-585.7180594988989</v>
      </c>
      <c r="X658" s="359">
        <f t="shared" si="195"/>
        <v>-102022.0142477927</v>
      </c>
      <c r="Y658" s="356">
        <f t="shared" si="180"/>
        <v>101919406.5154854</v>
      </c>
      <c r="AA658" s="357">
        <f>+Bono!J658</f>
        <v>882310.1294812376</v>
      </c>
      <c r="AC658" s="378">
        <f t="shared" si="186"/>
        <v>52.916666666666664</v>
      </c>
      <c r="AD658" s="356">
        <f t="shared" si="187"/>
        <v>104911817.31197852</v>
      </c>
    </row>
    <row r="659" spans="2:30" x14ac:dyDescent="0.25">
      <c r="B659" s="356">
        <f t="shared" si="181"/>
        <v>636</v>
      </c>
      <c r="C659" s="357">
        <f t="shared" si="188"/>
        <v>52</v>
      </c>
      <c r="D659" s="357">
        <f t="shared" si="189"/>
        <v>12</v>
      </c>
      <c r="E659" s="357">
        <f t="shared" si="190"/>
        <v>81</v>
      </c>
      <c r="F659" s="356">
        <f t="shared" si="182"/>
        <v>2110100.6670118766</v>
      </c>
      <c r="H659" s="356">
        <f t="shared" si="178"/>
        <v>16826.239037876203</v>
      </c>
      <c r="I659" s="356">
        <v>0</v>
      </c>
      <c r="J659" s="360">
        <f>-SUM(F659:H659)*$J$21</f>
        <v>-19142.342154447775</v>
      </c>
      <c r="K659" s="356">
        <f t="shared" si="183"/>
        <v>-2107.784563895305</v>
      </c>
      <c r="L659" s="356">
        <f t="shared" si="179"/>
        <v>2105676.7793314094</v>
      </c>
      <c r="N659" s="356">
        <f t="shared" si="184"/>
        <v>636</v>
      </c>
      <c r="O659" s="357">
        <f t="shared" si="191"/>
        <v>52</v>
      </c>
      <c r="P659" s="357">
        <f t="shared" si="192"/>
        <v>12</v>
      </c>
      <c r="Q659" s="357">
        <f t="shared" si="193"/>
        <v>52</v>
      </c>
      <c r="R659" s="356">
        <f t="shared" si="185"/>
        <v>101919406.5154854</v>
      </c>
      <c r="S659" s="356">
        <f>IF($G$4="mensual",S658,0)</f>
        <v>10000</v>
      </c>
      <c r="U659" s="356">
        <f t="shared" si="194"/>
        <v>812799.401389299</v>
      </c>
      <c r="V659" s="359">
        <f t="shared" si="196"/>
        <v>-585.7180594988989</v>
      </c>
      <c r="X659" s="359">
        <f t="shared" si="195"/>
        <v>-102742.20591687471</v>
      </c>
      <c r="Y659" s="356">
        <f t="shared" si="180"/>
        <v>102638877.99289833</v>
      </c>
      <c r="AA659" s="357">
        <f>+Bono!J659</f>
        <v>879782.5316110163</v>
      </c>
      <c r="AC659" s="378">
        <f t="shared" si="186"/>
        <v>53</v>
      </c>
      <c r="AD659" s="356">
        <f t="shared" si="187"/>
        <v>105624337.30384076</v>
      </c>
    </row>
    <row r="660" spans="2:30" x14ac:dyDescent="0.25">
      <c r="B660" s="356">
        <f t="shared" si="181"/>
        <v>637</v>
      </c>
      <c r="C660" s="357">
        <f t="shared" si="188"/>
        <v>53</v>
      </c>
      <c r="D660" s="357">
        <f t="shared" si="189"/>
        <v>1</v>
      </c>
      <c r="E660" s="357">
        <f t="shared" si="190"/>
        <v>82</v>
      </c>
      <c r="F660" s="356">
        <f t="shared" si="182"/>
        <v>2105676.7793314094</v>
      </c>
      <c r="H660" s="356">
        <f t="shared" si="178"/>
        <v>16790.962336270462</v>
      </c>
      <c r="I660" s="356">
        <v>0</v>
      </c>
      <c r="J660" s="356">
        <v>0</v>
      </c>
      <c r="K660" s="356">
        <f t="shared" si="183"/>
        <v>-2122.46774166768</v>
      </c>
      <c r="L660" s="356">
        <f t="shared" si="179"/>
        <v>2120345.273926012</v>
      </c>
      <c r="N660" s="356">
        <f t="shared" si="184"/>
        <v>637</v>
      </c>
      <c r="O660" s="357">
        <f t="shared" si="191"/>
        <v>53</v>
      </c>
      <c r="P660" s="357">
        <f t="shared" si="192"/>
        <v>1</v>
      </c>
      <c r="Q660" s="357">
        <f t="shared" si="193"/>
        <v>53</v>
      </c>
      <c r="R660" s="356">
        <f t="shared" si="185"/>
        <v>102638877.99289833</v>
      </c>
      <c r="S660" s="356">
        <f>IF($G$17="si",S648*(1+$G$20),S648)</f>
        <v>10000</v>
      </c>
      <c r="U660" s="356">
        <f t="shared" si="194"/>
        <v>818536.5679847804</v>
      </c>
      <c r="V660" s="359">
        <f>(V659*(1+$G$18))</f>
        <v>-609.1467818788549</v>
      </c>
      <c r="X660" s="359">
        <f t="shared" si="195"/>
        <v>-103467.4145608831</v>
      </c>
      <c r="Y660" s="356">
        <f t="shared" si="180"/>
        <v>103363337.99954034</v>
      </c>
      <c r="AA660" s="357">
        <f>+Bono!J660</f>
        <v>885237.2853554619</v>
      </c>
      <c r="AC660" s="378">
        <f t="shared" si="186"/>
        <v>53.083333333333336</v>
      </c>
      <c r="AD660" s="356">
        <f t="shared" si="187"/>
        <v>106368920.55882183</v>
      </c>
    </row>
    <row r="661" spans="2:30" x14ac:dyDescent="0.25">
      <c r="B661" s="356">
        <f t="shared" si="181"/>
        <v>638</v>
      </c>
      <c r="C661" s="357">
        <f t="shared" si="188"/>
        <v>53</v>
      </c>
      <c r="D661" s="357">
        <f t="shared" si="189"/>
        <v>2</v>
      </c>
      <c r="E661" s="357">
        <f t="shared" si="190"/>
        <v>82</v>
      </c>
      <c r="F661" s="356">
        <f t="shared" si="182"/>
        <v>2120345.273926012</v>
      </c>
      <c r="H661" s="356">
        <f t="shared" si="178"/>
        <v>16907.93097204844</v>
      </c>
      <c r="I661" s="356">
        <v>0</v>
      </c>
      <c r="J661" s="356">
        <v>0</v>
      </c>
      <c r="K661" s="356">
        <f t="shared" si="183"/>
        <v>-2137.2532048980606</v>
      </c>
      <c r="L661" s="356">
        <f t="shared" si="179"/>
        <v>2135115.951693163</v>
      </c>
      <c r="N661" s="356">
        <f t="shared" si="184"/>
        <v>638</v>
      </c>
      <c r="O661" s="357">
        <f t="shared" si="191"/>
        <v>53</v>
      </c>
      <c r="P661" s="357">
        <f t="shared" si="192"/>
        <v>2</v>
      </c>
      <c r="Q661" s="357">
        <f t="shared" si="193"/>
        <v>53</v>
      </c>
      <c r="R661" s="356">
        <f t="shared" si="185"/>
        <v>103363337.99954034</v>
      </c>
      <c r="S661" s="356">
        <f>IF($G$4="mensual",S660,0)</f>
        <v>10000</v>
      </c>
      <c r="U661" s="356">
        <f t="shared" si="194"/>
        <v>824313.5138128684</v>
      </c>
      <c r="V661" s="359">
        <f t="shared" si="196"/>
        <v>-609.1467818788549</v>
      </c>
      <c r="X661" s="359">
        <f t="shared" si="195"/>
        <v>-104197.65151335322</v>
      </c>
      <c r="Y661" s="356">
        <f t="shared" si="180"/>
        <v>104092844.71505798</v>
      </c>
      <c r="AA661" s="357">
        <f>+Bono!J661</f>
        <v>890725.8592058354</v>
      </c>
      <c r="AC661" s="378">
        <f t="shared" si="186"/>
        <v>53.166666666666664</v>
      </c>
      <c r="AD661" s="356">
        <f t="shared" si="187"/>
        <v>107118686.52595699</v>
      </c>
    </row>
    <row r="662" spans="2:30" x14ac:dyDescent="0.25">
      <c r="B662" s="356">
        <f t="shared" si="181"/>
        <v>639</v>
      </c>
      <c r="C662" s="357">
        <f t="shared" si="188"/>
        <v>53</v>
      </c>
      <c r="D662" s="357">
        <f t="shared" si="189"/>
        <v>3</v>
      </c>
      <c r="E662" s="357">
        <f t="shared" si="190"/>
        <v>82</v>
      </c>
      <c r="F662" s="356">
        <f t="shared" si="182"/>
        <v>2135115.951693163</v>
      </c>
      <c r="H662" s="356">
        <f t="shared" si="178"/>
        <v>17025.714430793785</v>
      </c>
      <c r="I662" s="356">
        <v>0</v>
      </c>
      <c r="J662" s="360">
        <f>-SUM(F662:H662)*$J$21</f>
        <v>-19369.27499511561</v>
      </c>
      <c r="K662" s="356">
        <f t="shared" si="183"/>
        <v>-2132.772391128841</v>
      </c>
      <c r="L662" s="356">
        <f t="shared" si="179"/>
        <v>2130639.618737712</v>
      </c>
      <c r="N662" s="356">
        <f t="shared" si="184"/>
        <v>639</v>
      </c>
      <c r="O662" s="357">
        <f t="shared" si="191"/>
        <v>53</v>
      </c>
      <c r="P662" s="357">
        <f t="shared" si="192"/>
        <v>3</v>
      </c>
      <c r="Q662" s="357">
        <f t="shared" si="193"/>
        <v>53</v>
      </c>
      <c r="R662" s="356">
        <f t="shared" si="185"/>
        <v>104092844.71505798</v>
      </c>
      <c r="S662" s="356">
        <f>IF($G$4="mensual",S661,0)</f>
        <v>10000</v>
      </c>
      <c r="U662" s="356">
        <f t="shared" si="194"/>
        <v>830130.7028062345</v>
      </c>
      <c r="V662" s="359">
        <f t="shared" si="196"/>
        <v>-609.1467818788549</v>
      </c>
      <c r="X662" s="359">
        <f t="shared" si="195"/>
        <v>-104932.97541786422</v>
      </c>
      <c r="Y662" s="356">
        <f t="shared" si="180"/>
        <v>104827433.29566447</v>
      </c>
      <c r="AA662" s="357">
        <f>+Bono!J662</f>
        <v>888174.1523745839</v>
      </c>
      <c r="AC662" s="378">
        <f t="shared" si="186"/>
        <v>53.25</v>
      </c>
      <c r="AD662" s="356">
        <f t="shared" si="187"/>
        <v>107846247.06677677</v>
      </c>
    </row>
    <row r="663" spans="2:30" x14ac:dyDescent="0.25">
      <c r="B663" s="356">
        <f t="shared" si="181"/>
        <v>640</v>
      </c>
      <c r="C663" s="357">
        <f t="shared" si="188"/>
        <v>53</v>
      </c>
      <c r="D663" s="357">
        <f t="shared" si="189"/>
        <v>4</v>
      </c>
      <c r="E663" s="357">
        <f t="shared" si="190"/>
        <v>82</v>
      </c>
      <c r="F663" s="356">
        <f t="shared" si="182"/>
        <v>2130639.618737712</v>
      </c>
      <c r="H663" s="356">
        <f t="shared" si="178"/>
        <v>16990.01952320049</v>
      </c>
      <c r="I663" s="356">
        <v>0</v>
      </c>
      <c r="J663" s="356">
        <v>0</v>
      </c>
      <c r="K663" s="356">
        <f t="shared" si="183"/>
        <v>-2147.6296382609125</v>
      </c>
      <c r="L663" s="356">
        <f t="shared" si="179"/>
        <v>2145482.008622652</v>
      </c>
      <c r="N663" s="356">
        <f t="shared" si="184"/>
        <v>640</v>
      </c>
      <c r="O663" s="357">
        <f t="shared" si="191"/>
        <v>53</v>
      </c>
      <c r="P663" s="357">
        <f t="shared" si="192"/>
        <v>4</v>
      </c>
      <c r="Q663" s="357">
        <f t="shared" si="193"/>
        <v>53</v>
      </c>
      <c r="R663" s="356">
        <f t="shared" si="185"/>
        <v>104827433.29566447</v>
      </c>
      <c r="S663" s="356">
        <f>IF($G$4="mensual",S660,IF($G$4="trimestral",S660,0))</f>
        <v>10000</v>
      </c>
      <c r="U663" s="356">
        <f t="shared" si="194"/>
        <v>835988.4153054596</v>
      </c>
      <c r="V663" s="359">
        <f t="shared" si="196"/>
        <v>-609.1467818788549</v>
      </c>
      <c r="X663" s="359">
        <f t="shared" si="195"/>
        <v>-105673.42171096994</v>
      </c>
      <c r="Y663" s="356">
        <f t="shared" si="180"/>
        <v>105567139.1424771</v>
      </c>
      <c r="AA663" s="357">
        <f>+Bono!J663</f>
        <v>893680.9351411314</v>
      </c>
      <c r="AC663" s="378">
        <f t="shared" si="186"/>
        <v>53.333333333333336</v>
      </c>
      <c r="AD663" s="356">
        <f t="shared" si="187"/>
        <v>108606302.08624087</v>
      </c>
    </row>
    <row r="664" spans="2:30" x14ac:dyDescent="0.25">
      <c r="B664" s="356">
        <f t="shared" si="181"/>
        <v>641</v>
      </c>
      <c r="C664" s="357">
        <f t="shared" si="188"/>
        <v>53</v>
      </c>
      <c r="D664" s="357">
        <f t="shared" si="189"/>
        <v>5</v>
      </c>
      <c r="E664" s="357">
        <f t="shared" si="190"/>
        <v>82</v>
      </c>
      <c r="F664" s="356">
        <f t="shared" si="182"/>
        <v>2145482.008622652</v>
      </c>
      <c r="H664" s="356">
        <f t="shared" ref="H664:H727" si="197">SUM(F664:G664)*$G$8</f>
        <v>17108.374824443545</v>
      </c>
      <c r="I664" s="356">
        <v>0</v>
      </c>
      <c r="J664" s="356">
        <v>0</v>
      </c>
      <c r="K664" s="356">
        <f t="shared" si="183"/>
        <v>-2162.5903834470955</v>
      </c>
      <c r="L664" s="356">
        <f t="shared" ref="L664:L727" si="198">SUM(F664:K664)</f>
        <v>2160427.793063648</v>
      </c>
      <c r="N664" s="356">
        <f t="shared" si="184"/>
        <v>641</v>
      </c>
      <c r="O664" s="357">
        <f t="shared" si="191"/>
        <v>53</v>
      </c>
      <c r="P664" s="357">
        <f t="shared" si="192"/>
        <v>5</v>
      </c>
      <c r="Q664" s="357">
        <f t="shared" si="193"/>
        <v>53</v>
      </c>
      <c r="R664" s="356">
        <f t="shared" si="185"/>
        <v>105567139.1424771</v>
      </c>
      <c r="S664" s="356">
        <f>IF($G$4="mensual",S663,0)</f>
        <v>10000</v>
      </c>
      <c r="U664" s="356">
        <f t="shared" si="194"/>
        <v>841886.9336040247</v>
      </c>
      <c r="V664" s="359">
        <f t="shared" si="196"/>
        <v>-609.1467818788549</v>
      </c>
      <c r="X664" s="359">
        <f t="shared" si="195"/>
        <v>-106419.02607608114</v>
      </c>
      <c r="Y664" s="356">
        <f t="shared" ref="Y664:Y727" si="199">SUM(R664:X664)</f>
        <v>106311997.90322317</v>
      </c>
      <c r="AA664" s="357">
        <f>+Bono!J664</f>
        <v>899221.8605995788</v>
      </c>
      <c r="AC664" s="378">
        <f t="shared" si="186"/>
        <v>53.416666666666664</v>
      </c>
      <c r="AD664" s="356">
        <f t="shared" si="187"/>
        <v>109371647.5568864</v>
      </c>
    </row>
    <row r="665" spans="2:30" x14ac:dyDescent="0.25">
      <c r="B665" s="356">
        <f t="shared" ref="B665:B728" si="200">+B664+1</f>
        <v>642</v>
      </c>
      <c r="C665" s="357">
        <f t="shared" si="188"/>
        <v>53</v>
      </c>
      <c r="D665" s="357">
        <f t="shared" si="189"/>
        <v>6</v>
      </c>
      <c r="E665" s="357">
        <f t="shared" si="190"/>
        <v>82</v>
      </c>
      <c r="F665" s="356">
        <f t="shared" ref="F665:F728" si="201">L664</f>
        <v>2160427.793063648</v>
      </c>
      <c r="H665" s="356">
        <f t="shared" si="197"/>
        <v>17227.55460839617</v>
      </c>
      <c r="I665" s="356">
        <v>0</v>
      </c>
      <c r="J665" s="360">
        <f>-SUM(F665:H665)*$J$21</f>
        <v>-19598.8981290484</v>
      </c>
      <c r="K665" s="356">
        <f t="shared" ref="K665:K728" si="202">-SUM(F665:J665)*0.1%</f>
        <v>-2158.0564495429962</v>
      </c>
      <c r="L665" s="356">
        <f t="shared" si="198"/>
        <v>2155898.393093453</v>
      </c>
      <c r="N665" s="356">
        <f t="shared" ref="N665:N728" si="203">+N664+1</f>
        <v>642</v>
      </c>
      <c r="O665" s="357">
        <f t="shared" si="191"/>
        <v>53</v>
      </c>
      <c r="P665" s="357">
        <f t="shared" si="192"/>
        <v>6</v>
      </c>
      <c r="Q665" s="357">
        <f t="shared" si="193"/>
        <v>53</v>
      </c>
      <c r="R665" s="356">
        <f t="shared" ref="R665:R728" si="204">Y664</f>
        <v>106311997.90322317</v>
      </c>
      <c r="S665" s="356">
        <f>IF($G$4="mensual",S664,0)</f>
        <v>10000</v>
      </c>
      <c r="U665" s="356">
        <f t="shared" si="194"/>
        <v>847826.5419619131</v>
      </c>
      <c r="V665" s="359">
        <f t="shared" si="196"/>
        <v>-609.1467818788549</v>
      </c>
      <c r="X665" s="359">
        <f t="shared" si="195"/>
        <v>-107169.82444518508</v>
      </c>
      <c r="Y665" s="356">
        <f t="shared" si="199"/>
        <v>107062045.47395802</v>
      </c>
      <c r="AA665" s="357">
        <f>+Bono!J665</f>
        <v>896645.8148490394</v>
      </c>
      <c r="AC665" s="378">
        <f t="shared" ref="AC665:AC728" si="205">+B665/12</f>
        <v>53.5</v>
      </c>
      <c r="AD665" s="356">
        <f t="shared" ref="AD665:AD728" si="206">+AA665+Y665+L665</f>
        <v>110114589.6819005</v>
      </c>
    </row>
    <row r="666" spans="2:30" x14ac:dyDescent="0.25">
      <c r="B666" s="356">
        <f t="shared" si="200"/>
        <v>643</v>
      </c>
      <c r="C666" s="357">
        <f t="shared" si="188"/>
        <v>53</v>
      </c>
      <c r="D666" s="357">
        <f t="shared" si="189"/>
        <v>7</v>
      </c>
      <c r="E666" s="357">
        <f t="shared" si="190"/>
        <v>82</v>
      </c>
      <c r="F666" s="356">
        <f t="shared" si="201"/>
        <v>2155898.393093453</v>
      </c>
      <c r="H666" s="356">
        <f t="shared" si="197"/>
        <v>17191.43653697516</v>
      </c>
      <c r="I666" s="356">
        <v>0</v>
      </c>
      <c r="J666" s="356">
        <v>0</v>
      </c>
      <c r="K666" s="356">
        <f t="shared" si="202"/>
        <v>-2173.089829630428</v>
      </c>
      <c r="L666" s="356">
        <f t="shared" si="198"/>
        <v>2170916.739800798</v>
      </c>
      <c r="N666" s="356">
        <f t="shared" si="203"/>
        <v>643</v>
      </c>
      <c r="O666" s="357">
        <f t="shared" si="191"/>
        <v>53</v>
      </c>
      <c r="P666" s="357">
        <f t="shared" si="192"/>
        <v>7</v>
      </c>
      <c r="Q666" s="357">
        <f t="shared" si="193"/>
        <v>53</v>
      </c>
      <c r="R666" s="356">
        <f t="shared" si="204"/>
        <v>107062045.47395802</v>
      </c>
      <c r="S666" s="356">
        <f>+IF($G$4="mensual",S660,IF($G$4="trimestral",S660,IF($G$4="semestral",S660,0)))</f>
        <v>10000</v>
      </c>
      <c r="U666" s="356">
        <f t="shared" si="194"/>
        <v>853807.526619311</v>
      </c>
      <c r="V666" s="359">
        <f t="shared" si="196"/>
        <v>-609.1467818788549</v>
      </c>
      <c r="X666" s="359">
        <f t="shared" si="195"/>
        <v>-107925.85300057734</v>
      </c>
      <c r="Y666" s="356">
        <f t="shared" si="199"/>
        <v>107817318.00079487</v>
      </c>
      <c r="AA666" s="357">
        <f>+Bono!J666</f>
        <v>902205.1229055807</v>
      </c>
      <c r="AC666" s="378">
        <f t="shared" si="205"/>
        <v>53.583333333333336</v>
      </c>
      <c r="AD666" s="356">
        <f t="shared" si="206"/>
        <v>110890439.86350125</v>
      </c>
    </row>
    <row r="667" spans="2:30" x14ac:dyDescent="0.25">
      <c r="B667" s="356">
        <f t="shared" si="200"/>
        <v>644</v>
      </c>
      <c r="C667" s="357">
        <f t="shared" si="188"/>
        <v>53</v>
      </c>
      <c r="D667" s="357">
        <f t="shared" si="189"/>
        <v>8</v>
      </c>
      <c r="E667" s="357">
        <f t="shared" si="190"/>
        <v>82</v>
      </c>
      <c r="F667" s="356">
        <f t="shared" si="201"/>
        <v>2170916.739800798</v>
      </c>
      <c r="H667" s="356">
        <f t="shared" si="197"/>
        <v>17311.194942629496</v>
      </c>
      <c r="I667" s="356">
        <v>0</v>
      </c>
      <c r="J667" s="356">
        <v>0</v>
      </c>
      <c r="K667" s="356">
        <f t="shared" si="202"/>
        <v>-2188.2279347434273</v>
      </c>
      <c r="L667" s="356">
        <f t="shared" si="198"/>
        <v>2186039.706808684</v>
      </c>
      <c r="N667" s="356">
        <f t="shared" si="203"/>
        <v>644</v>
      </c>
      <c r="O667" s="357">
        <f t="shared" si="191"/>
        <v>53</v>
      </c>
      <c r="P667" s="357">
        <f t="shared" si="192"/>
        <v>8</v>
      </c>
      <c r="Q667" s="357">
        <f t="shared" si="193"/>
        <v>53</v>
      </c>
      <c r="R667" s="356">
        <f t="shared" si="204"/>
        <v>107817318.00079487</v>
      </c>
      <c r="S667" s="356">
        <f>IF($G$4="mensual",S666,0)</f>
        <v>10000</v>
      </c>
      <c r="U667" s="356">
        <f t="shared" si="194"/>
        <v>859830.175810401</v>
      </c>
      <c r="V667" s="359">
        <f t="shared" si="196"/>
        <v>-609.1467818788549</v>
      </c>
      <c r="X667" s="359">
        <f t="shared" si="195"/>
        <v>-108687.14817660527</v>
      </c>
      <c r="Y667" s="356">
        <f t="shared" si="199"/>
        <v>108577851.88164678</v>
      </c>
      <c r="AA667" s="357">
        <f>+Bono!J667</f>
        <v>907798.8993169122</v>
      </c>
      <c r="AC667" s="378">
        <f t="shared" si="205"/>
        <v>53.666666666666664</v>
      </c>
      <c r="AD667" s="356">
        <f t="shared" si="206"/>
        <v>111671690.48777238</v>
      </c>
    </row>
    <row r="668" spans="2:30" x14ac:dyDescent="0.25">
      <c r="B668" s="356">
        <f t="shared" si="200"/>
        <v>645</v>
      </c>
      <c r="C668" s="357">
        <f t="shared" si="188"/>
        <v>53</v>
      </c>
      <c r="D668" s="357">
        <f t="shared" si="189"/>
        <v>9</v>
      </c>
      <c r="E668" s="357">
        <f t="shared" si="190"/>
        <v>82</v>
      </c>
      <c r="F668" s="356">
        <f t="shared" si="201"/>
        <v>2186039.706808684</v>
      </c>
      <c r="H668" s="356">
        <f t="shared" si="197"/>
        <v>17431.78760525206</v>
      </c>
      <c r="I668" s="356">
        <v>0</v>
      </c>
      <c r="J668" s="360">
        <f>-SUM(F668:H668)*$J$21</f>
        <v>-19831.243449725425</v>
      </c>
      <c r="K668" s="356">
        <f t="shared" si="202"/>
        <v>-2183.6402509642107</v>
      </c>
      <c r="L668" s="356">
        <f t="shared" si="198"/>
        <v>2181456.6107132467</v>
      </c>
      <c r="N668" s="356">
        <f t="shared" si="203"/>
        <v>645</v>
      </c>
      <c r="O668" s="357">
        <f t="shared" si="191"/>
        <v>53</v>
      </c>
      <c r="P668" s="357">
        <f t="shared" si="192"/>
        <v>9</v>
      </c>
      <c r="Q668" s="357">
        <f t="shared" si="193"/>
        <v>53</v>
      </c>
      <c r="R668" s="356">
        <f t="shared" si="204"/>
        <v>108577851.88164678</v>
      </c>
      <c r="S668" s="356">
        <f>IF($G$4="mensual",S667,0)</f>
        <v>10000</v>
      </c>
      <c r="U668" s="356">
        <f t="shared" si="194"/>
        <v>865894.7797772533</v>
      </c>
      <c r="V668" s="359">
        <f t="shared" si="196"/>
        <v>-609.1467818788549</v>
      </c>
      <c r="X668" s="359">
        <f t="shared" si="195"/>
        <v>-109453.74666142404</v>
      </c>
      <c r="Y668" s="356">
        <f t="shared" si="199"/>
        <v>109343683.76798074</v>
      </c>
      <c r="AA668" s="357">
        <f>+Bono!J668</f>
        <v>905198.2824954189</v>
      </c>
      <c r="AC668" s="378">
        <f t="shared" si="205"/>
        <v>53.75</v>
      </c>
      <c r="AD668" s="356">
        <f t="shared" si="206"/>
        <v>112430338.6611894</v>
      </c>
    </row>
    <row r="669" spans="2:30" x14ac:dyDescent="0.25">
      <c r="B669" s="356">
        <f t="shared" si="200"/>
        <v>646</v>
      </c>
      <c r="C669" s="357">
        <f t="shared" si="188"/>
        <v>53</v>
      </c>
      <c r="D669" s="357">
        <f t="shared" si="189"/>
        <v>10</v>
      </c>
      <c r="E669" s="357">
        <f t="shared" si="190"/>
        <v>82</v>
      </c>
      <c r="F669" s="356">
        <f t="shared" si="201"/>
        <v>2181456.6107132467</v>
      </c>
      <c r="H669" s="356">
        <f t="shared" si="197"/>
        <v>17395.241353387883</v>
      </c>
      <c r="I669" s="356">
        <v>0</v>
      </c>
      <c r="J669" s="356">
        <v>0</v>
      </c>
      <c r="K669" s="356">
        <f t="shared" si="202"/>
        <v>-2198.851852066635</v>
      </c>
      <c r="L669" s="356">
        <f t="shared" si="198"/>
        <v>2196653.000214568</v>
      </c>
      <c r="N669" s="356">
        <f t="shared" si="203"/>
        <v>646</v>
      </c>
      <c r="O669" s="357">
        <f t="shared" si="191"/>
        <v>53</v>
      </c>
      <c r="P669" s="357">
        <f t="shared" si="192"/>
        <v>10</v>
      </c>
      <c r="Q669" s="357">
        <f t="shared" si="193"/>
        <v>53</v>
      </c>
      <c r="R669" s="356">
        <f t="shared" si="204"/>
        <v>109343683.76798074</v>
      </c>
      <c r="S669" s="356">
        <f>IF($G$4="mensual",S660,IF($G$4="trimestral",S660,0))</f>
        <v>10000</v>
      </c>
      <c r="U669" s="356">
        <f t="shared" si="194"/>
        <v>872001.6307838125</v>
      </c>
      <c r="V669" s="359">
        <f t="shared" si="196"/>
        <v>-609.1467818788549</v>
      </c>
      <c r="X669" s="359">
        <f t="shared" si="195"/>
        <v>-110225.68539876456</v>
      </c>
      <c r="Y669" s="356">
        <f t="shared" si="199"/>
        <v>110114850.56658392</v>
      </c>
      <c r="AA669" s="357">
        <f>+Bono!J669</f>
        <v>910810.6168433924</v>
      </c>
      <c r="AC669" s="378">
        <f t="shared" si="205"/>
        <v>53.833333333333336</v>
      </c>
      <c r="AD669" s="356">
        <f t="shared" si="206"/>
        <v>113222314.18364187</v>
      </c>
    </row>
    <row r="670" spans="2:30" x14ac:dyDescent="0.25">
      <c r="B670" s="356">
        <f t="shared" si="200"/>
        <v>647</v>
      </c>
      <c r="C670" s="357">
        <f t="shared" si="188"/>
        <v>53</v>
      </c>
      <c r="D670" s="357">
        <f t="shared" si="189"/>
        <v>11</v>
      </c>
      <c r="E670" s="357">
        <f t="shared" si="190"/>
        <v>82</v>
      </c>
      <c r="F670" s="356">
        <f t="shared" si="201"/>
        <v>2196653.000214568</v>
      </c>
      <c r="H670" s="356">
        <f t="shared" si="197"/>
        <v>17516.419497283736</v>
      </c>
      <c r="I670" s="356">
        <v>0</v>
      </c>
      <c r="J670" s="356">
        <v>0</v>
      </c>
      <c r="K670" s="356">
        <f t="shared" si="202"/>
        <v>-2214.169419711852</v>
      </c>
      <c r="L670" s="356">
        <f t="shared" si="198"/>
        <v>2211955.2502921396</v>
      </c>
      <c r="N670" s="356">
        <f t="shared" si="203"/>
        <v>647</v>
      </c>
      <c r="O670" s="357">
        <f t="shared" si="191"/>
        <v>53</v>
      </c>
      <c r="P670" s="357">
        <f t="shared" si="192"/>
        <v>11</v>
      </c>
      <c r="Q670" s="357">
        <f t="shared" si="193"/>
        <v>53</v>
      </c>
      <c r="R670" s="356">
        <f t="shared" si="204"/>
        <v>110114850.56658392</v>
      </c>
      <c r="S670" s="356">
        <f>IF($G$17="si",S658*(1+$G$20),S658)</f>
        <v>10000</v>
      </c>
      <c r="U670" s="356">
        <f t="shared" si="194"/>
        <v>878151.0231299824</v>
      </c>
      <c r="V670" s="359">
        <f t="shared" si="196"/>
        <v>-609.1467818788549</v>
      </c>
      <c r="X670" s="359">
        <f t="shared" si="195"/>
        <v>-111003.00158971391</v>
      </c>
      <c r="Y670" s="356">
        <f t="shared" si="199"/>
        <v>110891389.44134231</v>
      </c>
      <c r="AA670" s="357">
        <f>+Bono!J670</f>
        <v>916457.7483153138</v>
      </c>
      <c r="AC670" s="378">
        <f t="shared" si="205"/>
        <v>53.916666666666664</v>
      </c>
      <c r="AD670" s="356">
        <f t="shared" si="206"/>
        <v>114019802.43994977</v>
      </c>
    </row>
    <row r="671" spans="2:30" x14ac:dyDescent="0.25">
      <c r="B671" s="356">
        <f t="shared" si="200"/>
        <v>648</v>
      </c>
      <c r="C671" s="357">
        <f t="shared" si="188"/>
        <v>53</v>
      </c>
      <c r="D671" s="357">
        <f t="shared" si="189"/>
        <v>12</v>
      </c>
      <c r="E671" s="357">
        <f t="shared" si="190"/>
        <v>82</v>
      </c>
      <c r="F671" s="356">
        <f t="shared" si="201"/>
        <v>2211955.2502921396</v>
      </c>
      <c r="H671" s="356">
        <f t="shared" si="197"/>
        <v>17638.441788280496</v>
      </c>
      <c r="I671" s="356">
        <v>0</v>
      </c>
      <c r="J671" s="360">
        <f>-SUM(F671:H671)*$J$21</f>
        <v>-20066.34322872378</v>
      </c>
      <c r="K671" s="356">
        <f t="shared" si="202"/>
        <v>-2209.5273488516964</v>
      </c>
      <c r="L671" s="356">
        <f t="shared" si="198"/>
        <v>2207317.8215028443</v>
      </c>
      <c r="N671" s="356">
        <f t="shared" si="203"/>
        <v>648</v>
      </c>
      <c r="O671" s="357">
        <f t="shared" si="191"/>
        <v>53</v>
      </c>
      <c r="P671" s="357">
        <f t="shared" si="192"/>
        <v>12</v>
      </c>
      <c r="Q671" s="357">
        <f t="shared" si="193"/>
        <v>53</v>
      </c>
      <c r="R671" s="356">
        <f t="shared" si="204"/>
        <v>110891389.44134231</v>
      </c>
      <c r="S671" s="356">
        <f>IF($G$4="mensual",S670,0)</f>
        <v>10000</v>
      </c>
      <c r="U671" s="356">
        <f t="shared" si="194"/>
        <v>884343.2531658087</v>
      </c>
      <c r="V671" s="359">
        <f t="shared" si="196"/>
        <v>-609.1467818788549</v>
      </c>
      <c r="X671" s="359">
        <f t="shared" si="195"/>
        <v>-111785.73269450813</v>
      </c>
      <c r="Y671" s="356">
        <f t="shared" si="199"/>
        <v>111673337.81503174</v>
      </c>
      <c r="AA671" s="357">
        <f>+Bono!J671</f>
        <v>913832.3260568709</v>
      </c>
      <c r="AC671" s="378">
        <f t="shared" si="205"/>
        <v>54</v>
      </c>
      <c r="AD671" s="356">
        <f t="shared" si="206"/>
        <v>114794487.96259145</v>
      </c>
    </row>
    <row r="672" spans="2:30" x14ac:dyDescent="0.25">
      <c r="B672" s="356">
        <f t="shared" si="200"/>
        <v>649</v>
      </c>
      <c r="C672" s="357">
        <f t="shared" si="188"/>
        <v>54</v>
      </c>
      <c r="D672" s="357">
        <f t="shared" si="189"/>
        <v>1</v>
      </c>
      <c r="E672" s="357">
        <f t="shared" si="190"/>
        <v>83</v>
      </c>
      <c r="F672" s="356">
        <f t="shared" si="201"/>
        <v>2207317.8215028443</v>
      </c>
      <c r="H672" s="356">
        <f t="shared" si="197"/>
        <v>17601.462279885614</v>
      </c>
      <c r="I672" s="356">
        <v>0</v>
      </c>
      <c r="J672" s="356">
        <v>0</v>
      </c>
      <c r="K672" s="356">
        <f t="shared" si="202"/>
        <v>-2224.91928378273</v>
      </c>
      <c r="L672" s="356">
        <f t="shared" si="198"/>
        <v>2222694.3644989473</v>
      </c>
      <c r="N672" s="356">
        <f t="shared" si="203"/>
        <v>649</v>
      </c>
      <c r="O672" s="357">
        <f t="shared" si="191"/>
        <v>54</v>
      </c>
      <c r="P672" s="357">
        <f t="shared" si="192"/>
        <v>1</v>
      </c>
      <c r="Q672" s="357">
        <f t="shared" si="193"/>
        <v>54</v>
      </c>
      <c r="R672" s="356">
        <f t="shared" si="204"/>
        <v>111673337.81503174</v>
      </c>
      <c r="S672" s="356">
        <f>IF($G$17="si",S660*(1+$G$20),S660)</f>
        <v>10000</v>
      </c>
      <c r="U672" s="356">
        <f t="shared" si="194"/>
        <v>890578.6193057612</v>
      </c>
      <c r="V672" s="359">
        <f>(V671*(1+$G$18))</f>
        <v>-633.5126531540091</v>
      </c>
      <c r="X672" s="359">
        <f t="shared" si="195"/>
        <v>-112573.9164343375</v>
      </c>
      <c r="Y672" s="356">
        <f t="shared" si="199"/>
        <v>112460709.00525</v>
      </c>
      <c r="AA672" s="357">
        <f>+Bono!J672</f>
        <v>919498.1924764125</v>
      </c>
      <c r="AC672" s="378">
        <f t="shared" si="205"/>
        <v>54.083333333333336</v>
      </c>
      <c r="AD672" s="356">
        <f t="shared" si="206"/>
        <v>115602901.56222536</v>
      </c>
    </row>
    <row r="673" spans="2:30" x14ac:dyDescent="0.25">
      <c r="B673" s="356">
        <f t="shared" si="200"/>
        <v>650</v>
      </c>
      <c r="C673" s="357">
        <f t="shared" si="188"/>
        <v>54</v>
      </c>
      <c r="D673" s="357">
        <f t="shared" si="189"/>
        <v>2</v>
      </c>
      <c r="E673" s="357">
        <f t="shared" si="190"/>
        <v>83</v>
      </c>
      <c r="F673" s="356">
        <f t="shared" si="201"/>
        <v>2222694.3644989473</v>
      </c>
      <c r="H673" s="356">
        <f t="shared" si="197"/>
        <v>17724.076993047616</v>
      </c>
      <c r="I673" s="356">
        <v>0</v>
      </c>
      <c r="J673" s="356">
        <v>0</v>
      </c>
      <c r="K673" s="356">
        <f t="shared" si="202"/>
        <v>-2240.418441491995</v>
      </c>
      <c r="L673" s="356">
        <f t="shared" si="198"/>
        <v>2238178.023050503</v>
      </c>
      <c r="N673" s="356">
        <f t="shared" si="203"/>
        <v>650</v>
      </c>
      <c r="O673" s="357">
        <f t="shared" si="191"/>
        <v>54</v>
      </c>
      <c r="P673" s="357">
        <f t="shared" si="192"/>
        <v>2</v>
      </c>
      <c r="Q673" s="357">
        <f t="shared" si="193"/>
        <v>54</v>
      </c>
      <c r="R673" s="356">
        <f t="shared" si="204"/>
        <v>112460709.00525</v>
      </c>
      <c r="S673" s="356">
        <f>IF($G$4="mensual",S672,0)</f>
        <v>10000</v>
      </c>
      <c r="U673" s="356">
        <f t="shared" si="194"/>
        <v>896857.2277462347</v>
      </c>
      <c r="V673" s="359">
        <f t="shared" si="196"/>
        <v>-633.5126531540091</v>
      </c>
      <c r="X673" s="359">
        <f t="shared" si="195"/>
        <v>-113367.56623299624</v>
      </c>
      <c r="Y673" s="356">
        <f t="shared" si="199"/>
        <v>113253565.15411009</v>
      </c>
      <c r="AA673" s="357">
        <f>+Bono!J673</f>
        <v>925199.187924955</v>
      </c>
      <c r="AC673" s="378">
        <f t="shared" si="205"/>
        <v>54.166666666666664</v>
      </c>
      <c r="AD673" s="356">
        <f t="shared" si="206"/>
        <v>116416942.36508554</v>
      </c>
    </row>
    <row r="674" spans="2:30" x14ac:dyDescent="0.25">
      <c r="B674" s="356">
        <f t="shared" si="200"/>
        <v>651</v>
      </c>
      <c r="C674" s="357">
        <f t="shared" si="188"/>
        <v>54</v>
      </c>
      <c r="D674" s="357">
        <f t="shared" si="189"/>
        <v>3</v>
      </c>
      <c r="E674" s="357">
        <f t="shared" si="190"/>
        <v>83</v>
      </c>
      <c r="F674" s="356">
        <f t="shared" si="201"/>
        <v>2238178.023050503</v>
      </c>
      <c r="H674" s="356">
        <f t="shared" si="197"/>
        <v>17847.545860690916</v>
      </c>
      <c r="I674" s="356">
        <v>0</v>
      </c>
      <c r="J674" s="360">
        <f>-SUM(F674:H674)*$J$21</f>
        <v>-20304.230120200747</v>
      </c>
      <c r="K674" s="356">
        <f t="shared" si="202"/>
        <v>-2235.7213387909933</v>
      </c>
      <c r="L674" s="356">
        <f t="shared" si="198"/>
        <v>2233485.6174522024</v>
      </c>
      <c r="N674" s="356">
        <f t="shared" si="203"/>
        <v>651</v>
      </c>
      <c r="O674" s="357">
        <f t="shared" si="191"/>
        <v>54</v>
      </c>
      <c r="P674" s="357">
        <f t="shared" si="192"/>
        <v>3</v>
      </c>
      <c r="Q674" s="357">
        <f t="shared" si="193"/>
        <v>54</v>
      </c>
      <c r="R674" s="356">
        <f t="shared" si="204"/>
        <v>113253565.15411009</v>
      </c>
      <c r="S674" s="356">
        <f>IF($G$4="mensual",S673,0)</f>
        <v>10000</v>
      </c>
      <c r="U674" s="356">
        <f t="shared" si="194"/>
        <v>903179.5740171649</v>
      </c>
      <c r="V674" s="359">
        <f t="shared" si="196"/>
        <v>-633.5126531540091</v>
      </c>
      <c r="X674" s="359">
        <f t="shared" si="195"/>
        <v>-114166.74472812726</v>
      </c>
      <c r="Y674" s="356">
        <f t="shared" si="199"/>
        <v>114051944.47074597</v>
      </c>
      <c r="AA674" s="357">
        <f>+Bono!J674</f>
        <v>922548.7236281157</v>
      </c>
      <c r="AC674" s="378">
        <f t="shared" si="205"/>
        <v>54.25</v>
      </c>
      <c r="AD674" s="356">
        <f t="shared" si="206"/>
        <v>117207978.81182629</v>
      </c>
    </row>
    <row r="675" spans="2:30" x14ac:dyDescent="0.25">
      <c r="B675" s="356">
        <f t="shared" si="200"/>
        <v>652</v>
      </c>
      <c r="C675" s="357">
        <f t="shared" si="188"/>
        <v>54</v>
      </c>
      <c r="D675" s="357">
        <f t="shared" si="189"/>
        <v>4</v>
      </c>
      <c r="E675" s="357">
        <f t="shared" si="190"/>
        <v>83</v>
      </c>
      <c r="F675" s="356">
        <f t="shared" si="201"/>
        <v>2233485.6174522024</v>
      </c>
      <c r="H675" s="356">
        <f t="shared" si="197"/>
        <v>17810.127959500693</v>
      </c>
      <c r="I675" s="356">
        <v>0</v>
      </c>
      <c r="J675" s="356">
        <v>0</v>
      </c>
      <c r="K675" s="356">
        <f t="shared" si="202"/>
        <v>-2251.295745411703</v>
      </c>
      <c r="L675" s="356">
        <f t="shared" si="198"/>
        <v>2249044.449666291</v>
      </c>
      <c r="N675" s="356">
        <f t="shared" si="203"/>
        <v>652</v>
      </c>
      <c r="O675" s="357">
        <f t="shared" si="191"/>
        <v>54</v>
      </c>
      <c r="P675" s="357">
        <f t="shared" si="192"/>
        <v>4</v>
      </c>
      <c r="Q675" s="357">
        <f t="shared" si="193"/>
        <v>54</v>
      </c>
      <c r="R675" s="356">
        <f t="shared" si="204"/>
        <v>114051944.47074597</v>
      </c>
      <c r="S675" s="356">
        <f>IF($G$4="mensual",S672,IF($G$4="trimestral",S672,0))</f>
        <v>10000</v>
      </c>
      <c r="U675" s="356">
        <f t="shared" si="194"/>
        <v>909545.9628035516</v>
      </c>
      <c r="V675" s="359">
        <f t="shared" si="196"/>
        <v>-633.5126531540091</v>
      </c>
      <c r="X675" s="359">
        <f t="shared" si="195"/>
        <v>-114971.49043354952</v>
      </c>
      <c r="Y675" s="356">
        <f t="shared" si="199"/>
        <v>114855885.43046282</v>
      </c>
      <c r="AA675" s="357">
        <f>+Bono!J675</f>
        <v>928268.6327236386</v>
      </c>
      <c r="AC675" s="378">
        <f t="shared" si="205"/>
        <v>54.333333333333336</v>
      </c>
      <c r="AD675" s="356">
        <f t="shared" si="206"/>
        <v>118033198.51285276</v>
      </c>
    </row>
    <row r="676" spans="2:30" x14ac:dyDescent="0.25">
      <c r="B676" s="356">
        <f t="shared" si="200"/>
        <v>653</v>
      </c>
      <c r="C676" s="357">
        <f t="shared" ref="C676:C739" si="207">C664+1</f>
        <v>54</v>
      </c>
      <c r="D676" s="357">
        <f t="shared" ref="D676:D739" si="208">D664</f>
        <v>5</v>
      </c>
      <c r="E676" s="357">
        <f t="shared" ref="E676:E739" si="209">E664+1</f>
        <v>83</v>
      </c>
      <c r="F676" s="356">
        <f t="shared" si="201"/>
        <v>2249044.449666291</v>
      </c>
      <c r="H676" s="356">
        <f t="shared" si="197"/>
        <v>17934.196272485588</v>
      </c>
      <c r="I676" s="356">
        <v>0</v>
      </c>
      <c r="J676" s="356">
        <v>0</v>
      </c>
      <c r="K676" s="356">
        <f t="shared" si="202"/>
        <v>-2266.9786459387765</v>
      </c>
      <c r="L676" s="356">
        <f t="shared" si="198"/>
        <v>2264711.6672928375</v>
      </c>
      <c r="N676" s="356">
        <f t="shared" si="203"/>
        <v>653</v>
      </c>
      <c r="O676" s="357">
        <f t="shared" ref="O676:O739" si="210">O664+1</f>
        <v>54</v>
      </c>
      <c r="P676" s="357">
        <f t="shared" ref="P676:P739" si="211">P664</f>
        <v>5</v>
      </c>
      <c r="Q676" s="357">
        <f t="shared" ref="Q676:Q739" si="212">Q664+1</f>
        <v>54</v>
      </c>
      <c r="R676" s="356">
        <f t="shared" si="204"/>
        <v>114855885.43046282</v>
      </c>
      <c r="S676" s="356">
        <f>IF($G$4="mensual",S675,0)</f>
        <v>10000</v>
      </c>
      <c r="U676" s="356">
        <f t="shared" ref="U676:U739" si="213">SUM(R676:T676)*$G$8</f>
        <v>915956.7009128814</v>
      </c>
      <c r="V676" s="359">
        <f t="shared" si="196"/>
        <v>-633.5126531540091</v>
      </c>
      <c r="X676" s="359">
        <f t="shared" si="195"/>
        <v>-115781.8421313757</v>
      </c>
      <c r="Y676" s="356">
        <f t="shared" si="199"/>
        <v>115665426.77659117</v>
      </c>
      <c r="AA676" s="357">
        <f>+Bono!J676</f>
        <v>934024.005919022</v>
      </c>
      <c r="AC676" s="378">
        <f t="shared" si="205"/>
        <v>54.416666666666664</v>
      </c>
      <c r="AD676" s="356">
        <f t="shared" si="206"/>
        <v>118864162.44980302</v>
      </c>
    </row>
    <row r="677" spans="2:30" x14ac:dyDescent="0.25">
      <c r="B677" s="356">
        <f t="shared" si="200"/>
        <v>654</v>
      </c>
      <c r="C677" s="357">
        <f t="shared" si="207"/>
        <v>54</v>
      </c>
      <c r="D677" s="357">
        <f t="shared" si="208"/>
        <v>6</v>
      </c>
      <c r="E677" s="357">
        <f t="shared" si="209"/>
        <v>83</v>
      </c>
      <c r="F677" s="356">
        <f t="shared" si="201"/>
        <v>2264711.6672928375</v>
      </c>
      <c r="H677" s="356">
        <f t="shared" si="197"/>
        <v>18059.128865969866</v>
      </c>
      <c r="I677" s="356">
        <v>0</v>
      </c>
      <c r="J677" s="360">
        <f>-SUM(F677:H677)*$J$21</f>
        <v>-20544.93716542927</v>
      </c>
      <c r="K677" s="356">
        <f t="shared" si="202"/>
        <v>-2262.225858993378</v>
      </c>
      <c r="L677" s="356">
        <f t="shared" si="198"/>
        <v>2259963.6331343846</v>
      </c>
      <c r="N677" s="356">
        <f t="shared" si="203"/>
        <v>654</v>
      </c>
      <c r="O677" s="357">
        <f t="shared" si="210"/>
        <v>54</v>
      </c>
      <c r="P677" s="357">
        <f t="shared" si="211"/>
        <v>6</v>
      </c>
      <c r="Q677" s="357">
        <f t="shared" si="212"/>
        <v>54</v>
      </c>
      <c r="R677" s="356">
        <f t="shared" si="204"/>
        <v>115665426.77659117</v>
      </c>
      <c r="S677" s="356">
        <f>IF($G$4="mensual",S676,0)</f>
        <v>10000</v>
      </c>
      <c r="U677" s="356">
        <f t="shared" si="213"/>
        <v>922412.0972899126</v>
      </c>
      <c r="V677" s="359">
        <f t="shared" si="196"/>
        <v>-633.5126531540091</v>
      </c>
      <c r="X677" s="359">
        <f t="shared" si="195"/>
        <v>-116597.83887388109</v>
      </c>
      <c r="Y677" s="356">
        <f t="shared" si="199"/>
        <v>116480607.52235405</v>
      </c>
      <c r="AA677" s="357">
        <f>+Bono!J677</f>
        <v>931348.2607255664</v>
      </c>
      <c r="AC677" s="378">
        <f t="shared" si="205"/>
        <v>54.5</v>
      </c>
      <c r="AD677" s="356">
        <f t="shared" si="206"/>
        <v>119671919.416214</v>
      </c>
    </row>
    <row r="678" spans="2:30" x14ac:dyDescent="0.25">
      <c r="B678" s="356">
        <f t="shared" si="200"/>
        <v>655</v>
      </c>
      <c r="C678" s="357">
        <f t="shared" si="207"/>
        <v>54</v>
      </c>
      <c r="D678" s="357">
        <f t="shared" si="208"/>
        <v>7</v>
      </c>
      <c r="E678" s="357">
        <f t="shared" si="209"/>
        <v>83</v>
      </c>
      <c r="F678" s="356">
        <f t="shared" si="201"/>
        <v>2259963.6331343846</v>
      </c>
      <c r="H678" s="356">
        <f t="shared" si="197"/>
        <v>18021.26737482913</v>
      </c>
      <c r="I678" s="356">
        <v>0</v>
      </c>
      <c r="J678" s="356">
        <v>0</v>
      </c>
      <c r="K678" s="356">
        <f t="shared" si="202"/>
        <v>-2277.9849005092137</v>
      </c>
      <c r="L678" s="356">
        <f t="shared" si="198"/>
        <v>2275706.9156087046</v>
      </c>
      <c r="N678" s="356">
        <f t="shared" si="203"/>
        <v>655</v>
      </c>
      <c r="O678" s="357">
        <f t="shared" si="210"/>
        <v>54</v>
      </c>
      <c r="P678" s="357">
        <f t="shared" si="211"/>
        <v>7</v>
      </c>
      <c r="Q678" s="357">
        <f t="shared" si="212"/>
        <v>54</v>
      </c>
      <c r="R678" s="356">
        <f t="shared" si="204"/>
        <v>116480607.52235405</v>
      </c>
      <c r="S678" s="356">
        <f>+IF($G$4="mensual",S672,IF($G$4="trimestral",S672,IF($G$4="semestral",S672,0)))</f>
        <v>10000</v>
      </c>
      <c r="U678" s="356">
        <f t="shared" si="213"/>
        <v>928912.4630315644</v>
      </c>
      <c r="V678" s="359">
        <f t="shared" si="196"/>
        <v>-633.5126531540091</v>
      </c>
      <c r="X678" s="359">
        <f t="shared" si="195"/>
        <v>-117419.51998538562</v>
      </c>
      <c r="Y678" s="356">
        <f t="shared" si="199"/>
        <v>117301466.95274706</v>
      </c>
      <c r="AA678" s="357">
        <f>+Bono!J678</f>
        <v>937122.7279717766</v>
      </c>
      <c r="AC678" s="378">
        <f t="shared" si="205"/>
        <v>54.583333333333336</v>
      </c>
      <c r="AD678" s="356">
        <f t="shared" si="206"/>
        <v>120514296.59632754</v>
      </c>
    </row>
    <row r="679" spans="2:30" x14ac:dyDescent="0.25">
      <c r="B679" s="356">
        <f t="shared" si="200"/>
        <v>656</v>
      </c>
      <c r="C679" s="357">
        <f t="shared" si="207"/>
        <v>54</v>
      </c>
      <c r="D679" s="357">
        <f t="shared" si="208"/>
        <v>8</v>
      </c>
      <c r="E679" s="357">
        <f t="shared" si="209"/>
        <v>83</v>
      </c>
      <c r="F679" s="356">
        <f t="shared" si="201"/>
        <v>2275706.9156087046</v>
      </c>
      <c r="H679" s="356">
        <f t="shared" si="197"/>
        <v>18146.806520091257</v>
      </c>
      <c r="I679" s="356">
        <v>0</v>
      </c>
      <c r="J679" s="356">
        <v>0</v>
      </c>
      <c r="K679" s="356">
        <f t="shared" si="202"/>
        <v>-2293.853722128796</v>
      </c>
      <c r="L679" s="356">
        <f t="shared" si="198"/>
        <v>2291559.868406667</v>
      </c>
      <c r="N679" s="356">
        <f t="shared" si="203"/>
        <v>656</v>
      </c>
      <c r="O679" s="357">
        <f t="shared" si="210"/>
        <v>54</v>
      </c>
      <c r="P679" s="357">
        <f t="shared" si="211"/>
        <v>8</v>
      </c>
      <c r="Q679" s="357">
        <f t="shared" si="212"/>
        <v>54</v>
      </c>
      <c r="R679" s="356">
        <f t="shared" si="204"/>
        <v>117301466.95274706</v>
      </c>
      <c r="S679" s="356">
        <f>IF($G$4="mensual",S678,0)</f>
        <v>10000</v>
      </c>
      <c r="U679" s="356">
        <f t="shared" si="213"/>
        <v>935458.1114019082</v>
      </c>
      <c r="V679" s="359">
        <f t="shared" si="196"/>
        <v>-633.5126531540091</v>
      </c>
      <c r="X679" s="359">
        <f t="shared" si="195"/>
        <v>-118246.92506414898</v>
      </c>
      <c r="Y679" s="356">
        <f t="shared" si="199"/>
        <v>118128044.62643167</v>
      </c>
      <c r="AA679" s="357">
        <f>+Bono!J679</f>
        <v>942932.99758471</v>
      </c>
      <c r="AC679" s="378">
        <f t="shared" si="205"/>
        <v>54.666666666666664</v>
      </c>
      <c r="AD679" s="356">
        <f t="shared" si="206"/>
        <v>121362537.49242306</v>
      </c>
    </row>
    <row r="680" spans="2:30" x14ac:dyDescent="0.25">
      <c r="B680" s="356">
        <f t="shared" si="200"/>
        <v>657</v>
      </c>
      <c r="C680" s="357">
        <f t="shared" si="207"/>
        <v>54</v>
      </c>
      <c r="D680" s="357">
        <f t="shared" si="208"/>
        <v>9</v>
      </c>
      <c r="E680" s="357">
        <f t="shared" si="209"/>
        <v>83</v>
      </c>
      <c r="F680" s="356">
        <f t="shared" si="201"/>
        <v>2291559.868406667</v>
      </c>
      <c r="H680" s="356">
        <f t="shared" si="197"/>
        <v>18273.220191914992</v>
      </c>
      <c r="I680" s="356">
        <v>0</v>
      </c>
      <c r="J680" s="360">
        <f>-SUM(F680:H680)*$J$21</f>
        <v>-20788.49779738724</v>
      </c>
      <c r="K680" s="356">
        <f t="shared" si="202"/>
        <v>-2289.0445908011948</v>
      </c>
      <c r="L680" s="356">
        <f t="shared" si="198"/>
        <v>2286755.546210394</v>
      </c>
      <c r="N680" s="356">
        <f t="shared" si="203"/>
        <v>657</v>
      </c>
      <c r="O680" s="357">
        <f t="shared" si="210"/>
        <v>54</v>
      </c>
      <c r="P680" s="357">
        <f t="shared" si="211"/>
        <v>9</v>
      </c>
      <c r="Q680" s="357">
        <f t="shared" si="212"/>
        <v>54</v>
      </c>
      <c r="R680" s="356">
        <f t="shared" si="204"/>
        <v>118128044.62643167</v>
      </c>
      <c r="S680" s="356">
        <f>IF($G$4="mensual",S679,0)</f>
        <v>10000</v>
      </c>
      <c r="U680" s="356">
        <f t="shared" si="213"/>
        <v>942049.3578472659</v>
      </c>
      <c r="V680" s="359">
        <f t="shared" si="196"/>
        <v>-633.5126531540091</v>
      </c>
      <c r="X680" s="359">
        <f t="shared" si="195"/>
        <v>-119080.09398427895</v>
      </c>
      <c r="Y680" s="356">
        <f t="shared" si="199"/>
        <v>118960380.37764151</v>
      </c>
      <c r="AA680" s="357">
        <f>+Bono!J680</f>
        <v>940231.7303581194</v>
      </c>
      <c r="AC680" s="378">
        <f t="shared" si="205"/>
        <v>54.75</v>
      </c>
      <c r="AD680" s="356">
        <f t="shared" si="206"/>
        <v>122187367.65421003</v>
      </c>
    </row>
    <row r="681" spans="2:30" x14ac:dyDescent="0.25">
      <c r="B681" s="356">
        <f t="shared" si="200"/>
        <v>658</v>
      </c>
      <c r="C681" s="357">
        <f t="shared" si="207"/>
        <v>54</v>
      </c>
      <c r="D681" s="357">
        <f t="shared" si="208"/>
        <v>10</v>
      </c>
      <c r="E681" s="357">
        <f t="shared" si="209"/>
        <v>83</v>
      </c>
      <c r="F681" s="356">
        <f t="shared" si="201"/>
        <v>2286755.546210394</v>
      </c>
      <c r="H681" s="356">
        <f t="shared" si="197"/>
        <v>18234.90985205621</v>
      </c>
      <c r="I681" s="356">
        <v>0</v>
      </c>
      <c r="J681" s="356">
        <v>0</v>
      </c>
      <c r="K681" s="356">
        <f t="shared" si="202"/>
        <v>-2304.99045606245</v>
      </c>
      <c r="L681" s="356">
        <f t="shared" si="198"/>
        <v>2302685.4656063877</v>
      </c>
      <c r="N681" s="356">
        <f t="shared" si="203"/>
        <v>658</v>
      </c>
      <c r="O681" s="357">
        <f t="shared" si="210"/>
        <v>54</v>
      </c>
      <c r="P681" s="357">
        <f t="shared" si="211"/>
        <v>10</v>
      </c>
      <c r="Q681" s="357">
        <f t="shared" si="212"/>
        <v>54</v>
      </c>
      <c r="R681" s="356">
        <f t="shared" si="204"/>
        <v>118960380.37764151</v>
      </c>
      <c r="S681" s="356">
        <f>IF($G$4="mensual",S672,IF($G$4="trimestral",S672,0))</f>
        <v>10000</v>
      </c>
      <c r="U681" s="356">
        <f t="shared" si="213"/>
        <v>948686.5200114102</v>
      </c>
      <c r="V681" s="359">
        <f t="shared" si="196"/>
        <v>-633.5126531540091</v>
      </c>
      <c r="X681" s="359">
        <f t="shared" si="195"/>
        <v>-119919.06689765293</v>
      </c>
      <c r="Y681" s="356">
        <f t="shared" si="199"/>
        <v>119798514.31810212</v>
      </c>
      <c r="AA681" s="357">
        <f>+Bono!J681</f>
        <v>946061.2761464701</v>
      </c>
      <c r="AC681" s="378">
        <f t="shared" si="205"/>
        <v>54.833333333333336</v>
      </c>
      <c r="AD681" s="356">
        <f t="shared" si="206"/>
        <v>123047261.05985498</v>
      </c>
    </row>
    <row r="682" spans="2:30" x14ac:dyDescent="0.25">
      <c r="B682" s="356">
        <f t="shared" si="200"/>
        <v>659</v>
      </c>
      <c r="C682" s="357">
        <f t="shared" si="207"/>
        <v>54</v>
      </c>
      <c r="D682" s="357">
        <f t="shared" si="208"/>
        <v>11</v>
      </c>
      <c r="E682" s="357">
        <f t="shared" si="209"/>
        <v>83</v>
      </c>
      <c r="F682" s="356">
        <f t="shared" si="201"/>
        <v>2302685.4656063877</v>
      </c>
      <c r="H682" s="356">
        <f t="shared" si="197"/>
        <v>18361.937266340985</v>
      </c>
      <c r="I682" s="356">
        <v>0</v>
      </c>
      <c r="J682" s="356">
        <v>0</v>
      </c>
      <c r="K682" s="356">
        <f t="shared" si="202"/>
        <v>-2321.0474028727285</v>
      </c>
      <c r="L682" s="356">
        <f t="shared" si="198"/>
        <v>2318726.355469856</v>
      </c>
      <c r="N682" s="356">
        <f t="shared" si="203"/>
        <v>659</v>
      </c>
      <c r="O682" s="357">
        <f t="shared" si="210"/>
        <v>54</v>
      </c>
      <c r="P682" s="357">
        <f t="shared" si="211"/>
        <v>11</v>
      </c>
      <c r="Q682" s="357">
        <f t="shared" si="212"/>
        <v>54</v>
      </c>
      <c r="R682" s="356">
        <f t="shared" si="204"/>
        <v>119798514.31810212</v>
      </c>
      <c r="S682" s="356">
        <f>IF($G$17="si",S670*(1+$G$20),S670)</f>
        <v>10000</v>
      </c>
      <c r="U682" s="356">
        <f t="shared" si="213"/>
        <v>955369.9177508736</v>
      </c>
      <c r="V682" s="359">
        <f t="shared" si="196"/>
        <v>-633.5126531540091</v>
      </c>
      <c r="X682" s="359">
        <f t="shared" si="195"/>
        <v>-120763.88423585301</v>
      </c>
      <c r="Y682" s="356">
        <f t="shared" si="199"/>
        <v>120642486.83896399</v>
      </c>
      <c r="AA682" s="357">
        <f>+Bono!J682</f>
        <v>951926.9657948941</v>
      </c>
      <c r="AC682" s="378">
        <f t="shared" si="205"/>
        <v>54.916666666666664</v>
      </c>
      <c r="AD682" s="356">
        <f t="shared" si="206"/>
        <v>123913140.16022873</v>
      </c>
    </row>
    <row r="683" spans="2:30" x14ac:dyDescent="0.25">
      <c r="B683" s="356">
        <f t="shared" si="200"/>
        <v>660</v>
      </c>
      <c r="C683" s="357">
        <f t="shared" si="207"/>
        <v>54</v>
      </c>
      <c r="D683" s="357">
        <f t="shared" si="208"/>
        <v>12</v>
      </c>
      <c r="E683" s="357">
        <f t="shared" si="209"/>
        <v>83</v>
      </c>
      <c r="F683" s="356">
        <f t="shared" si="201"/>
        <v>2318726.355469856</v>
      </c>
      <c r="H683" s="356">
        <f t="shared" si="197"/>
        <v>18489.84957471686</v>
      </c>
      <c r="I683" s="356">
        <v>0</v>
      </c>
      <c r="J683" s="360">
        <f>-SUM(F683:H683)*$J$21</f>
        <v>-21034.94584540116</v>
      </c>
      <c r="K683" s="356">
        <f t="shared" si="202"/>
        <v>-2316.1812591991716</v>
      </c>
      <c r="L683" s="356">
        <f t="shared" si="198"/>
        <v>2313865.0779399723</v>
      </c>
      <c r="N683" s="356">
        <f t="shared" si="203"/>
        <v>660</v>
      </c>
      <c r="O683" s="357">
        <f t="shared" si="210"/>
        <v>54</v>
      </c>
      <c r="P683" s="357">
        <f t="shared" si="211"/>
        <v>12</v>
      </c>
      <c r="Q683" s="357">
        <f t="shared" si="212"/>
        <v>54</v>
      </c>
      <c r="R683" s="356">
        <f t="shared" si="204"/>
        <v>120642486.83896399</v>
      </c>
      <c r="S683" s="356">
        <f>IF($G$4="mensual",S682,0)</f>
        <v>10000</v>
      </c>
      <c r="U683" s="356">
        <f t="shared" si="213"/>
        <v>962099.873150362</v>
      </c>
      <c r="V683" s="359">
        <f t="shared" si="196"/>
        <v>-633.5126531540091</v>
      </c>
      <c r="X683" s="359">
        <f t="shared" ref="X683:X746" si="214">-SUM(R683:U683)*0.1%</f>
        <v>-121614.58671211435</v>
      </c>
      <c r="Y683" s="356">
        <f t="shared" si="199"/>
        <v>121492338.61274908</v>
      </c>
      <c r="AA683" s="357">
        <f>+Bono!J683</f>
        <v>949199.9330986197</v>
      </c>
      <c r="AC683" s="378">
        <f t="shared" si="205"/>
        <v>55</v>
      </c>
      <c r="AD683" s="356">
        <f t="shared" si="206"/>
        <v>124755403.62378767</v>
      </c>
    </row>
    <row r="684" spans="2:30" x14ac:dyDescent="0.25">
      <c r="B684" s="356">
        <f t="shared" si="200"/>
        <v>661</v>
      </c>
      <c r="C684" s="357">
        <f t="shared" si="207"/>
        <v>55</v>
      </c>
      <c r="D684" s="357">
        <f t="shared" si="208"/>
        <v>1</v>
      </c>
      <c r="E684" s="357">
        <f t="shared" si="209"/>
        <v>84</v>
      </c>
      <c r="F684" s="356">
        <f t="shared" si="201"/>
        <v>2313865.0779399723</v>
      </c>
      <c r="H684" s="356">
        <f t="shared" si="197"/>
        <v>18451.085065029692</v>
      </c>
      <c r="I684" s="356">
        <v>0</v>
      </c>
      <c r="J684" s="356">
        <v>0</v>
      </c>
      <c r="K684" s="356">
        <f t="shared" si="202"/>
        <v>-2332.3161630050017</v>
      </c>
      <c r="L684" s="356">
        <f t="shared" si="198"/>
        <v>2329983.846841997</v>
      </c>
      <c r="N684" s="356">
        <f t="shared" si="203"/>
        <v>661</v>
      </c>
      <c r="O684" s="357">
        <f t="shared" si="210"/>
        <v>55</v>
      </c>
      <c r="P684" s="357">
        <f t="shared" si="211"/>
        <v>1</v>
      </c>
      <c r="Q684" s="357">
        <f t="shared" si="212"/>
        <v>55</v>
      </c>
      <c r="R684" s="356">
        <f t="shared" si="204"/>
        <v>121492338.61274908</v>
      </c>
      <c r="S684" s="356">
        <f>IF($G$17="si",S672*(1+$G$20),S672)</f>
        <v>10000</v>
      </c>
      <c r="U684" s="356">
        <f t="shared" si="213"/>
        <v>968876.7105382774</v>
      </c>
      <c r="V684" s="359">
        <f>(V683*(1+$G$18))</f>
        <v>-658.8531592801694</v>
      </c>
      <c r="X684" s="359">
        <f t="shared" si="214"/>
        <v>-122471.21532328737</v>
      </c>
      <c r="Y684" s="356">
        <f t="shared" si="199"/>
        <v>122348085.2548048</v>
      </c>
      <c r="AA684" s="357">
        <f>+Bono!J684</f>
        <v>955085.0827842087</v>
      </c>
      <c r="AC684" s="378">
        <f t="shared" si="205"/>
        <v>55.083333333333336</v>
      </c>
      <c r="AD684" s="356">
        <f t="shared" si="206"/>
        <v>125633154.184431</v>
      </c>
    </row>
    <row r="685" spans="2:30" x14ac:dyDescent="0.25">
      <c r="B685" s="356">
        <f t="shared" si="200"/>
        <v>662</v>
      </c>
      <c r="C685" s="357">
        <f t="shared" si="207"/>
        <v>55</v>
      </c>
      <c r="D685" s="357">
        <f t="shared" si="208"/>
        <v>2</v>
      </c>
      <c r="E685" s="357">
        <f t="shared" si="209"/>
        <v>84</v>
      </c>
      <c r="F685" s="356">
        <f t="shared" si="201"/>
        <v>2329983.846841997</v>
      </c>
      <c r="H685" s="356">
        <f t="shared" si="197"/>
        <v>18579.618391795484</v>
      </c>
      <c r="I685" s="356">
        <v>0</v>
      </c>
      <c r="J685" s="356">
        <v>0</v>
      </c>
      <c r="K685" s="356">
        <f t="shared" si="202"/>
        <v>-2348.5634652337926</v>
      </c>
      <c r="L685" s="356">
        <f t="shared" si="198"/>
        <v>2346214.9017685587</v>
      </c>
      <c r="N685" s="356">
        <f t="shared" si="203"/>
        <v>662</v>
      </c>
      <c r="O685" s="357">
        <f t="shared" si="210"/>
        <v>55</v>
      </c>
      <c r="P685" s="357">
        <f t="shared" si="211"/>
        <v>2</v>
      </c>
      <c r="Q685" s="357">
        <f t="shared" si="212"/>
        <v>55</v>
      </c>
      <c r="R685" s="356">
        <f t="shared" si="204"/>
        <v>122348085.2548048</v>
      </c>
      <c r="S685" s="356">
        <f>IF($G$4="mensual",S684,0)</f>
        <v>10000</v>
      </c>
      <c r="U685" s="356">
        <f t="shared" si="213"/>
        <v>975700.5544335926</v>
      </c>
      <c r="V685" s="359">
        <f t="shared" si="196"/>
        <v>-658.8531592801694</v>
      </c>
      <c r="X685" s="359">
        <f t="shared" si="214"/>
        <v>-123333.78580923841</v>
      </c>
      <c r="Y685" s="356">
        <f t="shared" si="199"/>
        <v>123209793.17026989</v>
      </c>
      <c r="AA685" s="357">
        <f>+Bono!J685</f>
        <v>961006.7210804835</v>
      </c>
      <c r="AC685" s="378">
        <f t="shared" si="205"/>
        <v>55.166666666666664</v>
      </c>
      <c r="AD685" s="356">
        <f t="shared" si="206"/>
        <v>126517014.79311894</v>
      </c>
    </row>
    <row r="686" spans="2:30" x14ac:dyDescent="0.25">
      <c r="B686" s="356">
        <f t="shared" si="200"/>
        <v>663</v>
      </c>
      <c r="C686" s="357">
        <f t="shared" si="207"/>
        <v>55</v>
      </c>
      <c r="D686" s="357">
        <f t="shared" si="208"/>
        <v>3</v>
      </c>
      <c r="E686" s="357">
        <f t="shared" si="209"/>
        <v>84</v>
      </c>
      <c r="F686" s="356">
        <f t="shared" si="201"/>
        <v>2346214.9017685587</v>
      </c>
      <c r="H686" s="356">
        <f t="shared" si="197"/>
        <v>18709.04710308914</v>
      </c>
      <c r="I686" s="356">
        <v>0</v>
      </c>
      <c r="J686" s="360">
        <f>-SUM(F686:H686)*$J$21</f>
        <v>-21284.315539844833</v>
      </c>
      <c r="K686" s="356">
        <f t="shared" si="202"/>
        <v>-2343.639633331803</v>
      </c>
      <c r="L686" s="356">
        <f t="shared" si="198"/>
        <v>2341295.993698471</v>
      </c>
      <c r="N686" s="356">
        <f t="shared" si="203"/>
        <v>663</v>
      </c>
      <c r="O686" s="357">
        <f t="shared" si="210"/>
        <v>55</v>
      </c>
      <c r="P686" s="357">
        <f t="shared" si="211"/>
        <v>3</v>
      </c>
      <c r="Q686" s="357">
        <f t="shared" si="212"/>
        <v>55</v>
      </c>
      <c r="R686" s="356">
        <f t="shared" si="204"/>
        <v>123209793.17026989</v>
      </c>
      <c r="S686" s="356">
        <f>IF($G$4="mensual",S685,0)</f>
        <v>10000</v>
      </c>
      <c r="U686" s="356">
        <f t="shared" si="213"/>
        <v>982571.934360209</v>
      </c>
      <c r="V686" s="359">
        <f t="shared" si="196"/>
        <v>-658.8531592801694</v>
      </c>
      <c r="X686" s="359">
        <f t="shared" si="214"/>
        <v>-124202.3651046301</v>
      </c>
      <c r="Y686" s="356">
        <f t="shared" si="199"/>
        <v>124077503.88636619</v>
      </c>
      <c r="AA686" s="357">
        <f>+Bono!J686</f>
        <v>958253.6771560081</v>
      </c>
      <c r="AC686" s="378">
        <f t="shared" si="205"/>
        <v>55.25</v>
      </c>
      <c r="AD686" s="356">
        <f t="shared" si="206"/>
        <v>127377053.55722067</v>
      </c>
    </row>
    <row r="687" spans="2:30" x14ac:dyDescent="0.25">
      <c r="B687" s="356">
        <f t="shared" si="200"/>
        <v>664</v>
      </c>
      <c r="C687" s="357">
        <f t="shared" si="207"/>
        <v>55</v>
      </c>
      <c r="D687" s="357">
        <f t="shared" si="208"/>
        <v>4</v>
      </c>
      <c r="E687" s="357">
        <f t="shared" si="209"/>
        <v>84</v>
      </c>
      <c r="F687" s="356">
        <f t="shared" si="201"/>
        <v>2341295.993698471</v>
      </c>
      <c r="H687" s="356">
        <f t="shared" si="197"/>
        <v>18669.823039381394</v>
      </c>
      <c r="I687" s="356">
        <v>0</v>
      </c>
      <c r="J687" s="356">
        <v>0</v>
      </c>
      <c r="K687" s="356">
        <f t="shared" si="202"/>
        <v>-2359.9658167378525</v>
      </c>
      <c r="L687" s="356">
        <f t="shared" si="198"/>
        <v>2357605.8509211144</v>
      </c>
      <c r="N687" s="356">
        <f t="shared" si="203"/>
        <v>664</v>
      </c>
      <c r="O687" s="357">
        <f t="shared" si="210"/>
        <v>55</v>
      </c>
      <c r="P687" s="357">
        <f t="shared" si="211"/>
        <v>4</v>
      </c>
      <c r="Q687" s="357">
        <f t="shared" si="212"/>
        <v>55</v>
      </c>
      <c r="R687" s="356">
        <f t="shared" si="204"/>
        <v>124077503.88636619</v>
      </c>
      <c r="S687" s="356">
        <f>IF($G$4="mensual",S684,IF($G$4="trimestral",S684,0))</f>
        <v>10000</v>
      </c>
      <c r="U687" s="356">
        <f t="shared" si="213"/>
        <v>989491.1814620256</v>
      </c>
      <c r="V687" s="359">
        <f t="shared" si="196"/>
        <v>-658.8531592801694</v>
      </c>
      <c r="X687" s="359">
        <f t="shared" si="214"/>
        <v>-125076.9950678282</v>
      </c>
      <c r="Y687" s="356">
        <f t="shared" si="199"/>
        <v>124951259.2196011</v>
      </c>
      <c r="AA687" s="357">
        <f>+Bono!J687</f>
        <v>964194.9611049222</v>
      </c>
      <c r="AC687" s="378">
        <f t="shared" si="205"/>
        <v>55.333333333333336</v>
      </c>
      <c r="AD687" s="356">
        <f t="shared" si="206"/>
        <v>128273060.03162713</v>
      </c>
    </row>
    <row r="688" spans="2:30" x14ac:dyDescent="0.25">
      <c r="B688" s="356">
        <f t="shared" si="200"/>
        <v>665</v>
      </c>
      <c r="C688" s="357">
        <f t="shared" si="207"/>
        <v>55</v>
      </c>
      <c r="D688" s="357">
        <f t="shared" si="208"/>
        <v>5</v>
      </c>
      <c r="E688" s="357">
        <f t="shared" si="209"/>
        <v>84</v>
      </c>
      <c r="F688" s="356">
        <f t="shared" si="201"/>
        <v>2357605.8509211144</v>
      </c>
      <c r="H688" s="356">
        <f t="shared" si="197"/>
        <v>18799.88013125012</v>
      </c>
      <c r="I688" s="356">
        <v>0</v>
      </c>
      <c r="J688" s="356">
        <v>0</v>
      </c>
      <c r="K688" s="356">
        <f t="shared" si="202"/>
        <v>-2376.405731052365</v>
      </c>
      <c r="L688" s="356">
        <f t="shared" si="198"/>
        <v>2374029.3253213125</v>
      </c>
      <c r="N688" s="356">
        <f t="shared" si="203"/>
        <v>665</v>
      </c>
      <c r="O688" s="357">
        <f t="shared" si="210"/>
        <v>55</v>
      </c>
      <c r="P688" s="357">
        <f t="shared" si="211"/>
        <v>5</v>
      </c>
      <c r="Q688" s="357">
        <f t="shared" si="212"/>
        <v>55</v>
      </c>
      <c r="R688" s="356">
        <f t="shared" si="204"/>
        <v>124951259.2196011</v>
      </c>
      <c r="S688" s="356">
        <f>IF($G$4="mensual",S687,0)</f>
        <v>10000</v>
      </c>
      <c r="U688" s="356">
        <f t="shared" si="213"/>
        <v>996458.6291897444</v>
      </c>
      <c r="V688" s="359">
        <f t="shared" si="196"/>
        <v>-658.8531592801694</v>
      </c>
      <c r="X688" s="359">
        <f t="shared" si="214"/>
        <v>-125957.71784879084</v>
      </c>
      <c r="Y688" s="356">
        <f t="shared" si="199"/>
        <v>125831101.27778277</v>
      </c>
      <c r="AA688" s="357">
        <f>+Bono!J688</f>
        <v>970173.0817034659</v>
      </c>
      <c r="AC688" s="378">
        <f t="shared" si="205"/>
        <v>55.416666666666664</v>
      </c>
      <c r="AD688" s="356">
        <f t="shared" si="206"/>
        <v>129175303.68480755</v>
      </c>
    </row>
    <row r="689" spans="2:30" x14ac:dyDescent="0.25">
      <c r="B689" s="356">
        <f t="shared" si="200"/>
        <v>666</v>
      </c>
      <c r="C689" s="357">
        <f t="shared" si="207"/>
        <v>55</v>
      </c>
      <c r="D689" s="357">
        <f t="shared" si="208"/>
        <v>6</v>
      </c>
      <c r="E689" s="357">
        <f t="shared" si="209"/>
        <v>84</v>
      </c>
      <c r="F689" s="356">
        <f t="shared" si="201"/>
        <v>2374029.3253213125</v>
      </c>
      <c r="H689" s="356">
        <f t="shared" si="197"/>
        <v>18930.843222447806</v>
      </c>
      <c r="I689" s="356">
        <v>0</v>
      </c>
      <c r="J689" s="360">
        <f>-SUM(F689:H689)*$J$21</f>
        <v>-21536.641516893844</v>
      </c>
      <c r="K689" s="356">
        <f t="shared" si="202"/>
        <v>-2371.4235270268664</v>
      </c>
      <c r="L689" s="356">
        <f t="shared" si="198"/>
        <v>2369052.1034998395</v>
      </c>
      <c r="N689" s="356">
        <f t="shared" si="203"/>
        <v>666</v>
      </c>
      <c r="O689" s="357">
        <f t="shared" si="210"/>
        <v>55</v>
      </c>
      <c r="P689" s="357">
        <f t="shared" si="211"/>
        <v>6</v>
      </c>
      <c r="Q689" s="357">
        <f t="shared" si="212"/>
        <v>55</v>
      </c>
      <c r="R689" s="356">
        <f t="shared" si="204"/>
        <v>125831101.27778277</v>
      </c>
      <c r="S689" s="356">
        <f>IF($G$4="mensual",S688,0)</f>
        <v>10000</v>
      </c>
      <c r="U689" s="356">
        <f t="shared" si="213"/>
        <v>1003474.6133169407</v>
      </c>
      <c r="V689" s="359">
        <f t="shared" ref="V689:V752" si="215">V688</f>
        <v>-658.8531592801694</v>
      </c>
      <c r="X689" s="359">
        <f t="shared" si="214"/>
        <v>-126844.57589109971</v>
      </c>
      <c r="Y689" s="356">
        <f t="shared" si="199"/>
        <v>126717072.46204934</v>
      </c>
      <c r="AA689" s="357">
        <f>+Bono!J689</f>
        <v>967393.7784481564</v>
      </c>
      <c r="AC689" s="378">
        <f t="shared" si="205"/>
        <v>55.5</v>
      </c>
      <c r="AD689" s="356">
        <f t="shared" si="206"/>
        <v>130053518.34399733</v>
      </c>
    </row>
    <row r="690" spans="2:30" x14ac:dyDescent="0.25">
      <c r="B690" s="356">
        <f t="shared" si="200"/>
        <v>667</v>
      </c>
      <c r="C690" s="357">
        <f t="shared" si="207"/>
        <v>55</v>
      </c>
      <c r="D690" s="357">
        <f t="shared" si="208"/>
        <v>7</v>
      </c>
      <c r="E690" s="357">
        <f t="shared" si="209"/>
        <v>84</v>
      </c>
      <c r="F690" s="356">
        <f t="shared" si="201"/>
        <v>2369052.1034998395</v>
      </c>
      <c r="H690" s="356">
        <f t="shared" si="197"/>
        <v>18891.154156697576</v>
      </c>
      <c r="I690" s="356">
        <v>0</v>
      </c>
      <c r="J690" s="356">
        <v>0</v>
      </c>
      <c r="K690" s="356">
        <f t="shared" si="202"/>
        <v>-2387.943257656537</v>
      </c>
      <c r="L690" s="356">
        <f t="shared" si="198"/>
        <v>2385555.3143988806</v>
      </c>
      <c r="N690" s="356">
        <f t="shared" si="203"/>
        <v>667</v>
      </c>
      <c r="O690" s="357">
        <f t="shared" si="210"/>
        <v>55</v>
      </c>
      <c r="P690" s="357">
        <f t="shared" si="211"/>
        <v>7</v>
      </c>
      <c r="Q690" s="357">
        <f t="shared" si="212"/>
        <v>55</v>
      </c>
      <c r="R690" s="356">
        <f t="shared" si="204"/>
        <v>126717072.46204934</v>
      </c>
      <c r="S690" s="356">
        <f>+IF($G$4="mensual",S684,IF($G$4="trimestral",S684,IF($G$4="semestral",S684,0)))</f>
        <v>10000</v>
      </c>
      <c r="U690" s="356">
        <f t="shared" si="213"/>
        <v>1010539.4719562446</v>
      </c>
      <c r="V690" s="359">
        <f t="shared" si="215"/>
        <v>-658.8531592801694</v>
      </c>
      <c r="X690" s="359">
        <f t="shared" si="214"/>
        <v>-127737.61193400557</v>
      </c>
      <c r="Y690" s="356">
        <f t="shared" si="199"/>
        <v>127609215.46891229</v>
      </c>
      <c r="AA690" s="357">
        <f>+Bono!J690</f>
        <v>973391.732085268</v>
      </c>
      <c r="AC690" s="378">
        <f t="shared" si="205"/>
        <v>55.583333333333336</v>
      </c>
      <c r="AD690" s="356">
        <f t="shared" si="206"/>
        <v>130968162.51539645</v>
      </c>
    </row>
    <row r="691" spans="2:30" x14ac:dyDescent="0.25">
      <c r="B691" s="356">
        <f t="shared" si="200"/>
        <v>668</v>
      </c>
      <c r="C691" s="357">
        <f t="shared" si="207"/>
        <v>55</v>
      </c>
      <c r="D691" s="357">
        <f t="shared" si="208"/>
        <v>8</v>
      </c>
      <c r="E691" s="357">
        <f t="shared" si="209"/>
        <v>84</v>
      </c>
      <c r="F691" s="356">
        <f t="shared" si="201"/>
        <v>2385555.3143988806</v>
      </c>
      <c r="H691" s="356">
        <f t="shared" si="197"/>
        <v>19022.753077934343</v>
      </c>
      <c r="I691" s="356">
        <v>0</v>
      </c>
      <c r="J691" s="356">
        <v>0</v>
      </c>
      <c r="K691" s="356">
        <f t="shared" si="202"/>
        <v>-2404.5780674768152</v>
      </c>
      <c r="L691" s="356">
        <f t="shared" si="198"/>
        <v>2402173.489409338</v>
      </c>
      <c r="N691" s="356">
        <f t="shared" si="203"/>
        <v>668</v>
      </c>
      <c r="O691" s="357">
        <f t="shared" si="210"/>
        <v>55</v>
      </c>
      <c r="P691" s="357">
        <f t="shared" si="211"/>
        <v>8</v>
      </c>
      <c r="Q691" s="357">
        <f t="shared" si="212"/>
        <v>55</v>
      </c>
      <c r="R691" s="356">
        <f t="shared" si="204"/>
        <v>127609215.46891229</v>
      </c>
      <c r="S691" s="356">
        <f>IF($G$4="mensual",S690,0)</f>
        <v>10000</v>
      </c>
      <c r="U691" s="356">
        <f t="shared" si="213"/>
        <v>1017653.5455756341</v>
      </c>
      <c r="V691" s="359">
        <f t="shared" si="215"/>
        <v>-658.8531592801694</v>
      </c>
      <c r="X691" s="359">
        <f t="shared" si="214"/>
        <v>-128636.86901448792</v>
      </c>
      <c r="Y691" s="356">
        <f t="shared" si="199"/>
        <v>128507573.29231416</v>
      </c>
      <c r="AA691" s="357">
        <f>+Bono!J691</f>
        <v>979426.8737306491</v>
      </c>
      <c r="AC691" s="378">
        <f t="shared" si="205"/>
        <v>55.666666666666664</v>
      </c>
      <c r="AD691" s="356">
        <f t="shared" si="206"/>
        <v>131889173.65545414</v>
      </c>
    </row>
    <row r="692" spans="2:30" x14ac:dyDescent="0.25">
      <c r="B692" s="356">
        <f t="shared" si="200"/>
        <v>669</v>
      </c>
      <c r="C692" s="357">
        <f t="shared" si="207"/>
        <v>55</v>
      </c>
      <c r="D692" s="357">
        <f t="shared" si="208"/>
        <v>9</v>
      </c>
      <c r="E692" s="357">
        <f t="shared" si="209"/>
        <v>84</v>
      </c>
      <c r="F692" s="356">
        <f t="shared" si="201"/>
        <v>2402173.489409338</v>
      </c>
      <c r="H692" s="356">
        <f t="shared" si="197"/>
        <v>19155.268739139832</v>
      </c>
      <c r="I692" s="356">
        <v>0</v>
      </c>
      <c r="J692" s="360">
        <f>-SUM(F692:H692)*$J$21</f>
        <v>-21791.958823336303</v>
      </c>
      <c r="K692" s="356">
        <f t="shared" si="202"/>
        <v>-2399.5367993251416</v>
      </c>
      <c r="L692" s="356">
        <f t="shared" si="198"/>
        <v>2397137.2625258164</v>
      </c>
      <c r="N692" s="356">
        <f t="shared" si="203"/>
        <v>669</v>
      </c>
      <c r="O692" s="357">
        <f t="shared" si="210"/>
        <v>55</v>
      </c>
      <c r="P692" s="357">
        <f t="shared" si="211"/>
        <v>9</v>
      </c>
      <c r="Q692" s="357">
        <f t="shared" si="212"/>
        <v>55</v>
      </c>
      <c r="R692" s="356">
        <f t="shared" si="204"/>
        <v>128507573.29231416</v>
      </c>
      <c r="S692" s="356">
        <f>IF($G$4="mensual",S691,0)</f>
        <v>10000</v>
      </c>
      <c r="U692" s="356">
        <f t="shared" si="213"/>
        <v>1024817.177014845</v>
      </c>
      <c r="V692" s="359">
        <f t="shared" si="215"/>
        <v>-658.8531592801694</v>
      </c>
      <c r="X692" s="359">
        <f t="shared" si="214"/>
        <v>-129542.390469329</v>
      </c>
      <c r="Y692" s="356">
        <f t="shared" si="199"/>
        <v>129412189.2257004</v>
      </c>
      <c r="AA692" s="357">
        <f>+Bono!J692</f>
        <v>976621.0606753975</v>
      </c>
      <c r="AC692" s="378">
        <f t="shared" si="205"/>
        <v>55.75</v>
      </c>
      <c r="AD692" s="356">
        <f t="shared" si="206"/>
        <v>132785947.5489016</v>
      </c>
    </row>
    <row r="693" spans="2:30" x14ac:dyDescent="0.25">
      <c r="B693" s="356">
        <f t="shared" si="200"/>
        <v>670</v>
      </c>
      <c r="C693" s="357">
        <f t="shared" si="207"/>
        <v>55</v>
      </c>
      <c r="D693" s="357">
        <f t="shared" si="208"/>
        <v>10</v>
      </c>
      <c r="E693" s="357">
        <f t="shared" si="209"/>
        <v>84</v>
      </c>
      <c r="F693" s="356">
        <f t="shared" si="201"/>
        <v>2397137.2625258164</v>
      </c>
      <c r="H693" s="356">
        <f t="shared" si="197"/>
        <v>19115.10915873881</v>
      </c>
      <c r="I693" s="356">
        <v>0</v>
      </c>
      <c r="J693" s="356">
        <v>0</v>
      </c>
      <c r="K693" s="356">
        <f t="shared" si="202"/>
        <v>-2416.2523716845553</v>
      </c>
      <c r="L693" s="356">
        <f t="shared" si="198"/>
        <v>2413836.119312871</v>
      </c>
      <c r="N693" s="356">
        <f t="shared" si="203"/>
        <v>670</v>
      </c>
      <c r="O693" s="357">
        <f t="shared" si="210"/>
        <v>55</v>
      </c>
      <c r="P693" s="357">
        <f t="shared" si="211"/>
        <v>10</v>
      </c>
      <c r="Q693" s="357">
        <f t="shared" si="212"/>
        <v>55</v>
      </c>
      <c r="R693" s="356">
        <f t="shared" si="204"/>
        <v>129412189.2257004</v>
      </c>
      <c r="S693" s="356">
        <f>IF($G$4="mensual",S684,IF($G$4="trimestral",S684,0))</f>
        <v>10000</v>
      </c>
      <c r="U693" s="356">
        <f t="shared" si="213"/>
        <v>1032030.7115018907</v>
      </c>
      <c r="V693" s="359">
        <f t="shared" si="215"/>
        <v>-658.8531592801694</v>
      </c>
      <c r="X693" s="359">
        <f t="shared" si="214"/>
        <v>-130454.21993720229</v>
      </c>
      <c r="Y693" s="356">
        <f t="shared" si="199"/>
        <v>130323106.8641058</v>
      </c>
      <c r="AA693" s="357">
        <f>+Bono!J693</f>
        <v>982676.2245326164</v>
      </c>
      <c r="AC693" s="378">
        <f t="shared" si="205"/>
        <v>55.833333333333336</v>
      </c>
      <c r="AD693" s="356">
        <f t="shared" si="206"/>
        <v>133719619.20795129</v>
      </c>
    </row>
    <row r="694" spans="2:30" x14ac:dyDescent="0.25">
      <c r="B694" s="356">
        <f t="shared" si="200"/>
        <v>671</v>
      </c>
      <c r="C694" s="357">
        <f t="shared" si="207"/>
        <v>55</v>
      </c>
      <c r="D694" s="357">
        <f t="shared" si="208"/>
        <v>11</v>
      </c>
      <c r="E694" s="357">
        <f t="shared" si="209"/>
        <v>84</v>
      </c>
      <c r="F694" s="356">
        <f t="shared" si="201"/>
        <v>2413836.119312871</v>
      </c>
      <c r="H694" s="356">
        <f t="shared" si="197"/>
        <v>19248.268187760932</v>
      </c>
      <c r="I694" s="356">
        <v>0</v>
      </c>
      <c r="J694" s="356">
        <v>0</v>
      </c>
      <c r="K694" s="356">
        <f t="shared" si="202"/>
        <v>-2433.0843875006317</v>
      </c>
      <c r="L694" s="356">
        <f t="shared" si="198"/>
        <v>2430651.303113131</v>
      </c>
      <c r="N694" s="356">
        <f t="shared" si="203"/>
        <v>671</v>
      </c>
      <c r="O694" s="357">
        <f t="shared" si="210"/>
        <v>55</v>
      </c>
      <c r="P694" s="357">
        <f t="shared" si="211"/>
        <v>11</v>
      </c>
      <c r="Q694" s="357">
        <f t="shared" si="212"/>
        <v>55</v>
      </c>
      <c r="R694" s="356">
        <f t="shared" si="204"/>
        <v>130323106.8641058</v>
      </c>
      <c r="S694" s="356">
        <f>IF($G$17="si",S682*(1+$G$20),S682)</f>
        <v>10000</v>
      </c>
      <c r="U694" s="356">
        <f t="shared" si="213"/>
        <v>1039294.4966697008</v>
      </c>
      <c r="V694" s="359">
        <f t="shared" si="215"/>
        <v>-658.8531592801694</v>
      </c>
      <c r="X694" s="359">
        <f t="shared" si="214"/>
        <v>-131372.4013607755</v>
      </c>
      <c r="Y694" s="356">
        <f t="shared" si="199"/>
        <v>131240370.10625544</v>
      </c>
      <c r="AA694" s="357">
        <f>+Bono!J694</f>
        <v>988768.9311081056</v>
      </c>
      <c r="AC694" s="378">
        <f t="shared" si="205"/>
        <v>55.916666666666664</v>
      </c>
      <c r="AD694" s="356">
        <f t="shared" si="206"/>
        <v>134659790.34047666</v>
      </c>
    </row>
    <row r="695" spans="2:30" x14ac:dyDescent="0.25">
      <c r="B695" s="356">
        <f t="shared" si="200"/>
        <v>672</v>
      </c>
      <c r="C695" s="357">
        <f t="shared" si="207"/>
        <v>55</v>
      </c>
      <c r="D695" s="357">
        <f t="shared" si="208"/>
        <v>12</v>
      </c>
      <c r="E695" s="357">
        <f t="shared" si="209"/>
        <v>84</v>
      </c>
      <c r="F695" s="356">
        <f t="shared" si="201"/>
        <v>2430651.303113131</v>
      </c>
      <c r="H695" s="356">
        <f t="shared" si="197"/>
        <v>19382.354824722035</v>
      </c>
      <c r="I695" s="356">
        <v>0</v>
      </c>
      <c r="J695" s="360">
        <f>-SUM(F695:H695)*$J$21</f>
        <v>-22050.302921440678</v>
      </c>
      <c r="K695" s="356">
        <f t="shared" si="202"/>
        <v>-2427.983355016412</v>
      </c>
      <c r="L695" s="356">
        <f t="shared" si="198"/>
        <v>2425555.3716613958</v>
      </c>
      <c r="N695" s="356">
        <f t="shared" si="203"/>
        <v>672</v>
      </c>
      <c r="O695" s="357">
        <f t="shared" si="210"/>
        <v>55</v>
      </c>
      <c r="P695" s="357">
        <f t="shared" si="211"/>
        <v>12</v>
      </c>
      <c r="Q695" s="357">
        <f t="shared" si="212"/>
        <v>55</v>
      </c>
      <c r="R695" s="356">
        <f t="shared" si="204"/>
        <v>131240370.10625544</v>
      </c>
      <c r="S695" s="356">
        <f>IF($G$4="mensual",S694,0)</f>
        <v>10000</v>
      </c>
      <c r="U695" s="356">
        <f t="shared" si="213"/>
        <v>1046608.8825728736</v>
      </c>
      <c r="V695" s="359">
        <f t="shared" si="215"/>
        <v>-658.8531592801694</v>
      </c>
      <c r="X695" s="359">
        <f t="shared" si="214"/>
        <v>-132296.9789888283</v>
      </c>
      <c r="Y695" s="356">
        <f t="shared" si="199"/>
        <v>132164023.15668021</v>
      </c>
      <c r="AA695" s="357">
        <f>+Bono!J695</f>
        <v>985936.3553947571</v>
      </c>
      <c r="AC695" s="378">
        <f t="shared" si="205"/>
        <v>56</v>
      </c>
      <c r="AD695" s="356">
        <f t="shared" si="206"/>
        <v>135575514.88373637</v>
      </c>
    </row>
    <row r="696" spans="2:30" x14ac:dyDescent="0.25">
      <c r="B696" s="356">
        <f t="shared" si="200"/>
        <v>673</v>
      </c>
      <c r="C696" s="357">
        <f t="shared" si="207"/>
        <v>56</v>
      </c>
      <c r="D696" s="357">
        <f t="shared" si="208"/>
        <v>1</v>
      </c>
      <c r="E696" s="357">
        <f t="shared" si="209"/>
        <v>85</v>
      </c>
      <c r="F696" s="356">
        <f t="shared" si="201"/>
        <v>2425555.3716613958</v>
      </c>
      <c r="H696" s="356">
        <f t="shared" si="197"/>
        <v>19341.719151709833</v>
      </c>
      <c r="I696" s="356">
        <v>0</v>
      </c>
      <c r="J696" s="356">
        <v>0</v>
      </c>
      <c r="K696" s="356">
        <f t="shared" si="202"/>
        <v>-2444.8970908131055</v>
      </c>
      <c r="L696" s="356">
        <f t="shared" si="198"/>
        <v>2442452.1937222923</v>
      </c>
      <c r="N696" s="356">
        <f t="shared" si="203"/>
        <v>673</v>
      </c>
      <c r="O696" s="357">
        <f t="shared" si="210"/>
        <v>56</v>
      </c>
      <c r="P696" s="357">
        <f t="shared" si="211"/>
        <v>1</v>
      </c>
      <c r="Q696" s="357">
        <f t="shared" si="212"/>
        <v>56</v>
      </c>
      <c r="R696" s="356">
        <f t="shared" si="204"/>
        <v>132164023.15668021</v>
      </c>
      <c r="S696" s="356">
        <f>IF($G$17="si",S684*(1+$G$20),S684)</f>
        <v>10000</v>
      </c>
      <c r="U696" s="356">
        <f t="shared" si="213"/>
        <v>1053974.2217045461</v>
      </c>
      <c r="V696" s="359">
        <f>(V695*(1+$G$18))</f>
        <v>-685.2072856513762</v>
      </c>
      <c r="X696" s="359">
        <f t="shared" si="214"/>
        <v>-133227.99737838475</v>
      </c>
      <c r="Y696" s="356">
        <f t="shared" si="199"/>
        <v>133094084.17372072</v>
      </c>
      <c r="AA696" s="357">
        <f>+Bono!J696</f>
        <v>992049.2751597434</v>
      </c>
      <c r="AC696" s="378">
        <f t="shared" si="205"/>
        <v>56.083333333333336</v>
      </c>
      <c r="AD696" s="356">
        <f t="shared" si="206"/>
        <v>136528585.64260274</v>
      </c>
    </row>
    <row r="697" spans="2:30" x14ac:dyDescent="0.25">
      <c r="B697" s="356">
        <f t="shared" si="200"/>
        <v>674</v>
      </c>
      <c r="C697" s="357">
        <f t="shared" si="207"/>
        <v>56</v>
      </c>
      <c r="D697" s="357">
        <f t="shared" si="208"/>
        <v>2</v>
      </c>
      <c r="E697" s="357">
        <f t="shared" si="209"/>
        <v>85</v>
      </c>
      <c r="F697" s="356">
        <f t="shared" si="201"/>
        <v>2442452.1937222923</v>
      </c>
      <c r="H697" s="356">
        <f t="shared" si="197"/>
        <v>19476.45678362562</v>
      </c>
      <c r="I697" s="356">
        <v>0</v>
      </c>
      <c r="J697" s="356">
        <v>0</v>
      </c>
      <c r="K697" s="356">
        <f t="shared" si="202"/>
        <v>-2461.928650505918</v>
      </c>
      <c r="L697" s="356">
        <f t="shared" si="198"/>
        <v>2459466.7218554122</v>
      </c>
      <c r="N697" s="356">
        <f t="shared" si="203"/>
        <v>674</v>
      </c>
      <c r="O697" s="357">
        <f t="shared" si="210"/>
        <v>56</v>
      </c>
      <c r="P697" s="357">
        <f t="shared" si="211"/>
        <v>2</v>
      </c>
      <c r="Q697" s="357">
        <f t="shared" si="212"/>
        <v>56</v>
      </c>
      <c r="R697" s="356">
        <f t="shared" si="204"/>
        <v>133094084.17372072</v>
      </c>
      <c r="S697" s="356">
        <f>IF($G$4="mensual",S696,0)</f>
        <v>10000</v>
      </c>
      <c r="U697" s="356">
        <f t="shared" si="213"/>
        <v>1061390.658861876</v>
      </c>
      <c r="V697" s="359">
        <f t="shared" si="215"/>
        <v>-685.2072856513762</v>
      </c>
      <c r="X697" s="359">
        <f t="shared" si="214"/>
        <v>-134165.4748325826</v>
      </c>
      <c r="Y697" s="356">
        <f t="shared" si="199"/>
        <v>134030624.15046436</v>
      </c>
      <c r="AA697" s="357">
        <f>+Bono!J697</f>
        <v>998200.0957363273</v>
      </c>
      <c r="AC697" s="378">
        <f t="shared" si="205"/>
        <v>56.166666666666664</v>
      </c>
      <c r="AD697" s="356">
        <f t="shared" si="206"/>
        <v>137488290.96805608</v>
      </c>
    </row>
    <row r="698" spans="2:30" x14ac:dyDescent="0.25">
      <c r="B698" s="356">
        <f t="shared" si="200"/>
        <v>675</v>
      </c>
      <c r="C698" s="357">
        <f t="shared" si="207"/>
        <v>56</v>
      </c>
      <c r="D698" s="357">
        <f t="shared" si="208"/>
        <v>3</v>
      </c>
      <c r="E698" s="357">
        <f t="shared" si="209"/>
        <v>85</v>
      </c>
      <c r="F698" s="356">
        <f t="shared" si="201"/>
        <v>2459466.7218554122</v>
      </c>
      <c r="H698" s="356">
        <f t="shared" si="197"/>
        <v>19612.133020290654</v>
      </c>
      <c r="I698" s="356">
        <v>0</v>
      </c>
      <c r="J698" s="360">
        <f>-SUM(F698:H698)*$J$21</f>
        <v>-22311.70969388133</v>
      </c>
      <c r="K698" s="356">
        <f t="shared" si="202"/>
        <v>-2456.767145181822</v>
      </c>
      <c r="L698" s="356">
        <f t="shared" si="198"/>
        <v>2454310.3780366397</v>
      </c>
      <c r="N698" s="356">
        <f t="shared" si="203"/>
        <v>675</v>
      </c>
      <c r="O698" s="357">
        <f t="shared" si="210"/>
        <v>56</v>
      </c>
      <c r="P698" s="357">
        <f t="shared" si="211"/>
        <v>3</v>
      </c>
      <c r="Q698" s="357">
        <f t="shared" si="212"/>
        <v>56</v>
      </c>
      <c r="R698" s="356">
        <f t="shared" si="204"/>
        <v>134030624.15046436</v>
      </c>
      <c r="S698" s="356">
        <f>IF($G$4="mensual",S697,0)</f>
        <v>10000</v>
      </c>
      <c r="U698" s="356">
        <f t="shared" si="213"/>
        <v>1068858.760153712</v>
      </c>
      <c r="V698" s="359">
        <f t="shared" si="215"/>
        <v>-685.2072856513762</v>
      </c>
      <c r="X698" s="359">
        <f t="shared" si="214"/>
        <v>-135109.48291061807</v>
      </c>
      <c r="Y698" s="356">
        <f t="shared" si="199"/>
        <v>134973688.22042182</v>
      </c>
      <c r="AA698" s="357">
        <f>+Bono!J698</f>
        <v>995340.5020948927</v>
      </c>
      <c r="AC698" s="378">
        <f t="shared" si="205"/>
        <v>56.25</v>
      </c>
      <c r="AD698" s="356">
        <f t="shared" si="206"/>
        <v>138423339.10055336</v>
      </c>
    </row>
    <row r="699" spans="2:30" x14ac:dyDescent="0.25">
      <c r="B699" s="356">
        <f t="shared" si="200"/>
        <v>676</v>
      </c>
      <c r="C699" s="357">
        <f t="shared" si="207"/>
        <v>56</v>
      </c>
      <c r="D699" s="357">
        <f t="shared" si="208"/>
        <v>4</v>
      </c>
      <c r="E699" s="357">
        <f t="shared" si="209"/>
        <v>85</v>
      </c>
      <c r="F699" s="356">
        <f t="shared" si="201"/>
        <v>2454310.3780366397</v>
      </c>
      <c r="H699" s="356">
        <f t="shared" si="197"/>
        <v>19571.01561058005</v>
      </c>
      <c r="I699" s="356">
        <v>0</v>
      </c>
      <c r="J699" s="356">
        <v>0</v>
      </c>
      <c r="K699" s="356">
        <f t="shared" si="202"/>
        <v>-2473.8813936472197</v>
      </c>
      <c r="L699" s="356">
        <f t="shared" si="198"/>
        <v>2471407.5122535722</v>
      </c>
      <c r="N699" s="356">
        <f t="shared" si="203"/>
        <v>676</v>
      </c>
      <c r="O699" s="357">
        <f t="shared" si="210"/>
        <v>56</v>
      </c>
      <c r="P699" s="357">
        <f t="shared" si="211"/>
        <v>4</v>
      </c>
      <c r="Q699" s="357">
        <f t="shared" si="212"/>
        <v>56</v>
      </c>
      <c r="R699" s="356">
        <f t="shared" si="204"/>
        <v>134973688.22042182</v>
      </c>
      <c r="S699" s="356">
        <f>IF($G$4="mensual",S696,IF($G$4="trimestral",S696,0))</f>
        <v>10000</v>
      </c>
      <c r="U699" s="356">
        <f t="shared" si="213"/>
        <v>1076378.8854810065</v>
      </c>
      <c r="V699" s="359">
        <f t="shared" si="215"/>
        <v>-685.2072856513762</v>
      </c>
      <c r="X699" s="359">
        <f t="shared" si="214"/>
        <v>-136060.06710590282</v>
      </c>
      <c r="Y699" s="356">
        <f t="shared" si="199"/>
        <v>135923321.8315113</v>
      </c>
      <c r="AA699" s="357">
        <f>+Bono!J699</f>
        <v>1001511.7286602333</v>
      </c>
      <c r="AC699" s="378">
        <f t="shared" si="205"/>
        <v>56.333333333333336</v>
      </c>
      <c r="AD699" s="356">
        <f t="shared" si="206"/>
        <v>139396241.0724251</v>
      </c>
    </row>
    <row r="700" spans="2:30" x14ac:dyDescent="0.25">
      <c r="B700" s="356">
        <f t="shared" si="200"/>
        <v>677</v>
      </c>
      <c r="C700" s="357">
        <f t="shared" si="207"/>
        <v>56</v>
      </c>
      <c r="D700" s="357">
        <f t="shared" si="208"/>
        <v>5</v>
      </c>
      <c r="E700" s="357">
        <f t="shared" si="209"/>
        <v>85</v>
      </c>
      <c r="F700" s="356">
        <f t="shared" si="201"/>
        <v>2471407.5122535722</v>
      </c>
      <c r="H700" s="356">
        <f t="shared" si="197"/>
        <v>19707.350559757684</v>
      </c>
      <c r="I700" s="356">
        <v>0</v>
      </c>
      <c r="J700" s="356">
        <v>0</v>
      </c>
      <c r="K700" s="356">
        <f t="shared" si="202"/>
        <v>-2491.1148628133296</v>
      </c>
      <c r="L700" s="356">
        <f t="shared" si="198"/>
        <v>2488623.7479505166</v>
      </c>
      <c r="N700" s="356">
        <f t="shared" si="203"/>
        <v>677</v>
      </c>
      <c r="O700" s="357">
        <f t="shared" si="210"/>
        <v>56</v>
      </c>
      <c r="P700" s="357">
        <f t="shared" si="211"/>
        <v>5</v>
      </c>
      <c r="Q700" s="357">
        <f t="shared" si="212"/>
        <v>56</v>
      </c>
      <c r="R700" s="356">
        <f t="shared" si="204"/>
        <v>135923321.8315113</v>
      </c>
      <c r="S700" s="356">
        <f>IF($G$4="mensual",S699,0)</f>
        <v>10000</v>
      </c>
      <c r="U700" s="356">
        <f t="shared" si="213"/>
        <v>1083951.397251841</v>
      </c>
      <c r="V700" s="359">
        <f t="shared" si="215"/>
        <v>-685.2072856513762</v>
      </c>
      <c r="X700" s="359">
        <f t="shared" si="214"/>
        <v>-137017.27322876314</v>
      </c>
      <c r="Y700" s="356">
        <f t="shared" si="199"/>
        <v>136879570.74824873</v>
      </c>
      <c r="AA700" s="357">
        <f>+Bono!J700</f>
        <v>1007721.217546097</v>
      </c>
      <c r="AC700" s="378">
        <f t="shared" si="205"/>
        <v>56.416666666666664</v>
      </c>
      <c r="AD700" s="356">
        <f t="shared" si="206"/>
        <v>140375915.71374536</v>
      </c>
    </row>
    <row r="701" spans="2:30" x14ac:dyDescent="0.25">
      <c r="B701" s="356">
        <f t="shared" si="200"/>
        <v>678</v>
      </c>
      <c r="C701" s="357">
        <f t="shared" si="207"/>
        <v>56</v>
      </c>
      <c r="D701" s="357">
        <f t="shared" si="208"/>
        <v>6</v>
      </c>
      <c r="E701" s="357">
        <f t="shared" si="209"/>
        <v>85</v>
      </c>
      <c r="F701" s="356">
        <f t="shared" si="201"/>
        <v>2488623.7479505166</v>
      </c>
      <c r="H701" s="356">
        <f t="shared" si="197"/>
        <v>19844.635240862226</v>
      </c>
      <c r="I701" s="356">
        <v>0</v>
      </c>
      <c r="J701" s="360">
        <f>-SUM(F701:H701)*$J$21</f>
        <v>-22576.21544872241</v>
      </c>
      <c r="K701" s="356">
        <f t="shared" si="202"/>
        <v>-2485.8921677426565</v>
      </c>
      <c r="L701" s="356">
        <f t="shared" si="198"/>
        <v>2483406.2755749137</v>
      </c>
      <c r="N701" s="356">
        <f t="shared" si="203"/>
        <v>678</v>
      </c>
      <c r="O701" s="357">
        <f t="shared" si="210"/>
        <v>56</v>
      </c>
      <c r="P701" s="357">
        <f t="shared" si="211"/>
        <v>6</v>
      </c>
      <c r="Q701" s="357">
        <f t="shared" si="212"/>
        <v>56</v>
      </c>
      <c r="R701" s="356">
        <f t="shared" si="204"/>
        <v>136879570.74824873</v>
      </c>
      <c r="S701" s="356">
        <f>IF($G$4="mensual",S700,0)</f>
        <v>10000</v>
      </c>
      <c r="U701" s="356">
        <f t="shared" si="213"/>
        <v>1091576.6603988924</v>
      </c>
      <c r="V701" s="359">
        <f t="shared" si="215"/>
        <v>-685.2072856513762</v>
      </c>
      <c r="X701" s="359">
        <f t="shared" si="214"/>
        <v>-137981.14740864764</v>
      </c>
      <c r="Y701" s="356">
        <f t="shared" si="199"/>
        <v>137842481.05395335</v>
      </c>
      <c r="AA701" s="357">
        <f>+Bono!J701</f>
        <v>1004834.3482717478</v>
      </c>
      <c r="AC701" s="378">
        <f t="shared" si="205"/>
        <v>56.5</v>
      </c>
      <c r="AD701" s="356">
        <f t="shared" si="206"/>
        <v>141330721.67780003</v>
      </c>
    </row>
    <row r="702" spans="2:30" x14ac:dyDescent="0.25">
      <c r="B702" s="356">
        <f t="shared" si="200"/>
        <v>679</v>
      </c>
      <c r="C702" s="357">
        <f t="shared" si="207"/>
        <v>56</v>
      </c>
      <c r="D702" s="357">
        <f t="shared" si="208"/>
        <v>7</v>
      </c>
      <c r="E702" s="357">
        <f t="shared" si="209"/>
        <v>85</v>
      </c>
      <c r="F702" s="356">
        <f t="shared" si="201"/>
        <v>2483406.2755749137</v>
      </c>
      <c r="H702" s="356">
        <f t="shared" si="197"/>
        <v>19803.030383455243</v>
      </c>
      <c r="I702" s="356">
        <v>0</v>
      </c>
      <c r="J702" s="356">
        <v>0</v>
      </c>
      <c r="K702" s="356">
        <f t="shared" si="202"/>
        <v>-2503.209305958369</v>
      </c>
      <c r="L702" s="356">
        <f t="shared" si="198"/>
        <v>2500706.0966524105</v>
      </c>
      <c r="N702" s="356">
        <f t="shared" si="203"/>
        <v>679</v>
      </c>
      <c r="O702" s="357">
        <f t="shared" si="210"/>
        <v>56</v>
      </c>
      <c r="P702" s="357">
        <f t="shared" si="211"/>
        <v>7</v>
      </c>
      <c r="Q702" s="357">
        <f t="shared" si="212"/>
        <v>56</v>
      </c>
      <c r="R702" s="356">
        <f t="shared" si="204"/>
        <v>137842481.05395335</v>
      </c>
      <c r="S702" s="356">
        <f>+IF($G$4="mensual",S696,IF($G$4="trimestral",S696,IF($G$4="semestral",S696,0)))</f>
        <v>10000</v>
      </c>
      <c r="U702" s="356">
        <f t="shared" si="213"/>
        <v>1099255.0423970197</v>
      </c>
      <c r="V702" s="359">
        <f t="shared" si="215"/>
        <v>-685.2072856513762</v>
      </c>
      <c r="X702" s="359">
        <f t="shared" si="214"/>
        <v>-138951.7360963504</v>
      </c>
      <c r="Y702" s="356">
        <f t="shared" si="199"/>
        <v>138812099.15296838</v>
      </c>
      <c r="AA702" s="357">
        <f>+Bono!J702</f>
        <v>1011064.4377846029</v>
      </c>
      <c r="AC702" s="378">
        <f t="shared" si="205"/>
        <v>56.583333333333336</v>
      </c>
      <c r="AD702" s="356">
        <f t="shared" si="206"/>
        <v>142323869.6874054</v>
      </c>
    </row>
    <row r="703" spans="2:30" x14ac:dyDescent="0.25">
      <c r="B703" s="356">
        <f t="shared" si="200"/>
        <v>680</v>
      </c>
      <c r="C703" s="357">
        <f t="shared" si="207"/>
        <v>56</v>
      </c>
      <c r="D703" s="357">
        <f t="shared" si="208"/>
        <v>8</v>
      </c>
      <c r="E703" s="357">
        <f t="shared" si="209"/>
        <v>85</v>
      </c>
      <c r="F703" s="356">
        <f t="shared" si="201"/>
        <v>2500706.0966524105</v>
      </c>
      <c r="H703" s="356">
        <f t="shared" si="197"/>
        <v>19940.98158612211</v>
      </c>
      <c r="I703" s="356">
        <v>0</v>
      </c>
      <c r="J703" s="356">
        <v>0</v>
      </c>
      <c r="K703" s="356">
        <f t="shared" si="202"/>
        <v>-2520.6470782385327</v>
      </c>
      <c r="L703" s="356">
        <f t="shared" si="198"/>
        <v>2518126.431160294</v>
      </c>
      <c r="N703" s="356">
        <f t="shared" si="203"/>
        <v>680</v>
      </c>
      <c r="O703" s="357">
        <f t="shared" si="210"/>
        <v>56</v>
      </c>
      <c r="P703" s="357">
        <f t="shared" si="211"/>
        <v>8</v>
      </c>
      <c r="Q703" s="357">
        <f t="shared" si="212"/>
        <v>56</v>
      </c>
      <c r="R703" s="356">
        <f t="shared" si="204"/>
        <v>138812099.15296838</v>
      </c>
      <c r="S703" s="356">
        <f>IF($G$4="mensual",S702,0)</f>
        <v>10000</v>
      </c>
      <c r="U703" s="356">
        <f t="shared" si="213"/>
        <v>1106986.913280972</v>
      </c>
      <c r="V703" s="359">
        <f t="shared" si="215"/>
        <v>-685.2072856513762</v>
      </c>
      <c r="X703" s="359">
        <f t="shared" si="214"/>
        <v>-139929.08606624935</v>
      </c>
      <c r="Y703" s="356">
        <f t="shared" si="199"/>
        <v>139788471.77289745</v>
      </c>
      <c r="AA703" s="357">
        <f>+Bono!J703</f>
        <v>1017333.1545750833</v>
      </c>
      <c r="AC703" s="378">
        <f t="shared" si="205"/>
        <v>56.666666666666664</v>
      </c>
      <c r="AD703" s="356">
        <f t="shared" si="206"/>
        <v>143323931.35863283</v>
      </c>
    </row>
    <row r="704" spans="2:30" x14ac:dyDescent="0.25">
      <c r="B704" s="356">
        <f t="shared" si="200"/>
        <v>681</v>
      </c>
      <c r="C704" s="357">
        <f t="shared" si="207"/>
        <v>56</v>
      </c>
      <c r="D704" s="357">
        <f t="shared" si="208"/>
        <v>9</v>
      </c>
      <c r="E704" s="357">
        <f t="shared" si="209"/>
        <v>85</v>
      </c>
      <c r="F704" s="356">
        <f t="shared" si="201"/>
        <v>2518126.431160294</v>
      </c>
      <c r="H704" s="356">
        <f t="shared" si="197"/>
        <v>20079.89377980645</v>
      </c>
      <c r="I704" s="356">
        <v>0</v>
      </c>
      <c r="J704" s="360">
        <f>-SUM(F704:H704)*$J$21</f>
        <v>-22843.856924460906</v>
      </c>
      <c r="K704" s="356">
        <f t="shared" si="202"/>
        <v>-2515.3624680156395</v>
      </c>
      <c r="L704" s="356">
        <f t="shared" si="198"/>
        <v>2512847.1055476237</v>
      </c>
      <c r="N704" s="356">
        <f t="shared" si="203"/>
        <v>681</v>
      </c>
      <c r="O704" s="357">
        <f t="shared" si="210"/>
        <v>56</v>
      </c>
      <c r="P704" s="357">
        <f t="shared" si="211"/>
        <v>9</v>
      </c>
      <c r="Q704" s="357">
        <f t="shared" si="212"/>
        <v>56</v>
      </c>
      <c r="R704" s="356">
        <f t="shared" si="204"/>
        <v>139788471.77289745</v>
      </c>
      <c r="S704" s="356">
        <f>IF($G$4="mensual",S703,0)</f>
        <v>10000</v>
      </c>
      <c r="U704" s="356">
        <f t="shared" si="213"/>
        <v>1114772.6456632232</v>
      </c>
      <c r="V704" s="359">
        <f t="shared" si="215"/>
        <v>-685.2072856513762</v>
      </c>
      <c r="X704" s="359">
        <f t="shared" si="214"/>
        <v>-140913.24441856067</v>
      </c>
      <c r="Y704" s="356">
        <f t="shared" si="199"/>
        <v>140771645.96685648</v>
      </c>
      <c r="AA704" s="357">
        <f>+Bono!J704</f>
        <v>1014418.7495049278</v>
      </c>
      <c r="AC704" s="378">
        <f t="shared" si="205"/>
        <v>56.75</v>
      </c>
      <c r="AD704" s="356">
        <f t="shared" si="206"/>
        <v>144298911.82190904</v>
      </c>
    </row>
    <row r="705" spans="2:30" x14ac:dyDescent="0.25">
      <c r="B705" s="356">
        <f t="shared" si="200"/>
        <v>682</v>
      </c>
      <c r="C705" s="357">
        <f t="shared" si="207"/>
        <v>56</v>
      </c>
      <c r="D705" s="357">
        <f t="shared" si="208"/>
        <v>10</v>
      </c>
      <c r="E705" s="357">
        <f t="shared" si="209"/>
        <v>85</v>
      </c>
      <c r="F705" s="356">
        <f t="shared" si="201"/>
        <v>2512847.1055476237</v>
      </c>
      <c r="H705" s="356">
        <f t="shared" si="197"/>
        <v>20037.79569600111</v>
      </c>
      <c r="I705" s="356">
        <v>0</v>
      </c>
      <c r="J705" s="356">
        <v>0</v>
      </c>
      <c r="K705" s="356">
        <f t="shared" si="202"/>
        <v>-2532.884901243625</v>
      </c>
      <c r="L705" s="356">
        <f t="shared" si="198"/>
        <v>2530352.016342381</v>
      </c>
      <c r="N705" s="356">
        <f t="shared" si="203"/>
        <v>682</v>
      </c>
      <c r="O705" s="357">
        <f t="shared" si="210"/>
        <v>56</v>
      </c>
      <c r="P705" s="357">
        <f t="shared" si="211"/>
        <v>10</v>
      </c>
      <c r="Q705" s="357">
        <f t="shared" si="212"/>
        <v>56</v>
      </c>
      <c r="R705" s="356">
        <f t="shared" si="204"/>
        <v>140771645.96685648</v>
      </c>
      <c r="S705" s="356">
        <f>IF($G$4="mensual",S696,IF($G$4="trimestral",S696,0))</f>
        <v>10000</v>
      </c>
      <c r="U705" s="356">
        <f t="shared" si="213"/>
        <v>1122612.6147519269</v>
      </c>
      <c r="V705" s="359">
        <f t="shared" si="215"/>
        <v>-685.2072856513762</v>
      </c>
      <c r="X705" s="359">
        <f t="shared" si="214"/>
        <v>-141904.25858160842</v>
      </c>
      <c r="Y705" s="356">
        <f t="shared" si="199"/>
        <v>141761669.11574116</v>
      </c>
      <c r="AA705" s="357">
        <f>+Bono!J705</f>
        <v>1020708.2634171504</v>
      </c>
      <c r="AC705" s="378">
        <f t="shared" si="205"/>
        <v>56.833333333333336</v>
      </c>
      <c r="AD705" s="356">
        <f t="shared" si="206"/>
        <v>145312729.3955007</v>
      </c>
    </row>
    <row r="706" spans="2:30" x14ac:dyDescent="0.25">
      <c r="B706" s="356">
        <f t="shared" si="200"/>
        <v>683</v>
      </c>
      <c r="C706" s="357">
        <f t="shared" si="207"/>
        <v>56</v>
      </c>
      <c r="D706" s="357">
        <f t="shared" si="208"/>
        <v>11</v>
      </c>
      <c r="E706" s="357">
        <f t="shared" si="209"/>
        <v>85</v>
      </c>
      <c r="F706" s="356">
        <f t="shared" si="201"/>
        <v>2530352.016342381</v>
      </c>
      <c r="H706" s="356">
        <f t="shared" si="197"/>
        <v>20177.38231287394</v>
      </c>
      <c r="I706" s="356">
        <v>0</v>
      </c>
      <c r="J706" s="356">
        <v>0</v>
      </c>
      <c r="K706" s="356">
        <f t="shared" si="202"/>
        <v>-2550.529398655255</v>
      </c>
      <c r="L706" s="356">
        <f t="shared" si="198"/>
        <v>2547978.8692566</v>
      </c>
      <c r="N706" s="356">
        <f t="shared" si="203"/>
        <v>683</v>
      </c>
      <c r="O706" s="357">
        <f t="shared" si="210"/>
        <v>56</v>
      </c>
      <c r="P706" s="357">
        <f t="shared" si="211"/>
        <v>11</v>
      </c>
      <c r="Q706" s="357">
        <f t="shared" si="212"/>
        <v>56</v>
      </c>
      <c r="R706" s="356">
        <f t="shared" si="204"/>
        <v>141761669.11574116</v>
      </c>
      <c r="S706" s="356">
        <f>IF($G$17="si",S694*(1+$G$20),S694)</f>
        <v>10000</v>
      </c>
      <c r="U706" s="356">
        <f t="shared" si="213"/>
        <v>1130507.1983689987</v>
      </c>
      <c r="V706" s="359">
        <f t="shared" si="215"/>
        <v>-685.2072856513762</v>
      </c>
      <c r="X706" s="359">
        <f t="shared" si="214"/>
        <v>-142902.17631411017</v>
      </c>
      <c r="Y706" s="356">
        <f t="shared" si="199"/>
        <v>142758588.9305104</v>
      </c>
      <c r="AA706" s="357">
        <f>+Bono!J706</f>
        <v>1027036.7730451672</v>
      </c>
      <c r="AC706" s="378">
        <f t="shared" si="205"/>
        <v>56.916666666666664</v>
      </c>
      <c r="AD706" s="356">
        <f t="shared" si="206"/>
        <v>146333604.57281214</v>
      </c>
    </row>
    <row r="707" spans="2:30" x14ac:dyDescent="0.25">
      <c r="B707" s="356">
        <f t="shared" si="200"/>
        <v>684</v>
      </c>
      <c r="C707" s="357">
        <f t="shared" si="207"/>
        <v>56</v>
      </c>
      <c r="D707" s="357">
        <f t="shared" si="208"/>
        <v>12</v>
      </c>
      <c r="E707" s="357">
        <f t="shared" si="209"/>
        <v>85</v>
      </c>
      <c r="F707" s="356">
        <f t="shared" si="201"/>
        <v>2547978.8692566</v>
      </c>
      <c r="H707" s="356">
        <f t="shared" si="197"/>
        <v>20317.94131333155</v>
      </c>
      <c r="I707" s="356">
        <v>0</v>
      </c>
      <c r="J707" s="360">
        <f>-SUM(F707:H707)*$J$21</f>
        <v>-23114.671295129385</v>
      </c>
      <c r="K707" s="356">
        <f t="shared" si="202"/>
        <v>-2545.182139274802</v>
      </c>
      <c r="L707" s="356">
        <f t="shared" si="198"/>
        <v>2542636.9571355274</v>
      </c>
      <c r="N707" s="356">
        <f t="shared" si="203"/>
        <v>684</v>
      </c>
      <c r="O707" s="357">
        <f t="shared" si="210"/>
        <v>56</v>
      </c>
      <c r="P707" s="357">
        <f t="shared" si="211"/>
        <v>12</v>
      </c>
      <c r="Q707" s="357">
        <f t="shared" si="212"/>
        <v>56</v>
      </c>
      <c r="R707" s="356">
        <f t="shared" si="204"/>
        <v>142758588.9305104</v>
      </c>
      <c r="S707" s="356">
        <f>IF($G$4="mensual",S706,0)</f>
        <v>10000</v>
      </c>
      <c r="U707" s="356">
        <f t="shared" si="213"/>
        <v>1138456.7769683255</v>
      </c>
      <c r="V707" s="359">
        <f t="shared" si="215"/>
        <v>-685.2072856513762</v>
      </c>
      <c r="X707" s="359">
        <f t="shared" si="214"/>
        <v>-143907.04570747874</v>
      </c>
      <c r="Y707" s="356">
        <f t="shared" si="199"/>
        <v>143762453.45448563</v>
      </c>
      <c r="AA707" s="357">
        <f>+Bono!J707</f>
        <v>1024094.5695348049</v>
      </c>
      <c r="AC707" s="378">
        <f t="shared" si="205"/>
        <v>57</v>
      </c>
      <c r="AD707" s="356">
        <f t="shared" si="206"/>
        <v>147329184.98115596</v>
      </c>
    </row>
    <row r="708" spans="2:30" x14ac:dyDescent="0.25">
      <c r="B708" s="356">
        <f t="shared" si="200"/>
        <v>685</v>
      </c>
      <c r="C708" s="357">
        <f t="shared" si="207"/>
        <v>57</v>
      </c>
      <c r="D708" s="357">
        <f t="shared" si="208"/>
        <v>1</v>
      </c>
      <c r="E708" s="357">
        <f t="shared" si="209"/>
        <v>86</v>
      </c>
      <c r="F708" s="356">
        <f t="shared" si="201"/>
        <v>2542636.9571355274</v>
      </c>
      <c r="H708" s="356">
        <f t="shared" si="197"/>
        <v>20275.344155919258</v>
      </c>
      <c r="I708" s="356">
        <v>0</v>
      </c>
      <c r="J708" s="356">
        <v>0</v>
      </c>
      <c r="K708" s="356">
        <f t="shared" si="202"/>
        <v>-2562.9123012914465</v>
      </c>
      <c r="L708" s="356">
        <f t="shared" si="198"/>
        <v>2560349.3889901554</v>
      </c>
      <c r="N708" s="356">
        <f t="shared" si="203"/>
        <v>685</v>
      </c>
      <c r="O708" s="357">
        <f t="shared" si="210"/>
        <v>57</v>
      </c>
      <c r="P708" s="357">
        <f t="shared" si="211"/>
        <v>1</v>
      </c>
      <c r="Q708" s="357">
        <f t="shared" si="212"/>
        <v>57</v>
      </c>
      <c r="R708" s="356">
        <f t="shared" si="204"/>
        <v>143762453.45448563</v>
      </c>
      <c r="S708" s="356">
        <f>IF($G$17="si",S696*(1+$G$20),S696)</f>
        <v>10000</v>
      </c>
      <c r="U708" s="356">
        <f t="shared" si="213"/>
        <v>1146461.7336540986</v>
      </c>
      <c r="V708" s="359">
        <f>(V707*(1+$G$18))</f>
        <v>-712.6155770774312</v>
      </c>
      <c r="X708" s="359">
        <f t="shared" si="214"/>
        <v>-144918.91518813974</v>
      </c>
      <c r="Y708" s="356">
        <f t="shared" si="199"/>
        <v>144773283.65737453</v>
      </c>
      <c r="AA708" s="357">
        <f>+Bono!J708</f>
        <v>1030444.0746535384</v>
      </c>
      <c r="AC708" s="378">
        <f t="shared" si="205"/>
        <v>57.083333333333336</v>
      </c>
      <c r="AD708" s="356">
        <f t="shared" si="206"/>
        <v>148364077.12101823</v>
      </c>
    </row>
    <row r="709" spans="2:30" x14ac:dyDescent="0.25">
      <c r="B709" s="356">
        <f t="shared" si="200"/>
        <v>686</v>
      </c>
      <c r="C709" s="357">
        <f t="shared" si="207"/>
        <v>57</v>
      </c>
      <c r="D709" s="357">
        <f t="shared" si="208"/>
        <v>2</v>
      </c>
      <c r="E709" s="357">
        <f t="shared" si="209"/>
        <v>86</v>
      </c>
      <c r="F709" s="356">
        <f t="shared" si="201"/>
        <v>2560349.3889901554</v>
      </c>
      <c r="H709" s="356">
        <f t="shared" si="197"/>
        <v>20416.58557486545</v>
      </c>
      <c r="I709" s="356">
        <v>0</v>
      </c>
      <c r="J709" s="356">
        <v>0</v>
      </c>
      <c r="K709" s="356">
        <f t="shared" si="202"/>
        <v>-2580.7659745650208</v>
      </c>
      <c r="L709" s="356">
        <f t="shared" si="198"/>
        <v>2578185.208590456</v>
      </c>
      <c r="N709" s="356">
        <f t="shared" si="203"/>
        <v>686</v>
      </c>
      <c r="O709" s="357">
        <f t="shared" si="210"/>
        <v>57</v>
      </c>
      <c r="P709" s="357">
        <f t="shared" si="211"/>
        <v>2</v>
      </c>
      <c r="Q709" s="357">
        <f t="shared" si="212"/>
        <v>57</v>
      </c>
      <c r="R709" s="356">
        <f t="shared" si="204"/>
        <v>144773283.65737453</v>
      </c>
      <c r="S709" s="356">
        <f>IF($G$4="mensual",S708,0)</f>
        <v>10000</v>
      </c>
      <c r="U709" s="356">
        <f t="shared" si="213"/>
        <v>1154522.2356417119</v>
      </c>
      <c r="V709" s="359">
        <f t="shared" si="215"/>
        <v>-712.6155770774312</v>
      </c>
      <c r="X709" s="359">
        <f t="shared" si="214"/>
        <v>-145937.80589301625</v>
      </c>
      <c r="Y709" s="356">
        <f t="shared" si="199"/>
        <v>145791155.47154617</v>
      </c>
      <c r="AA709" s="357">
        <f>+Bono!J709</f>
        <v>1036832.947440505</v>
      </c>
      <c r="AC709" s="378">
        <f t="shared" si="205"/>
        <v>57.166666666666664</v>
      </c>
      <c r="AD709" s="356">
        <f t="shared" si="206"/>
        <v>149406173.62757713</v>
      </c>
    </row>
    <row r="710" spans="2:30" x14ac:dyDescent="0.25">
      <c r="B710" s="356">
        <f t="shared" si="200"/>
        <v>687</v>
      </c>
      <c r="C710" s="357">
        <f t="shared" si="207"/>
        <v>57</v>
      </c>
      <c r="D710" s="357">
        <f t="shared" si="208"/>
        <v>3</v>
      </c>
      <c r="E710" s="357">
        <f t="shared" si="209"/>
        <v>86</v>
      </c>
      <c r="F710" s="356">
        <f t="shared" si="201"/>
        <v>2578185.208590456</v>
      </c>
      <c r="H710" s="356">
        <f t="shared" si="197"/>
        <v>20558.810905022838</v>
      </c>
      <c r="I710" s="356">
        <v>0</v>
      </c>
      <c r="J710" s="360">
        <f>-SUM(F710:H710)*$J$21</f>
        <v>-23388.696175459314</v>
      </c>
      <c r="K710" s="356">
        <f t="shared" si="202"/>
        <v>-2575.3553233200196</v>
      </c>
      <c r="L710" s="356">
        <f t="shared" si="198"/>
        <v>2572779.9679966997</v>
      </c>
      <c r="N710" s="356">
        <f t="shared" si="203"/>
        <v>687</v>
      </c>
      <c r="O710" s="357">
        <f t="shared" si="210"/>
        <v>57</v>
      </c>
      <c r="P710" s="357">
        <f t="shared" si="211"/>
        <v>3</v>
      </c>
      <c r="Q710" s="357">
        <f t="shared" si="212"/>
        <v>57</v>
      </c>
      <c r="R710" s="356">
        <f t="shared" si="204"/>
        <v>145791155.47154617</v>
      </c>
      <c r="S710" s="356">
        <f>IF($G$4="mensual",S709,0)</f>
        <v>10000</v>
      </c>
      <c r="U710" s="356">
        <f t="shared" si="213"/>
        <v>1162638.8884265397</v>
      </c>
      <c r="V710" s="359">
        <f t="shared" si="215"/>
        <v>-712.6155770774312</v>
      </c>
      <c r="X710" s="359">
        <f t="shared" si="214"/>
        <v>-146963.79435997273</v>
      </c>
      <c r="Y710" s="356">
        <f t="shared" si="199"/>
        <v>146816117.95003566</v>
      </c>
      <c r="AA710" s="357">
        <f>+Bono!J710</f>
        <v>1033862.6803403564</v>
      </c>
      <c r="AC710" s="378">
        <f t="shared" si="205"/>
        <v>57.25</v>
      </c>
      <c r="AD710" s="356">
        <f t="shared" si="206"/>
        <v>150422760.5983727</v>
      </c>
    </row>
    <row r="711" spans="2:30" x14ac:dyDescent="0.25">
      <c r="B711" s="356">
        <f t="shared" si="200"/>
        <v>688</v>
      </c>
      <c r="C711" s="357">
        <f t="shared" si="207"/>
        <v>57</v>
      </c>
      <c r="D711" s="357">
        <f t="shared" si="208"/>
        <v>4</v>
      </c>
      <c r="E711" s="357">
        <f t="shared" si="209"/>
        <v>86</v>
      </c>
      <c r="F711" s="356">
        <f t="shared" si="201"/>
        <v>2572779.9679966997</v>
      </c>
      <c r="H711" s="356">
        <f t="shared" si="197"/>
        <v>20515.708757476215</v>
      </c>
      <c r="I711" s="356">
        <v>0</v>
      </c>
      <c r="J711" s="356">
        <v>0</v>
      </c>
      <c r="K711" s="356">
        <f t="shared" si="202"/>
        <v>-2593.2956767541764</v>
      </c>
      <c r="L711" s="356">
        <f t="shared" si="198"/>
        <v>2590702.381077422</v>
      </c>
      <c r="N711" s="356">
        <f t="shared" si="203"/>
        <v>688</v>
      </c>
      <c r="O711" s="357">
        <f t="shared" si="210"/>
        <v>57</v>
      </c>
      <c r="P711" s="357">
        <f t="shared" si="211"/>
        <v>4</v>
      </c>
      <c r="Q711" s="357">
        <f t="shared" si="212"/>
        <v>57</v>
      </c>
      <c r="R711" s="356">
        <f t="shared" si="204"/>
        <v>146816117.95003566</v>
      </c>
      <c r="S711" s="356">
        <f>IF($G$4="mensual",S708,IF($G$4="trimestral",S708,0))</f>
        <v>10000</v>
      </c>
      <c r="U711" s="356">
        <f t="shared" si="213"/>
        <v>1170812.083164372</v>
      </c>
      <c r="V711" s="359">
        <f t="shared" si="215"/>
        <v>-712.6155770774312</v>
      </c>
      <c r="X711" s="359">
        <f t="shared" si="214"/>
        <v>-147996.93003320004</v>
      </c>
      <c r="Y711" s="356">
        <f t="shared" si="199"/>
        <v>147848220.48758975</v>
      </c>
      <c r="AA711" s="357">
        <f>+Bono!J711</f>
        <v>1040272.748879115</v>
      </c>
      <c r="AC711" s="378">
        <f t="shared" si="205"/>
        <v>57.333333333333336</v>
      </c>
      <c r="AD711" s="356">
        <f t="shared" si="206"/>
        <v>151479195.61754626</v>
      </c>
    </row>
    <row r="712" spans="2:30" x14ac:dyDescent="0.25">
      <c r="B712" s="356">
        <f t="shared" si="200"/>
        <v>689</v>
      </c>
      <c r="C712" s="357">
        <f t="shared" si="207"/>
        <v>57</v>
      </c>
      <c r="D712" s="357">
        <f t="shared" si="208"/>
        <v>5</v>
      </c>
      <c r="E712" s="357">
        <f t="shared" si="209"/>
        <v>86</v>
      </c>
      <c r="F712" s="356">
        <f t="shared" si="201"/>
        <v>2590702.381077422</v>
      </c>
      <c r="H712" s="356">
        <f t="shared" si="197"/>
        <v>20658.624596206715</v>
      </c>
      <c r="I712" s="356">
        <v>0</v>
      </c>
      <c r="J712" s="356">
        <v>0</v>
      </c>
      <c r="K712" s="356">
        <f t="shared" si="202"/>
        <v>-2611.361005673629</v>
      </c>
      <c r="L712" s="356">
        <f t="shared" si="198"/>
        <v>2608749.644667955</v>
      </c>
      <c r="N712" s="356">
        <f t="shared" si="203"/>
        <v>689</v>
      </c>
      <c r="O712" s="357">
        <f t="shared" si="210"/>
        <v>57</v>
      </c>
      <c r="P712" s="357">
        <f t="shared" si="211"/>
        <v>5</v>
      </c>
      <c r="Q712" s="357">
        <f t="shared" si="212"/>
        <v>57</v>
      </c>
      <c r="R712" s="356">
        <f t="shared" si="204"/>
        <v>147848220.48758975</v>
      </c>
      <c r="S712" s="356">
        <f>IF($G$4="mensual",S711,0)</f>
        <v>10000</v>
      </c>
      <c r="U712" s="356">
        <f t="shared" si="213"/>
        <v>1179042.2137358563</v>
      </c>
      <c r="V712" s="359">
        <f t="shared" si="215"/>
        <v>-712.6155770774312</v>
      </c>
      <c r="X712" s="359">
        <f t="shared" si="214"/>
        <v>-149037.26270132558</v>
      </c>
      <c r="Y712" s="356">
        <f t="shared" si="199"/>
        <v>148887512.8230472</v>
      </c>
      <c r="AA712" s="357">
        <f>+Bono!J712</f>
        <v>1046722.5605863358</v>
      </c>
      <c r="AC712" s="378">
        <f t="shared" si="205"/>
        <v>57.416666666666664</v>
      </c>
      <c r="AD712" s="356">
        <f t="shared" si="206"/>
        <v>152542985.02830148</v>
      </c>
    </row>
    <row r="713" spans="2:30" x14ac:dyDescent="0.25">
      <c r="B713" s="356">
        <f t="shared" si="200"/>
        <v>690</v>
      </c>
      <c r="C713" s="357">
        <f t="shared" si="207"/>
        <v>57</v>
      </c>
      <c r="D713" s="357">
        <f t="shared" si="208"/>
        <v>6</v>
      </c>
      <c r="E713" s="357">
        <f t="shared" si="209"/>
        <v>86</v>
      </c>
      <c r="F713" s="356">
        <f t="shared" si="201"/>
        <v>2608749.644667955</v>
      </c>
      <c r="H713" s="356">
        <f t="shared" si="197"/>
        <v>20802.53601043507</v>
      </c>
      <c r="I713" s="356">
        <v>0</v>
      </c>
      <c r="J713" s="360">
        <f>-SUM(F713:H713)*$J$21</f>
        <v>-23665.969626105514</v>
      </c>
      <c r="K713" s="356">
        <f t="shared" si="202"/>
        <v>-2605.8862110522846</v>
      </c>
      <c r="L713" s="356">
        <f t="shared" si="198"/>
        <v>2603280.3248412325</v>
      </c>
      <c r="N713" s="356">
        <f t="shared" si="203"/>
        <v>690</v>
      </c>
      <c r="O713" s="357">
        <f t="shared" si="210"/>
        <v>57</v>
      </c>
      <c r="P713" s="357">
        <f t="shared" si="211"/>
        <v>6</v>
      </c>
      <c r="Q713" s="357">
        <f t="shared" si="212"/>
        <v>57</v>
      </c>
      <c r="R713" s="356">
        <f t="shared" si="204"/>
        <v>148887512.8230472</v>
      </c>
      <c r="S713" s="356">
        <f>IF($G$4="mensual",S712,0)</f>
        <v>10000</v>
      </c>
      <c r="U713" s="356">
        <f t="shared" si="213"/>
        <v>1187329.6767654773</v>
      </c>
      <c r="V713" s="359">
        <f t="shared" si="215"/>
        <v>-712.6155770774312</v>
      </c>
      <c r="X713" s="359">
        <f t="shared" si="214"/>
        <v>-150084.84249981266</v>
      </c>
      <c r="Y713" s="356">
        <f t="shared" si="199"/>
        <v>149934045.04173577</v>
      </c>
      <c r="AA713" s="357">
        <f>+Bono!J713</f>
        <v>1043723.9622177484</v>
      </c>
      <c r="AC713" s="378">
        <f t="shared" si="205"/>
        <v>57.5</v>
      </c>
      <c r="AD713" s="356">
        <f t="shared" si="206"/>
        <v>153581049.32879475</v>
      </c>
    </row>
    <row r="714" spans="2:30" x14ac:dyDescent="0.25">
      <c r="B714" s="356">
        <f t="shared" si="200"/>
        <v>691</v>
      </c>
      <c r="C714" s="357">
        <f t="shared" si="207"/>
        <v>57</v>
      </c>
      <c r="D714" s="357">
        <f t="shared" si="208"/>
        <v>7</v>
      </c>
      <c r="E714" s="357">
        <f t="shared" si="209"/>
        <v>86</v>
      </c>
      <c r="F714" s="356">
        <f t="shared" si="201"/>
        <v>2603280.3248412325</v>
      </c>
      <c r="H714" s="356">
        <f t="shared" si="197"/>
        <v>20758.922886086195</v>
      </c>
      <c r="I714" s="356">
        <v>0</v>
      </c>
      <c r="J714" s="356">
        <v>0</v>
      </c>
      <c r="K714" s="356">
        <f t="shared" si="202"/>
        <v>-2624.0392477273185</v>
      </c>
      <c r="L714" s="356">
        <f t="shared" si="198"/>
        <v>2621415.208479591</v>
      </c>
      <c r="N714" s="356">
        <f t="shared" si="203"/>
        <v>691</v>
      </c>
      <c r="O714" s="357">
        <f t="shared" si="210"/>
        <v>57</v>
      </c>
      <c r="P714" s="357">
        <f t="shared" si="211"/>
        <v>7</v>
      </c>
      <c r="Q714" s="357">
        <f t="shared" si="212"/>
        <v>57</v>
      </c>
      <c r="R714" s="356">
        <f t="shared" si="204"/>
        <v>149934045.04173577</v>
      </c>
      <c r="S714" s="356">
        <f>+IF($G$4="mensual",S708,IF($G$4="trimestral",S708,IF($G$4="semestral",S708,0)))</f>
        <v>10000</v>
      </c>
      <c r="U714" s="356">
        <f t="shared" si="213"/>
        <v>1195674.8716406722</v>
      </c>
      <c r="V714" s="359">
        <f t="shared" si="215"/>
        <v>-712.6155770774312</v>
      </c>
      <c r="X714" s="359">
        <f t="shared" si="214"/>
        <v>-151139.71991337647</v>
      </c>
      <c r="Y714" s="356">
        <f t="shared" si="199"/>
        <v>150987867.57788602</v>
      </c>
      <c r="AA714" s="357">
        <f>+Bono!J714</f>
        <v>1050195.1718479847</v>
      </c>
      <c r="AC714" s="378">
        <f t="shared" si="205"/>
        <v>57.583333333333336</v>
      </c>
      <c r="AD714" s="356">
        <f t="shared" si="206"/>
        <v>154659477.9582136</v>
      </c>
    </row>
    <row r="715" spans="2:30" x14ac:dyDescent="0.25">
      <c r="B715" s="356">
        <f t="shared" si="200"/>
        <v>692</v>
      </c>
      <c r="C715" s="357">
        <f t="shared" si="207"/>
        <v>57</v>
      </c>
      <c r="D715" s="357">
        <f t="shared" si="208"/>
        <v>8</v>
      </c>
      <c r="E715" s="357">
        <f t="shared" si="209"/>
        <v>86</v>
      </c>
      <c r="F715" s="356">
        <f t="shared" si="201"/>
        <v>2621415.208479591</v>
      </c>
      <c r="H715" s="356">
        <f t="shared" si="197"/>
        <v>20903.532994880297</v>
      </c>
      <c r="I715" s="356">
        <v>0</v>
      </c>
      <c r="J715" s="356">
        <v>0</v>
      </c>
      <c r="K715" s="356">
        <f t="shared" si="202"/>
        <v>-2642.3187414744716</v>
      </c>
      <c r="L715" s="356">
        <f t="shared" si="198"/>
        <v>2639676.422732997</v>
      </c>
      <c r="N715" s="356">
        <f t="shared" si="203"/>
        <v>692</v>
      </c>
      <c r="O715" s="357">
        <f t="shared" si="210"/>
        <v>57</v>
      </c>
      <c r="P715" s="357">
        <f t="shared" si="211"/>
        <v>8</v>
      </c>
      <c r="Q715" s="357">
        <f t="shared" si="212"/>
        <v>57</v>
      </c>
      <c r="R715" s="356">
        <f t="shared" si="204"/>
        <v>150987867.57788602</v>
      </c>
      <c r="S715" s="356">
        <f>IF($G$4="mensual",S714,0)</f>
        <v>10000</v>
      </c>
      <c r="U715" s="356">
        <f t="shared" si="213"/>
        <v>1204078.2005310778</v>
      </c>
      <c r="V715" s="359">
        <f t="shared" si="215"/>
        <v>-712.6155770774312</v>
      </c>
      <c r="X715" s="359">
        <f t="shared" si="214"/>
        <v>-152201.94577841708</v>
      </c>
      <c r="Y715" s="356">
        <f t="shared" si="199"/>
        <v>152049031.21706158</v>
      </c>
      <c r="AA715" s="357">
        <f>+Bono!J715</f>
        <v>1056706.5037285422</v>
      </c>
      <c r="AC715" s="378">
        <f t="shared" si="205"/>
        <v>57.666666666666664</v>
      </c>
      <c r="AD715" s="356">
        <f t="shared" si="206"/>
        <v>155745414.14352313</v>
      </c>
    </row>
    <row r="716" spans="2:30" x14ac:dyDescent="0.25">
      <c r="B716" s="356">
        <f t="shared" si="200"/>
        <v>693</v>
      </c>
      <c r="C716" s="357">
        <f t="shared" si="207"/>
        <v>57</v>
      </c>
      <c r="D716" s="357">
        <f t="shared" si="208"/>
        <v>9</v>
      </c>
      <c r="E716" s="357">
        <f t="shared" si="209"/>
        <v>86</v>
      </c>
      <c r="F716" s="356">
        <f t="shared" si="201"/>
        <v>2639676.422732997</v>
      </c>
      <c r="H716" s="356">
        <f t="shared" si="197"/>
        <v>21049.150481739256</v>
      </c>
      <c r="I716" s="356">
        <v>0</v>
      </c>
      <c r="J716" s="360">
        <f>-SUM(F716:H716)*$J$21</f>
        <v>-23946.53015893263</v>
      </c>
      <c r="K716" s="356">
        <f t="shared" si="202"/>
        <v>-2636.7790430558034</v>
      </c>
      <c r="L716" s="356">
        <f t="shared" si="198"/>
        <v>2634142.264012748</v>
      </c>
      <c r="N716" s="356">
        <f t="shared" si="203"/>
        <v>693</v>
      </c>
      <c r="O716" s="357">
        <f t="shared" si="210"/>
        <v>57</v>
      </c>
      <c r="P716" s="357">
        <f t="shared" si="211"/>
        <v>9</v>
      </c>
      <c r="Q716" s="357">
        <f t="shared" si="212"/>
        <v>57</v>
      </c>
      <c r="R716" s="356">
        <f t="shared" si="204"/>
        <v>152049031.21706158</v>
      </c>
      <c r="S716" s="356">
        <f>IF($G$4="mensual",S715,0)</f>
        <v>10000</v>
      </c>
      <c r="U716" s="356">
        <f t="shared" si="213"/>
        <v>1212540.0684079104</v>
      </c>
      <c r="V716" s="359">
        <f t="shared" si="215"/>
        <v>-712.6155770774312</v>
      </c>
      <c r="X716" s="359">
        <f t="shared" si="214"/>
        <v>-153271.57128546952</v>
      </c>
      <c r="Y716" s="356">
        <f t="shared" si="199"/>
        <v>153117587.09860697</v>
      </c>
      <c r="AA716" s="357">
        <f>+Bono!J716</f>
        <v>1053679.3038596665</v>
      </c>
      <c r="AC716" s="378">
        <f t="shared" si="205"/>
        <v>57.75</v>
      </c>
      <c r="AD716" s="356">
        <f t="shared" si="206"/>
        <v>156805408.6664794</v>
      </c>
    </row>
    <row r="717" spans="2:30" x14ac:dyDescent="0.25">
      <c r="B717" s="356">
        <f t="shared" si="200"/>
        <v>694</v>
      </c>
      <c r="C717" s="357">
        <f t="shared" si="207"/>
        <v>57</v>
      </c>
      <c r="D717" s="357">
        <f t="shared" si="208"/>
        <v>10</v>
      </c>
      <c r="E717" s="357">
        <f t="shared" si="209"/>
        <v>86</v>
      </c>
      <c r="F717" s="356">
        <f t="shared" si="201"/>
        <v>2634142.264012748</v>
      </c>
      <c r="H717" s="356">
        <f t="shared" si="197"/>
        <v>21005.020322948145</v>
      </c>
      <c r="I717" s="356">
        <v>0</v>
      </c>
      <c r="J717" s="356">
        <v>0</v>
      </c>
      <c r="K717" s="356">
        <f t="shared" si="202"/>
        <v>-2655.147284335696</v>
      </c>
      <c r="L717" s="356">
        <f t="shared" si="198"/>
        <v>2652492.13705136</v>
      </c>
      <c r="N717" s="356">
        <f t="shared" si="203"/>
        <v>694</v>
      </c>
      <c r="O717" s="357">
        <f t="shared" si="210"/>
        <v>57</v>
      </c>
      <c r="P717" s="357">
        <f t="shared" si="211"/>
        <v>10</v>
      </c>
      <c r="Q717" s="357">
        <f t="shared" si="212"/>
        <v>57</v>
      </c>
      <c r="R717" s="356">
        <f t="shared" si="204"/>
        <v>153117587.09860697</v>
      </c>
      <c r="S717" s="356">
        <f>IF($G$4="mensual",S708,IF($G$4="trimestral",S708,0))</f>
        <v>10000</v>
      </c>
      <c r="U717" s="356">
        <f t="shared" si="213"/>
        <v>1221060.8830634844</v>
      </c>
      <c r="V717" s="359">
        <f t="shared" si="215"/>
        <v>-712.6155770774312</v>
      </c>
      <c r="X717" s="359">
        <f t="shared" si="214"/>
        <v>-154348.64798167048</v>
      </c>
      <c r="Y717" s="356">
        <f t="shared" si="199"/>
        <v>154193586.71811172</v>
      </c>
      <c r="AA717" s="357">
        <f>+Bono!J717</f>
        <v>1060212.237762831</v>
      </c>
      <c r="AC717" s="378">
        <f t="shared" si="205"/>
        <v>57.833333333333336</v>
      </c>
      <c r="AD717" s="356">
        <f t="shared" si="206"/>
        <v>157906291.09292594</v>
      </c>
    </row>
    <row r="718" spans="2:30" x14ac:dyDescent="0.25">
      <c r="B718" s="356">
        <f t="shared" si="200"/>
        <v>695</v>
      </c>
      <c r="C718" s="357">
        <f t="shared" si="207"/>
        <v>57</v>
      </c>
      <c r="D718" s="357">
        <f t="shared" si="208"/>
        <v>11</v>
      </c>
      <c r="E718" s="357">
        <f t="shared" si="209"/>
        <v>86</v>
      </c>
      <c r="F718" s="356">
        <f t="shared" si="201"/>
        <v>2652492.13705136</v>
      </c>
      <c r="H718" s="356">
        <f t="shared" si="197"/>
        <v>21151.344787410595</v>
      </c>
      <c r="I718" s="356">
        <v>0</v>
      </c>
      <c r="J718" s="356">
        <v>0</v>
      </c>
      <c r="K718" s="356">
        <f t="shared" si="202"/>
        <v>-2673.6434818387706</v>
      </c>
      <c r="L718" s="356">
        <f t="shared" si="198"/>
        <v>2670969.8383569317</v>
      </c>
      <c r="N718" s="356">
        <f t="shared" si="203"/>
        <v>695</v>
      </c>
      <c r="O718" s="357">
        <f t="shared" si="210"/>
        <v>57</v>
      </c>
      <c r="P718" s="357">
        <f t="shared" si="211"/>
        <v>11</v>
      </c>
      <c r="Q718" s="357">
        <f t="shared" si="212"/>
        <v>57</v>
      </c>
      <c r="R718" s="356">
        <f t="shared" si="204"/>
        <v>154193586.71811172</v>
      </c>
      <c r="S718" s="356">
        <f>IF($G$17="si",S706*(1+$G$20),S706)</f>
        <v>10000</v>
      </c>
      <c r="U718" s="356">
        <f t="shared" si="213"/>
        <v>1229641.0551308622</v>
      </c>
      <c r="V718" s="359">
        <f t="shared" si="215"/>
        <v>-712.6155770774312</v>
      </c>
      <c r="X718" s="359">
        <f t="shared" si="214"/>
        <v>-155433.2277732426</v>
      </c>
      <c r="Y718" s="356">
        <f t="shared" si="199"/>
        <v>155277081.92989227</v>
      </c>
      <c r="AA718" s="357">
        <f>+Bono!J718</f>
        <v>1066785.6766139683</v>
      </c>
      <c r="AC718" s="378">
        <f t="shared" si="205"/>
        <v>57.916666666666664</v>
      </c>
      <c r="AD718" s="356">
        <f t="shared" si="206"/>
        <v>159014837.44486317</v>
      </c>
    </row>
    <row r="719" spans="2:30" x14ac:dyDescent="0.25">
      <c r="B719" s="356">
        <f t="shared" si="200"/>
        <v>696</v>
      </c>
      <c r="C719" s="357">
        <f t="shared" si="207"/>
        <v>57</v>
      </c>
      <c r="D719" s="357">
        <f t="shared" si="208"/>
        <v>12</v>
      </c>
      <c r="E719" s="357">
        <f t="shared" si="209"/>
        <v>86</v>
      </c>
      <c r="F719" s="356">
        <f t="shared" si="201"/>
        <v>2670969.8383569317</v>
      </c>
      <c r="H719" s="356">
        <f t="shared" si="197"/>
        <v>21298.688572424562</v>
      </c>
      <c r="I719" s="356">
        <v>0</v>
      </c>
      <c r="J719" s="360">
        <f>-SUM(F719:H719)*$J$21</f>
        <v>-24230.416742364207</v>
      </c>
      <c r="K719" s="356">
        <f t="shared" si="202"/>
        <v>-2668.0381101869916</v>
      </c>
      <c r="L719" s="356">
        <f t="shared" si="198"/>
        <v>2665370.072076805</v>
      </c>
      <c r="N719" s="356">
        <f t="shared" si="203"/>
        <v>696</v>
      </c>
      <c r="O719" s="357">
        <f t="shared" si="210"/>
        <v>57</v>
      </c>
      <c r="P719" s="357">
        <f t="shared" si="211"/>
        <v>12</v>
      </c>
      <c r="Q719" s="357">
        <f t="shared" si="212"/>
        <v>57</v>
      </c>
      <c r="R719" s="356">
        <f t="shared" si="204"/>
        <v>155277081.92989227</v>
      </c>
      <c r="S719" s="356">
        <f>IF($G$4="mensual",S718,0)</f>
        <v>10000</v>
      </c>
      <c r="U719" s="356">
        <f t="shared" si="213"/>
        <v>1238280.9981036452</v>
      </c>
      <c r="V719" s="359">
        <f t="shared" si="215"/>
        <v>-712.6155770774312</v>
      </c>
      <c r="X719" s="359">
        <f t="shared" si="214"/>
        <v>-156525.3629279959</v>
      </c>
      <c r="Y719" s="356">
        <f t="shared" si="199"/>
        <v>156368124.94949085</v>
      </c>
      <c r="AA719" s="357">
        <f>+Bono!J719</f>
        <v>1063729.6024354054</v>
      </c>
      <c r="AC719" s="378">
        <f t="shared" si="205"/>
        <v>58</v>
      </c>
      <c r="AD719" s="356">
        <f t="shared" si="206"/>
        <v>160097224.62400305</v>
      </c>
    </row>
    <row r="720" spans="2:30" x14ac:dyDescent="0.25">
      <c r="B720" s="356">
        <f t="shared" si="200"/>
        <v>697</v>
      </c>
      <c r="C720" s="357">
        <f t="shared" si="207"/>
        <v>58</v>
      </c>
      <c r="D720" s="357">
        <f t="shared" si="208"/>
        <v>1</v>
      </c>
      <c r="E720" s="357">
        <f t="shared" si="209"/>
        <v>87</v>
      </c>
      <c r="F720" s="356">
        <f t="shared" si="201"/>
        <v>2665370.072076805</v>
      </c>
      <c r="H720" s="356">
        <f t="shared" si="197"/>
        <v>21254.03524973779</v>
      </c>
      <c r="I720" s="356">
        <v>0</v>
      </c>
      <c r="J720" s="356">
        <v>0</v>
      </c>
      <c r="K720" s="356">
        <f t="shared" si="202"/>
        <v>-2686.624107326543</v>
      </c>
      <c r="L720" s="356">
        <f t="shared" si="198"/>
        <v>2683937.4832192166</v>
      </c>
      <c r="N720" s="356">
        <f t="shared" si="203"/>
        <v>697</v>
      </c>
      <c r="O720" s="357">
        <f t="shared" si="210"/>
        <v>58</v>
      </c>
      <c r="P720" s="357">
        <f t="shared" si="211"/>
        <v>1</v>
      </c>
      <c r="Q720" s="357">
        <f t="shared" si="212"/>
        <v>58</v>
      </c>
      <c r="R720" s="356">
        <f t="shared" si="204"/>
        <v>156368124.94949085</v>
      </c>
      <c r="S720" s="356">
        <f>IF($G$17="si",S708*(1+$G$20),S708)</f>
        <v>10000</v>
      </c>
      <c r="U720" s="356">
        <f t="shared" si="213"/>
        <v>1246981.1283558994</v>
      </c>
      <c r="V720" s="359">
        <f>(V719*(1+$G$18))</f>
        <v>-741.1202001605285</v>
      </c>
      <c r="X720" s="359">
        <f t="shared" si="214"/>
        <v>-157625.10607784675</v>
      </c>
      <c r="Y720" s="356">
        <f t="shared" si="199"/>
        <v>157466739.85156873</v>
      </c>
      <c r="AA720" s="357">
        <f>+Bono!J720</f>
        <v>1070324.8493555018</v>
      </c>
      <c r="AC720" s="378">
        <f t="shared" si="205"/>
        <v>58.083333333333336</v>
      </c>
      <c r="AD720" s="356">
        <f t="shared" si="206"/>
        <v>161221002.18414342</v>
      </c>
    </row>
    <row r="721" spans="2:30" x14ac:dyDescent="0.25">
      <c r="B721" s="356">
        <f t="shared" si="200"/>
        <v>698</v>
      </c>
      <c r="C721" s="357">
        <f t="shared" si="207"/>
        <v>58</v>
      </c>
      <c r="D721" s="357">
        <f t="shared" si="208"/>
        <v>2</v>
      </c>
      <c r="E721" s="357">
        <f t="shared" si="209"/>
        <v>87</v>
      </c>
      <c r="F721" s="356">
        <f t="shared" si="201"/>
        <v>2683937.4832192166</v>
      </c>
      <c r="H721" s="356">
        <f t="shared" si="197"/>
        <v>21402.094393588573</v>
      </c>
      <c r="I721" s="356">
        <v>0</v>
      </c>
      <c r="J721" s="356">
        <v>0</v>
      </c>
      <c r="K721" s="356">
        <f t="shared" si="202"/>
        <v>-2705.3395776128054</v>
      </c>
      <c r="L721" s="356">
        <f t="shared" si="198"/>
        <v>2702634.2380351922</v>
      </c>
      <c r="N721" s="356">
        <f t="shared" si="203"/>
        <v>698</v>
      </c>
      <c r="O721" s="357">
        <f t="shared" si="210"/>
        <v>58</v>
      </c>
      <c r="P721" s="357">
        <f t="shared" si="211"/>
        <v>2</v>
      </c>
      <c r="Q721" s="357">
        <f t="shared" si="212"/>
        <v>58</v>
      </c>
      <c r="R721" s="356">
        <f t="shared" si="204"/>
        <v>157466739.85156873</v>
      </c>
      <c r="S721" s="356">
        <f>IF($G$4="mensual",S720,0)</f>
        <v>10000</v>
      </c>
      <c r="U721" s="356">
        <f t="shared" si="213"/>
        <v>1255741.6378623547</v>
      </c>
      <c r="V721" s="359">
        <f t="shared" si="215"/>
        <v>-741.1202001605285</v>
      </c>
      <c r="X721" s="359">
        <f t="shared" si="214"/>
        <v>-158732.48148943108</v>
      </c>
      <c r="Y721" s="356">
        <f t="shared" si="199"/>
        <v>158573007.8877415</v>
      </c>
      <c r="AA721" s="357">
        <f>+Bono!J721</f>
        <v>1076960.987571504</v>
      </c>
      <c r="AC721" s="378">
        <f t="shared" si="205"/>
        <v>58.166666666666664</v>
      </c>
      <c r="AD721" s="356">
        <f t="shared" si="206"/>
        <v>162352603.11334822</v>
      </c>
    </row>
    <row r="722" spans="2:30" x14ac:dyDescent="0.25">
      <c r="B722" s="356">
        <f t="shared" si="200"/>
        <v>699</v>
      </c>
      <c r="C722" s="357">
        <f t="shared" si="207"/>
        <v>58</v>
      </c>
      <c r="D722" s="357">
        <f t="shared" si="208"/>
        <v>3</v>
      </c>
      <c r="E722" s="357">
        <f t="shared" si="209"/>
        <v>87</v>
      </c>
      <c r="F722" s="356">
        <f t="shared" si="201"/>
        <v>2702634.2380351922</v>
      </c>
      <c r="H722" s="356">
        <f t="shared" si="197"/>
        <v>21551.184942055945</v>
      </c>
      <c r="I722" s="356">
        <v>0</v>
      </c>
      <c r="J722" s="360">
        <f>-SUM(F722:H722)*$J$21</f>
        <v>-24517.66880679524</v>
      </c>
      <c r="K722" s="356">
        <f t="shared" si="202"/>
        <v>-2699.667754170453</v>
      </c>
      <c r="L722" s="356">
        <f t="shared" si="198"/>
        <v>2696968.0864162827</v>
      </c>
      <c r="N722" s="356">
        <f t="shared" si="203"/>
        <v>699</v>
      </c>
      <c r="O722" s="357">
        <f t="shared" si="210"/>
        <v>58</v>
      </c>
      <c r="P722" s="357">
        <f t="shared" si="211"/>
        <v>3</v>
      </c>
      <c r="Q722" s="357">
        <f t="shared" si="212"/>
        <v>58</v>
      </c>
      <c r="R722" s="356">
        <f t="shared" si="204"/>
        <v>158573007.8877415</v>
      </c>
      <c r="S722" s="356">
        <f>IF($G$4="mensual",S721,0)</f>
        <v>10000</v>
      </c>
      <c r="U722" s="356">
        <f t="shared" si="213"/>
        <v>1264563.1745348042</v>
      </c>
      <c r="V722" s="359">
        <f t="shared" si="215"/>
        <v>-741.1202001605285</v>
      </c>
      <c r="X722" s="359">
        <f t="shared" si="214"/>
        <v>-159847.5710622763</v>
      </c>
      <c r="Y722" s="356">
        <f t="shared" si="199"/>
        <v>159686982.37101388</v>
      </c>
      <c r="AA722" s="357">
        <f>+Bono!J722</f>
        <v>1073875.7636717197</v>
      </c>
      <c r="AC722" s="378">
        <f t="shared" si="205"/>
        <v>58.25</v>
      </c>
      <c r="AD722" s="356">
        <f t="shared" si="206"/>
        <v>163457826.22110188</v>
      </c>
    </row>
    <row r="723" spans="2:30" x14ac:dyDescent="0.25">
      <c r="B723" s="356">
        <f t="shared" si="200"/>
        <v>700</v>
      </c>
      <c r="C723" s="357">
        <f t="shared" si="207"/>
        <v>58</v>
      </c>
      <c r="D723" s="357">
        <f t="shared" si="208"/>
        <v>4</v>
      </c>
      <c r="E723" s="357">
        <f t="shared" si="209"/>
        <v>87</v>
      </c>
      <c r="F723" s="356">
        <f t="shared" si="201"/>
        <v>2696968.0864162827</v>
      </c>
      <c r="H723" s="356">
        <f t="shared" si="197"/>
        <v>21506.002253355302</v>
      </c>
      <c r="I723" s="356">
        <v>0</v>
      </c>
      <c r="J723" s="356">
        <v>0</v>
      </c>
      <c r="K723" s="356">
        <f t="shared" si="202"/>
        <v>-2718.474088669638</v>
      </c>
      <c r="L723" s="356">
        <f t="shared" si="198"/>
        <v>2715755.6145809684</v>
      </c>
      <c r="N723" s="356">
        <f t="shared" si="203"/>
        <v>700</v>
      </c>
      <c r="O723" s="357">
        <f t="shared" si="210"/>
        <v>58</v>
      </c>
      <c r="P723" s="357">
        <f t="shared" si="211"/>
        <v>4</v>
      </c>
      <c r="Q723" s="357">
        <f t="shared" si="212"/>
        <v>58</v>
      </c>
      <c r="R723" s="356">
        <f t="shared" si="204"/>
        <v>159686982.37101388</v>
      </c>
      <c r="S723" s="356">
        <f>IF($G$4="mensual",S720,IF($G$4="trimestral",S720,0))</f>
        <v>10000</v>
      </c>
      <c r="U723" s="356">
        <f t="shared" si="213"/>
        <v>1273446.1634986335</v>
      </c>
      <c r="V723" s="359">
        <f t="shared" si="215"/>
        <v>-741.1202001605285</v>
      </c>
      <c r="X723" s="359">
        <f t="shared" si="214"/>
        <v>-160970.42853451252</v>
      </c>
      <c r="Y723" s="356">
        <f t="shared" si="199"/>
        <v>160808716.98577785</v>
      </c>
      <c r="AA723" s="357">
        <f>+Bono!J723</f>
        <v>1080533.9179683633</v>
      </c>
      <c r="AC723" s="378">
        <f t="shared" si="205"/>
        <v>58.333333333333336</v>
      </c>
      <c r="AD723" s="356">
        <f t="shared" si="206"/>
        <v>164605006.51832718</v>
      </c>
    </row>
    <row r="724" spans="2:30" x14ac:dyDescent="0.25">
      <c r="B724" s="356">
        <f t="shared" si="200"/>
        <v>701</v>
      </c>
      <c r="C724" s="357">
        <f t="shared" si="207"/>
        <v>58</v>
      </c>
      <c r="D724" s="357">
        <f t="shared" si="208"/>
        <v>5</v>
      </c>
      <c r="E724" s="357">
        <f t="shared" si="209"/>
        <v>87</v>
      </c>
      <c r="F724" s="356">
        <f t="shared" si="201"/>
        <v>2715755.6145809684</v>
      </c>
      <c r="H724" s="356">
        <f t="shared" si="197"/>
        <v>21655.816641252488</v>
      </c>
      <c r="I724" s="356">
        <v>0</v>
      </c>
      <c r="J724" s="356">
        <v>0</v>
      </c>
      <c r="K724" s="356">
        <f t="shared" si="202"/>
        <v>-2737.411431222221</v>
      </c>
      <c r="L724" s="356">
        <f t="shared" si="198"/>
        <v>2734674.0197909987</v>
      </c>
      <c r="N724" s="356">
        <f t="shared" si="203"/>
        <v>701</v>
      </c>
      <c r="O724" s="357">
        <f t="shared" si="210"/>
        <v>58</v>
      </c>
      <c r="P724" s="357">
        <f t="shared" si="211"/>
        <v>5</v>
      </c>
      <c r="Q724" s="357">
        <f t="shared" si="212"/>
        <v>58</v>
      </c>
      <c r="R724" s="356">
        <f t="shared" si="204"/>
        <v>160808716.98577785</v>
      </c>
      <c r="S724" s="356">
        <f>IF($G$4="mensual",S723,0)</f>
        <v>10000</v>
      </c>
      <c r="U724" s="356">
        <f t="shared" si="213"/>
        <v>1282391.0328407236</v>
      </c>
      <c r="V724" s="359">
        <f t="shared" si="215"/>
        <v>-741.1202001605285</v>
      </c>
      <c r="X724" s="359">
        <f t="shared" si="214"/>
        <v>-162101.1080186186</v>
      </c>
      <c r="Y724" s="356">
        <f t="shared" si="199"/>
        <v>161938265.79039982</v>
      </c>
      <c r="AA724" s="357">
        <f>+Bono!J724</f>
        <v>1087233.353593944</v>
      </c>
      <c r="AC724" s="378">
        <f t="shared" si="205"/>
        <v>58.416666666666664</v>
      </c>
      <c r="AD724" s="356">
        <f t="shared" si="206"/>
        <v>165760173.16378477</v>
      </c>
    </row>
    <row r="725" spans="2:30" x14ac:dyDescent="0.25">
      <c r="B725" s="356">
        <f t="shared" si="200"/>
        <v>702</v>
      </c>
      <c r="C725" s="357">
        <f t="shared" si="207"/>
        <v>58</v>
      </c>
      <c r="D725" s="357">
        <f t="shared" si="208"/>
        <v>6</v>
      </c>
      <c r="E725" s="357">
        <f t="shared" si="209"/>
        <v>87</v>
      </c>
      <c r="F725" s="356">
        <f t="shared" si="201"/>
        <v>2734674.0197909987</v>
      </c>
      <c r="H725" s="356">
        <f t="shared" si="197"/>
        <v>21806.674661088175</v>
      </c>
      <c r="I725" s="356">
        <v>0</v>
      </c>
      <c r="J725" s="360">
        <f>-SUM(F725:H725)*$J$21</f>
        <v>-24808.326250068785</v>
      </c>
      <c r="K725" s="356">
        <f t="shared" si="202"/>
        <v>-2731.6723682020183</v>
      </c>
      <c r="L725" s="356">
        <f t="shared" si="198"/>
        <v>2728940.695833816</v>
      </c>
      <c r="N725" s="356">
        <f t="shared" si="203"/>
        <v>702</v>
      </c>
      <c r="O725" s="357">
        <f t="shared" si="210"/>
        <v>58</v>
      </c>
      <c r="P725" s="357">
        <f t="shared" si="211"/>
        <v>6</v>
      </c>
      <c r="Q725" s="357">
        <f t="shared" si="212"/>
        <v>58</v>
      </c>
      <c r="R725" s="356">
        <f t="shared" si="204"/>
        <v>161938265.79039982</v>
      </c>
      <c r="S725" s="356">
        <f>IF($G$4="mensual",S724,0)</f>
        <v>10000</v>
      </c>
      <c r="U725" s="356">
        <f t="shared" si="213"/>
        <v>1291398.2136300795</v>
      </c>
      <c r="V725" s="359">
        <f t="shared" si="215"/>
        <v>-741.1202001605285</v>
      </c>
      <c r="X725" s="359">
        <f t="shared" si="214"/>
        <v>-163239.6640040299</v>
      </c>
      <c r="Y725" s="356">
        <f t="shared" si="199"/>
        <v>163075683.2198257</v>
      </c>
      <c r="AA725" s="357">
        <f>+Bono!J725</f>
        <v>1084118.7019344494</v>
      </c>
      <c r="AC725" s="378">
        <f t="shared" si="205"/>
        <v>58.5</v>
      </c>
      <c r="AD725" s="356">
        <f t="shared" si="206"/>
        <v>166888742.61759397</v>
      </c>
    </row>
    <row r="726" spans="2:30" x14ac:dyDescent="0.25">
      <c r="B726" s="356">
        <f t="shared" si="200"/>
        <v>703</v>
      </c>
      <c r="C726" s="357">
        <f t="shared" si="207"/>
        <v>58</v>
      </c>
      <c r="D726" s="357">
        <f t="shared" si="208"/>
        <v>7</v>
      </c>
      <c r="E726" s="357">
        <f t="shared" si="209"/>
        <v>87</v>
      </c>
      <c r="F726" s="356">
        <f t="shared" si="201"/>
        <v>2728940.695833816</v>
      </c>
      <c r="H726" s="356">
        <f t="shared" si="197"/>
        <v>21760.956330729205</v>
      </c>
      <c r="I726" s="356">
        <v>0</v>
      </c>
      <c r="J726" s="356">
        <v>0</v>
      </c>
      <c r="K726" s="356">
        <f t="shared" si="202"/>
        <v>-2750.7016521645455</v>
      </c>
      <c r="L726" s="356">
        <f t="shared" si="198"/>
        <v>2747950.950512381</v>
      </c>
      <c r="N726" s="356">
        <f t="shared" si="203"/>
        <v>703</v>
      </c>
      <c r="O726" s="357">
        <f t="shared" si="210"/>
        <v>58</v>
      </c>
      <c r="P726" s="357">
        <f t="shared" si="211"/>
        <v>7</v>
      </c>
      <c r="Q726" s="357">
        <f t="shared" si="212"/>
        <v>58</v>
      </c>
      <c r="R726" s="356">
        <f t="shared" si="204"/>
        <v>163075683.2198257</v>
      </c>
      <c r="S726" s="356">
        <f>+IF($G$4="mensual",S720,IF($G$4="trimestral",S720,IF($G$4="semestral",S720,0)))</f>
        <v>10000</v>
      </c>
      <c r="U726" s="356">
        <f t="shared" si="213"/>
        <v>1300468.1399386046</v>
      </c>
      <c r="V726" s="359">
        <f t="shared" si="215"/>
        <v>-741.1202001605285</v>
      </c>
      <c r="X726" s="359">
        <f t="shared" si="214"/>
        <v>-164386.1513597643</v>
      </c>
      <c r="Y726" s="356">
        <f t="shared" si="199"/>
        <v>164221024.08820438</v>
      </c>
      <c r="AA726" s="357">
        <f>+Bono!J726</f>
        <v>1090840.363636429</v>
      </c>
      <c r="AC726" s="378">
        <f t="shared" si="205"/>
        <v>58.583333333333336</v>
      </c>
      <c r="AD726" s="356">
        <f t="shared" si="206"/>
        <v>168059815.4023532</v>
      </c>
    </row>
    <row r="727" spans="2:30" x14ac:dyDescent="0.25">
      <c r="B727" s="356">
        <f t="shared" si="200"/>
        <v>704</v>
      </c>
      <c r="C727" s="357">
        <f t="shared" si="207"/>
        <v>58</v>
      </c>
      <c r="D727" s="357">
        <f t="shared" si="208"/>
        <v>8</v>
      </c>
      <c r="E727" s="357">
        <f t="shared" si="209"/>
        <v>87</v>
      </c>
      <c r="F727" s="356">
        <f t="shared" si="201"/>
        <v>2747950.950512381</v>
      </c>
      <c r="H727" s="356">
        <f t="shared" si="197"/>
        <v>21912.546771125304</v>
      </c>
      <c r="I727" s="356">
        <v>0</v>
      </c>
      <c r="J727" s="356">
        <v>0</v>
      </c>
      <c r="K727" s="356">
        <f t="shared" si="202"/>
        <v>-2769.863497283506</v>
      </c>
      <c r="L727" s="356">
        <f t="shared" si="198"/>
        <v>2767093.633786223</v>
      </c>
      <c r="N727" s="356">
        <f t="shared" si="203"/>
        <v>704</v>
      </c>
      <c r="O727" s="357">
        <f t="shared" si="210"/>
        <v>58</v>
      </c>
      <c r="P727" s="357">
        <f t="shared" si="211"/>
        <v>8</v>
      </c>
      <c r="Q727" s="357">
        <f t="shared" si="212"/>
        <v>58</v>
      </c>
      <c r="R727" s="356">
        <f t="shared" si="204"/>
        <v>164221024.08820438</v>
      </c>
      <c r="S727" s="356">
        <f>IF($G$4="mensual",S726,0)</f>
        <v>10000</v>
      </c>
      <c r="U727" s="356">
        <f t="shared" si="213"/>
        <v>1309601.2488620186</v>
      </c>
      <c r="V727" s="359">
        <f t="shared" si="215"/>
        <v>-741.1202001605285</v>
      </c>
      <c r="X727" s="359">
        <f t="shared" si="214"/>
        <v>-165540.62533706642</v>
      </c>
      <c r="Y727" s="356">
        <f t="shared" si="199"/>
        <v>165374343.5915292</v>
      </c>
      <c r="AA727" s="357">
        <f>+Bono!J727</f>
        <v>1097603.7004206255</v>
      </c>
      <c r="AC727" s="378">
        <f t="shared" si="205"/>
        <v>58.666666666666664</v>
      </c>
      <c r="AD727" s="356">
        <f t="shared" si="206"/>
        <v>169239040.92573604</v>
      </c>
    </row>
    <row r="728" spans="2:30" x14ac:dyDescent="0.25">
      <c r="B728" s="356">
        <f t="shared" si="200"/>
        <v>705</v>
      </c>
      <c r="C728" s="357">
        <f t="shared" si="207"/>
        <v>58</v>
      </c>
      <c r="D728" s="357">
        <f t="shared" si="208"/>
        <v>9</v>
      </c>
      <c r="E728" s="357">
        <f t="shared" si="209"/>
        <v>87</v>
      </c>
      <c r="F728" s="356">
        <f t="shared" si="201"/>
        <v>2767093.633786223</v>
      </c>
      <c r="H728" s="356">
        <f t="shared" ref="H728:H755" si="216">SUM(F728:G728)*$G$8</f>
        <v>22065.19321573695</v>
      </c>
      <c r="I728" s="356">
        <v>0</v>
      </c>
      <c r="J728" s="360">
        <f>-SUM(F728:H728)*$J$21</f>
        <v>-25102.42944301764</v>
      </c>
      <c r="K728" s="356">
        <f t="shared" si="202"/>
        <v>-2764.0563975589425</v>
      </c>
      <c r="L728" s="356">
        <f t="shared" ref="L728:L755" si="217">SUM(F728:K728)</f>
        <v>2761292.3411613833</v>
      </c>
      <c r="N728" s="356">
        <f t="shared" si="203"/>
        <v>705</v>
      </c>
      <c r="O728" s="357">
        <f t="shared" si="210"/>
        <v>58</v>
      </c>
      <c r="P728" s="357">
        <f t="shared" si="211"/>
        <v>9</v>
      </c>
      <c r="Q728" s="357">
        <f t="shared" si="212"/>
        <v>58</v>
      </c>
      <c r="R728" s="356">
        <f t="shared" si="204"/>
        <v>165374343.5915292</v>
      </c>
      <c r="S728" s="356">
        <f>IF($G$4="mensual",S727,0)</f>
        <v>10000</v>
      </c>
      <c r="U728" s="356">
        <f t="shared" si="213"/>
        <v>1318797.980540924</v>
      </c>
      <c r="V728" s="359">
        <f t="shared" si="215"/>
        <v>-741.1202001605285</v>
      </c>
      <c r="X728" s="359">
        <f t="shared" si="214"/>
        <v>-166703.14157207013</v>
      </c>
      <c r="Y728" s="356">
        <f t="shared" ref="Y728:Y755" si="218">SUM(R728:X728)</f>
        <v>166535697.3102979</v>
      </c>
      <c r="AA728" s="357">
        <f>+Bono!J728</f>
        <v>1094459.3403109196</v>
      </c>
      <c r="AC728" s="378">
        <f t="shared" si="205"/>
        <v>58.75</v>
      </c>
      <c r="AD728" s="356">
        <f t="shared" si="206"/>
        <v>170391448.9917702</v>
      </c>
    </row>
    <row r="729" spans="2:30" x14ac:dyDescent="0.25">
      <c r="B729" s="356">
        <f t="shared" ref="B729:B755" si="219">+B728+1</f>
        <v>706</v>
      </c>
      <c r="C729" s="357">
        <f t="shared" si="207"/>
        <v>58</v>
      </c>
      <c r="D729" s="357">
        <f t="shared" si="208"/>
        <v>10</v>
      </c>
      <c r="E729" s="357">
        <f t="shared" si="209"/>
        <v>87</v>
      </c>
      <c r="F729" s="356">
        <f t="shared" ref="F729:F755" si="220">L728</f>
        <v>2761292.3411613833</v>
      </c>
      <c r="H729" s="356">
        <f t="shared" si="216"/>
        <v>22018.932893677313</v>
      </c>
      <c r="I729" s="356">
        <v>0</v>
      </c>
      <c r="J729" s="356">
        <v>0</v>
      </c>
      <c r="K729" s="356">
        <f t="shared" ref="K729:K755" si="221">-SUM(F729:J729)*0.1%</f>
        <v>-2783.3112740550605</v>
      </c>
      <c r="L729" s="356">
        <f t="shared" si="217"/>
        <v>2780527.9627810055</v>
      </c>
      <c r="N729" s="356">
        <f t="shared" ref="N729:N755" si="222">+N728+1</f>
        <v>706</v>
      </c>
      <c r="O729" s="357">
        <f t="shared" si="210"/>
        <v>58</v>
      </c>
      <c r="P729" s="357">
        <f t="shared" si="211"/>
        <v>10</v>
      </c>
      <c r="Q729" s="357">
        <f t="shared" si="212"/>
        <v>58</v>
      </c>
      <c r="R729" s="356">
        <f t="shared" ref="R729:R755" si="223">Y728</f>
        <v>166535697.3102979</v>
      </c>
      <c r="S729" s="356">
        <f>IF($G$4="mensual",S720,IF($G$4="trimestral",S720,0))</f>
        <v>10000</v>
      </c>
      <c r="U729" s="356">
        <f t="shared" si="213"/>
        <v>1328058.7781820155</v>
      </c>
      <c r="V729" s="359">
        <f t="shared" si="215"/>
        <v>-741.1202001605285</v>
      </c>
      <c r="X729" s="359">
        <f t="shared" si="214"/>
        <v>-167873.75608847995</v>
      </c>
      <c r="Y729" s="356">
        <f t="shared" si="218"/>
        <v>167705141.2121913</v>
      </c>
      <c r="AA729" s="357">
        <f>+Bono!J729</f>
        <v>1101245.1151702732</v>
      </c>
      <c r="AC729" s="378">
        <f t="shared" ref="AC729:AC755" si="224">+B729/12</f>
        <v>58.833333333333336</v>
      </c>
      <c r="AD729" s="356">
        <f t="shared" ref="AD729:AD755" si="225">+AA729+Y729+L729</f>
        <v>171586914.2901426</v>
      </c>
    </row>
    <row r="730" spans="2:30" x14ac:dyDescent="0.25">
      <c r="B730" s="356">
        <f t="shared" si="219"/>
        <v>707</v>
      </c>
      <c r="C730" s="357">
        <f t="shared" si="207"/>
        <v>58</v>
      </c>
      <c r="D730" s="357">
        <f t="shared" si="208"/>
        <v>11</v>
      </c>
      <c r="E730" s="357">
        <f t="shared" si="209"/>
        <v>87</v>
      </c>
      <c r="F730" s="356">
        <f t="shared" si="220"/>
        <v>2780527.9627810055</v>
      </c>
      <c r="H730" s="356">
        <f t="shared" si="216"/>
        <v>22172.32044170944</v>
      </c>
      <c r="I730" s="356">
        <v>0</v>
      </c>
      <c r="J730" s="356">
        <v>0</v>
      </c>
      <c r="K730" s="356">
        <f t="shared" si="221"/>
        <v>-2802.700283222715</v>
      </c>
      <c r="L730" s="356">
        <f t="shared" si="217"/>
        <v>2799897.582939492</v>
      </c>
      <c r="N730" s="356">
        <f t="shared" si="222"/>
        <v>707</v>
      </c>
      <c r="O730" s="357">
        <f t="shared" si="210"/>
        <v>58</v>
      </c>
      <c r="P730" s="357">
        <f t="shared" si="211"/>
        <v>11</v>
      </c>
      <c r="Q730" s="357">
        <f t="shared" si="212"/>
        <v>58</v>
      </c>
      <c r="R730" s="356">
        <f t="shared" si="223"/>
        <v>167705141.2121913</v>
      </c>
      <c r="S730" s="356">
        <f>IF($G$17="si",S718*(1+$G$20),S718)</f>
        <v>10000</v>
      </c>
      <c r="U730" s="356">
        <f t="shared" si="213"/>
        <v>1337384.0880794385</v>
      </c>
      <c r="V730" s="359">
        <f t="shared" si="215"/>
        <v>-741.1202001605285</v>
      </c>
      <c r="X730" s="359">
        <f t="shared" si="214"/>
        <v>-169052.52530027076</v>
      </c>
      <c r="Y730" s="356">
        <f t="shared" si="218"/>
        <v>168882731.65477034</v>
      </c>
      <c r="AA730" s="357">
        <f>+Bono!J730</f>
        <v>1108072.962620856</v>
      </c>
      <c r="AC730" s="378">
        <f t="shared" si="224"/>
        <v>58.916666666666664</v>
      </c>
      <c r="AD730" s="356">
        <f t="shared" si="225"/>
        <v>172790702.2003307</v>
      </c>
    </row>
    <row r="731" spans="2:30" x14ac:dyDescent="0.25">
      <c r="B731" s="356">
        <f t="shared" si="219"/>
        <v>708</v>
      </c>
      <c r="C731" s="357">
        <f t="shared" si="207"/>
        <v>58</v>
      </c>
      <c r="D731" s="357">
        <f t="shared" si="208"/>
        <v>12</v>
      </c>
      <c r="E731" s="357">
        <f t="shared" si="209"/>
        <v>87</v>
      </c>
      <c r="F731" s="356">
        <f t="shared" si="220"/>
        <v>2799897.582939492</v>
      </c>
      <c r="H731" s="356">
        <f t="shared" si="216"/>
        <v>22326.776512907734</v>
      </c>
      <c r="I731" s="356">
        <v>0</v>
      </c>
      <c r="J731" s="360">
        <f>-SUM(F731:H731)*$J$21</f>
        <v>-25400.019235071602</v>
      </c>
      <c r="K731" s="356">
        <f t="shared" si="221"/>
        <v>-2796.8243402173284</v>
      </c>
      <c r="L731" s="356">
        <f t="shared" si="217"/>
        <v>2794027.515877111</v>
      </c>
      <c r="N731" s="356">
        <f t="shared" si="222"/>
        <v>708</v>
      </c>
      <c r="O731" s="357">
        <f t="shared" si="210"/>
        <v>58</v>
      </c>
      <c r="P731" s="357">
        <f t="shared" si="211"/>
        <v>12</v>
      </c>
      <c r="Q731" s="357">
        <f t="shared" si="212"/>
        <v>58</v>
      </c>
      <c r="R731" s="356">
        <f t="shared" si="223"/>
        <v>168882731.65477034</v>
      </c>
      <c r="S731" s="356">
        <f>IF($G$4="mensual",S730,0)</f>
        <v>10000</v>
      </c>
      <c r="U731" s="356">
        <f t="shared" si="213"/>
        <v>1346774.3596362988</v>
      </c>
      <c r="V731" s="359">
        <f t="shared" si="215"/>
        <v>-741.1202001605285</v>
      </c>
      <c r="X731" s="359">
        <f t="shared" si="214"/>
        <v>-170239.50601440665</v>
      </c>
      <c r="Y731" s="356">
        <f t="shared" si="218"/>
        <v>170068525.3881921</v>
      </c>
      <c r="AA731" s="357">
        <f>+Bono!J731</f>
        <v>1104898.6106931306</v>
      </c>
      <c r="AC731" s="378">
        <f t="shared" si="224"/>
        <v>59</v>
      </c>
      <c r="AD731" s="356">
        <f t="shared" si="225"/>
        <v>173967451.5147623</v>
      </c>
    </row>
    <row r="732" spans="2:30" x14ac:dyDescent="0.25">
      <c r="B732" s="356">
        <f t="shared" si="219"/>
        <v>709</v>
      </c>
      <c r="C732" s="357">
        <f t="shared" si="207"/>
        <v>59</v>
      </c>
      <c r="D732" s="357">
        <f t="shared" si="208"/>
        <v>1</v>
      </c>
      <c r="E732" s="357">
        <f t="shared" si="209"/>
        <v>88</v>
      </c>
      <c r="F732" s="356">
        <f t="shared" si="220"/>
        <v>2794027.515877111</v>
      </c>
      <c r="H732" s="356">
        <f t="shared" si="216"/>
        <v>22279.967773825225</v>
      </c>
      <c r="I732" s="356">
        <v>0</v>
      </c>
      <c r="J732" s="356">
        <v>0</v>
      </c>
      <c r="K732" s="356">
        <f t="shared" si="221"/>
        <v>-2816.3074836509363</v>
      </c>
      <c r="L732" s="356">
        <f t="shared" si="217"/>
        <v>2813491.1761672855</v>
      </c>
      <c r="N732" s="356">
        <f t="shared" si="222"/>
        <v>709</v>
      </c>
      <c r="O732" s="357">
        <f t="shared" si="210"/>
        <v>59</v>
      </c>
      <c r="P732" s="357">
        <f t="shared" si="211"/>
        <v>1</v>
      </c>
      <c r="Q732" s="357">
        <f t="shared" si="212"/>
        <v>59</v>
      </c>
      <c r="R732" s="356">
        <f t="shared" si="223"/>
        <v>170068525.3881921</v>
      </c>
      <c r="S732" s="356">
        <f>IF($G$17="si",S720*(1+$G$20),S720)</f>
        <v>10000</v>
      </c>
      <c r="U732" s="356">
        <f t="shared" si="213"/>
        <v>1356230.045386318</v>
      </c>
      <c r="V732" s="359">
        <f>(V731*(1+$G$18))</f>
        <v>-770.7650081669497</v>
      </c>
      <c r="X732" s="359">
        <f t="shared" si="214"/>
        <v>-171434.7554335784</v>
      </c>
      <c r="Y732" s="356">
        <f t="shared" si="218"/>
        <v>171262549.91313663</v>
      </c>
      <c r="AA732" s="357">
        <f>+Bono!J732</f>
        <v>1111749.1102397344</v>
      </c>
      <c r="AC732" s="378">
        <f t="shared" si="224"/>
        <v>59.083333333333336</v>
      </c>
      <c r="AD732" s="356">
        <f t="shared" si="225"/>
        <v>175187790.19954365</v>
      </c>
    </row>
    <row r="733" spans="2:30" x14ac:dyDescent="0.25">
      <c r="B733" s="356">
        <f t="shared" si="219"/>
        <v>710</v>
      </c>
      <c r="C733" s="357">
        <f t="shared" si="207"/>
        <v>59</v>
      </c>
      <c r="D733" s="357">
        <f t="shared" si="208"/>
        <v>2</v>
      </c>
      <c r="E733" s="357">
        <f t="shared" si="209"/>
        <v>88</v>
      </c>
      <c r="F733" s="356">
        <f t="shared" si="220"/>
        <v>2813491.1761672855</v>
      </c>
      <c r="H733" s="356">
        <f t="shared" si="216"/>
        <v>22435.173734239554</v>
      </c>
      <c r="I733" s="356">
        <v>0</v>
      </c>
      <c r="J733" s="356">
        <v>0</v>
      </c>
      <c r="K733" s="356">
        <f t="shared" si="221"/>
        <v>-2835.9263499015256</v>
      </c>
      <c r="L733" s="356">
        <f t="shared" si="217"/>
        <v>2833090.4235516237</v>
      </c>
      <c r="N733" s="356">
        <f t="shared" si="222"/>
        <v>710</v>
      </c>
      <c r="O733" s="357">
        <f t="shared" si="210"/>
        <v>59</v>
      </c>
      <c r="P733" s="357">
        <f t="shared" si="211"/>
        <v>2</v>
      </c>
      <c r="Q733" s="357">
        <f t="shared" si="212"/>
        <v>59</v>
      </c>
      <c r="R733" s="356">
        <f t="shared" si="223"/>
        <v>171262549.91313663</v>
      </c>
      <c r="S733" s="356">
        <f>IF($G$4="mensual",S732,0)</f>
        <v>10000</v>
      </c>
      <c r="U733" s="356">
        <f t="shared" si="213"/>
        <v>1365751.3646237808</v>
      </c>
      <c r="V733" s="359">
        <f t="shared" si="215"/>
        <v>-770.7650081669497</v>
      </c>
      <c r="X733" s="359">
        <f t="shared" si="214"/>
        <v>-172638.30127776042</v>
      </c>
      <c r="Y733" s="356">
        <f t="shared" si="218"/>
        <v>172464892.21147448</v>
      </c>
      <c r="AA733" s="357">
        <f>+Bono!J733</f>
        <v>1118642.0836781359</v>
      </c>
      <c r="AC733" s="378">
        <f t="shared" si="224"/>
        <v>59.166666666666664</v>
      </c>
      <c r="AD733" s="356">
        <f t="shared" si="225"/>
        <v>176416624.71870422</v>
      </c>
    </row>
    <row r="734" spans="2:30" x14ac:dyDescent="0.25">
      <c r="B734" s="356">
        <f t="shared" si="219"/>
        <v>711</v>
      </c>
      <c r="C734" s="357">
        <f t="shared" si="207"/>
        <v>59</v>
      </c>
      <c r="D734" s="357">
        <f t="shared" si="208"/>
        <v>3</v>
      </c>
      <c r="E734" s="357">
        <f t="shared" si="209"/>
        <v>88</v>
      </c>
      <c r="F734" s="356">
        <f t="shared" si="220"/>
        <v>2833090.4235516237</v>
      </c>
      <c r="H734" s="356">
        <f t="shared" si="216"/>
        <v>22591.460885183093</v>
      </c>
      <c r="I734" s="356">
        <v>0</v>
      </c>
      <c r="J734" s="360">
        <f>-SUM(F734:H734)*$J$21</f>
        <v>-25701.136959931264</v>
      </c>
      <c r="K734" s="356">
        <f t="shared" si="221"/>
        <v>-2829.9807474768754</v>
      </c>
      <c r="L734" s="356">
        <f t="shared" si="217"/>
        <v>2827150.7667293986</v>
      </c>
      <c r="N734" s="356">
        <f t="shared" si="222"/>
        <v>711</v>
      </c>
      <c r="O734" s="357">
        <f t="shared" si="210"/>
        <v>59</v>
      </c>
      <c r="P734" s="357">
        <f t="shared" si="211"/>
        <v>3</v>
      </c>
      <c r="Q734" s="357">
        <f t="shared" si="212"/>
        <v>59</v>
      </c>
      <c r="R734" s="356">
        <f t="shared" si="223"/>
        <v>172464892.21147448</v>
      </c>
      <c r="S734" s="356">
        <f>IF($G$4="mensual",S733,0)</f>
        <v>10000</v>
      </c>
      <c r="U734" s="356">
        <f t="shared" si="213"/>
        <v>1375339.0109543377</v>
      </c>
      <c r="V734" s="359">
        <f t="shared" si="215"/>
        <v>-770.7650081669497</v>
      </c>
      <c r="X734" s="359">
        <f t="shared" si="214"/>
        <v>-173850.23122242882</v>
      </c>
      <c r="Y734" s="356">
        <f t="shared" si="218"/>
        <v>173675610.22619823</v>
      </c>
      <c r="AA734" s="357">
        <f>+Bono!J734</f>
        <v>1115437.4538617386</v>
      </c>
      <c r="AC734" s="378">
        <f t="shared" si="224"/>
        <v>59.25</v>
      </c>
      <c r="AD734" s="356">
        <f t="shared" si="225"/>
        <v>177618198.44678935</v>
      </c>
    </row>
    <row r="735" spans="2:30" x14ac:dyDescent="0.25">
      <c r="B735" s="356">
        <f t="shared" si="219"/>
        <v>712</v>
      </c>
      <c r="C735" s="357">
        <f t="shared" si="207"/>
        <v>59</v>
      </c>
      <c r="D735" s="357">
        <f t="shared" si="208"/>
        <v>4</v>
      </c>
      <c r="E735" s="357">
        <f t="shared" si="209"/>
        <v>88</v>
      </c>
      <c r="F735" s="356">
        <f t="shared" si="220"/>
        <v>2827150.7667293986</v>
      </c>
      <c r="H735" s="356">
        <f t="shared" si="216"/>
        <v>22544.097227583174</v>
      </c>
      <c r="I735" s="356">
        <v>0</v>
      </c>
      <c r="J735" s="356">
        <v>0</v>
      </c>
      <c r="K735" s="356">
        <f t="shared" si="221"/>
        <v>-2849.694863956982</v>
      </c>
      <c r="L735" s="356">
        <f t="shared" si="217"/>
        <v>2846845.169093025</v>
      </c>
      <c r="N735" s="356">
        <f t="shared" si="222"/>
        <v>712</v>
      </c>
      <c r="O735" s="357">
        <f t="shared" si="210"/>
        <v>59</v>
      </c>
      <c r="P735" s="357">
        <f t="shared" si="211"/>
        <v>4</v>
      </c>
      <c r="Q735" s="357">
        <f t="shared" si="212"/>
        <v>59</v>
      </c>
      <c r="R735" s="356">
        <f t="shared" si="223"/>
        <v>173675610.22619823</v>
      </c>
      <c r="S735" s="356">
        <f>IF($G$4="mensual",S732,IF($G$4="trimestral",S732,0))</f>
        <v>10000</v>
      </c>
      <c r="U735" s="356">
        <f t="shared" si="213"/>
        <v>1384993.4464235483</v>
      </c>
      <c r="V735" s="359">
        <f t="shared" si="215"/>
        <v>-770.7650081669497</v>
      </c>
      <c r="X735" s="359">
        <f t="shared" si="214"/>
        <v>-175070.6036726218</v>
      </c>
      <c r="Y735" s="356">
        <f t="shared" si="218"/>
        <v>174894762.30394098</v>
      </c>
      <c r="AA735" s="357">
        <f>+Bono!J735</f>
        <v>1122353.2954584179</v>
      </c>
      <c r="AC735" s="378">
        <f t="shared" si="224"/>
        <v>59.333333333333336</v>
      </c>
      <c r="AD735" s="356">
        <f t="shared" si="225"/>
        <v>178863960.7684924</v>
      </c>
    </row>
    <row r="736" spans="2:30" x14ac:dyDescent="0.25">
      <c r="B736" s="356">
        <f t="shared" si="219"/>
        <v>713</v>
      </c>
      <c r="C736" s="357">
        <f t="shared" si="207"/>
        <v>59</v>
      </c>
      <c r="D736" s="357">
        <f t="shared" si="208"/>
        <v>5</v>
      </c>
      <c r="E736" s="357">
        <f t="shared" si="209"/>
        <v>88</v>
      </c>
      <c r="F736" s="356">
        <f t="shared" si="220"/>
        <v>2846845.169093025</v>
      </c>
      <c r="H736" s="356">
        <f t="shared" si="216"/>
        <v>22701.143157694063</v>
      </c>
      <c r="I736" s="356">
        <v>0</v>
      </c>
      <c r="J736" s="356">
        <v>0</v>
      </c>
      <c r="K736" s="356">
        <f t="shared" si="221"/>
        <v>-2869.546312250719</v>
      </c>
      <c r="L736" s="356">
        <f t="shared" si="217"/>
        <v>2866676.7659384683</v>
      </c>
      <c r="N736" s="356">
        <f t="shared" si="222"/>
        <v>713</v>
      </c>
      <c r="O736" s="357">
        <f t="shared" si="210"/>
        <v>59</v>
      </c>
      <c r="P736" s="357">
        <f t="shared" si="211"/>
        <v>5</v>
      </c>
      <c r="Q736" s="357">
        <f t="shared" si="212"/>
        <v>59</v>
      </c>
      <c r="R736" s="356">
        <f t="shared" si="223"/>
        <v>174894762.30394098</v>
      </c>
      <c r="S736" s="356">
        <f>IF($G$4="mensual",S735,0)</f>
        <v>10000</v>
      </c>
      <c r="U736" s="356">
        <f t="shared" si="213"/>
        <v>1394715.1362956588</v>
      </c>
      <c r="V736" s="359">
        <f t="shared" si="215"/>
        <v>-770.7650081669497</v>
      </c>
      <c r="X736" s="359">
        <f t="shared" si="214"/>
        <v>-176299.47744023663</v>
      </c>
      <c r="Y736" s="356">
        <f t="shared" si="218"/>
        <v>176122407.1977882</v>
      </c>
      <c r="AA736" s="357">
        <f>+Bono!J736</f>
        <v>1129312.0160751846</v>
      </c>
      <c r="AC736" s="378">
        <f t="shared" si="224"/>
        <v>59.416666666666664</v>
      </c>
      <c r="AD736" s="356">
        <f t="shared" si="225"/>
        <v>180118395.97980186</v>
      </c>
    </row>
    <row r="737" spans="2:30" x14ac:dyDescent="0.25">
      <c r="B737" s="356">
        <f t="shared" si="219"/>
        <v>714</v>
      </c>
      <c r="C737" s="357">
        <f t="shared" si="207"/>
        <v>59</v>
      </c>
      <c r="D737" s="357">
        <f t="shared" si="208"/>
        <v>6</v>
      </c>
      <c r="E737" s="357">
        <f t="shared" si="209"/>
        <v>88</v>
      </c>
      <c r="F737" s="356">
        <f t="shared" si="220"/>
        <v>2866676.7659384683</v>
      </c>
      <c r="H737" s="356">
        <f t="shared" si="216"/>
        <v>22859.283095869032</v>
      </c>
      <c r="I737" s="356">
        <v>0</v>
      </c>
      <c r="J737" s="360">
        <f>-SUM(F737:H737)*$J$21</f>
        <v>-26005.82444130904</v>
      </c>
      <c r="K737" s="356">
        <f t="shared" si="221"/>
        <v>-2863.5302245930284</v>
      </c>
      <c r="L737" s="356">
        <f t="shared" si="217"/>
        <v>2860666.6943684355</v>
      </c>
      <c r="N737" s="356">
        <f t="shared" si="222"/>
        <v>714</v>
      </c>
      <c r="O737" s="357">
        <f t="shared" si="210"/>
        <v>59</v>
      </c>
      <c r="P737" s="357">
        <f t="shared" si="211"/>
        <v>6</v>
      </c>
      <c r="Q737" s="357">
        <f t="shared" si="212"/>
        <v>59</v>
      </c>
      <c r="R737" s="356">
        <f t="shared" si="223"/>
        <v>176122407.1977882</v>
      </c>
      <c r="S737" s="356">
        <f>IF($G$4="mensual",S736,0)</f>
        <v>10000</v>
      </c>
      <c r="U737" s="356">
        <f t="shared" si="213"/>
        <v>1404504.5490760233</v>
      </c>
      <c r="V737" s="359">
        <f t="shared" si="215"/>
        <v>-770.7650081669497</v>
      </c>
      <c r="X737" s="359">
        <f t="shared" si="214"/>
        <v>-177536.91174686424</v>
      </c>
      <c r="Y737" s="356">
        <f t="shared" si="218"/>
        <v>177358604.0701092</v>
      </c>
      <c r="AA737" s="357">
        <f>+Bono!J737</f>
        <v>1126076.8195708382</v>
      </c>
      <c r="AC737" s="378">
        <f t="shared" si="224"/>
        <v>59.5</v>
      </c>
      <c r="AD737" s="356">
        <f t="shared" si="225"/>
        <v>181345347.58404845</v>
      </c>
    </row>
    <row r="738" spans="2:30" x14ac:dyDescent="0.25">
      <c r="B738" s="356">
        <f t="shared" si="219"/>
        <v>715</v>
      </c>
      <c r="C738" s="357">
        <f t="shared" si="207"/>
        <v>59</v>
      </c>
      <c r="D738" s="357">
        <f t="shared" si="208"/>
        <v>7</v>
      </c>
      <c r="E738" s="357">
        <f t="shared" si="209"/>
        <v>88</v>
      </c>
      <c r="F738" s="356">
        <f t="shared" si="220"/>
        <v>2860666.6943684355</v>
      </c>
      <c r="H738" s="356">
        <f t="shared" si="216"/>
        <v>22811.357941181832</v>
      </c>
      <c r="I738" s="356">
        <v>0</v>
      </c>
      <c r="J738" s="356">
        <v>0</v>
      </c>
      <c r="K738" s="356">
        <f t="shared" si="221"/>
        <v>-2883.4780523096174</v>
      </c>
      <c r="L738" s="356">
        <f t="shared" si="217"/>
        <v>2880594.5742573077</v>
      </c>
      <c r="N738" s="356">
        <f t="shared" si="222"/>
        <v>715</v>
      </c>
      <c r="O738" s="357">
        <f t="shared" si="210"/>
        <v>59</v>
      </c>
      <c r="P738" s="357">
        <f t="shared" si="211"/>
        <v>7</v>
      </c>
      <c r="Q738" s="357">
        <f t="shared" si="212"/>
        <v>59</v>
      </c>
      <c r="R738" s="356">
        <f t="shared" si="223"/>
        <v>177358604.0701092</v>
      </c>
      <c r="S738" s="356">
        <f>+IF($G$4="mensual",S732,IF($G$4="trimestral",S732,IF($G$4="semestral",S732,0)))</f>
        <v>10000</v>
      </c>
      <c r="U738" s="356">
        <f t="shared" si="213"/>
        <v>1414362.1565336825</v>
      </c>
      <c r="V738" s="359">
        <f t="shared" si="215"/>
        <v>-770.7650081669497</v>
      </c>
      <c r="X738" s="359">
        <f t="shared" si="214"/>
        <v>-178782.9662266429</v>
      </c>
      <c r="Y738" s="356">
        <f t="shared" si="218"/>
        <v>178603412.49540806</v>
      </c>
      <c r="AA738" s="357">
        <f>+Bono!J738</f>
        <v>1133058.626469004</v>
      </c>
      <c r="AC738" s="378">
        <f t="shared" si="224"/>
        <v>59.583333333333336</v>
      </c>
      <c r="AD738" s="356">
        <f t="shared" si="225"/>
        <v>182617065.6961344</v>
      </c>
    </row>
    <row r="739" spans="2:30" x14ac:dyDescent="0.25">
      <c r="B739" s="356">
        <f t="shared" si="219"/>
        <v>716</v>
      </c>
      <c r="C739" s="357">
        <f t="shared" si="207"/>
        <v>59</v>
      </c>
      <c r="D739" s="357">
        <f t="shared" si="208"/>
        <v>8</v>
      </c>
      <c r="E739" s="357">
        <f t="shared" si="209"/>
        <v>88</v>
      </c>
      <c r="F739" s="356">
        <f t="shared" si="220"/>
        <v>2880594.5742573077</v>
      </c>
      <c r="H739" s="356">
        <f t="shared" si="216"/>
        <v>22970.265653866023</v>
      </c>
      <c r="I739" s="356">
        <v>0</v>
      </c>
      <c r="J739" s="356">
        <v>0</v>
      </c>
      <c r="K739" s="356">
        <f t="shared" si="221"/>
        <v>-2903.5648399111737</v>
      </c>
      <c r="L739" s="356">
        <f t="shared" si="217"/>
        <v>2900661.2750712624</v>
      </c>
      <c r="N739" s="356">
        <f t="shared" si="222"/>
        <v>716</v>
      </c>
      <c r="O739" s="357">
        <f t="shared" si="210"/>
        <v>59</v>
      </c>
      <c r="P739" s="357">
        <f t="shared" si="211"/>
        <v>8</v>
      </c>
      <c r="Q739" s="357">
        <f t="shared" si="212"/>
        <v>59</v>
      </c>
      <c r="R739" s="356">
        <f t="shared" si="223"/>
        <v>178603412.49540806</v>
      </c>
      <c r="S739" s="356">
        <f>IF($G$4="mensual",S738,0)</f>
        <v>10000</v>
      </c>
      <c r="U739" s="356">
        <f t="shared" si="213"/>
        <v>1424288.4337240981</v>
      </c>
      <c r="V739" s="359">
        <f t="shared" si="215"/>
        <v>-770.7650081669497</v>
      </c>
      <c r="X739" s="359">
        <f t="shared" si="214"/>
        <v>-180037.70092913217</v>
      </c>
      <c r="Y739" s="356">
        <f t="shared" si="218"/>
        <v>179856892.46319485</v>
      </c>
      <c r="AA739" s="357">
        <f>+Bono!J739</f>
        <v>1140083.7213797776</v>
      </c>
      <c r="AC739" s="378">
        <f t="shared" si="224"/>
        <v>59.666666666666664</v>
      </c>
      <c r="AD739" s="356">
        <f t="shared" si="225"/>
        <v>183897637.4596459</v>
      </c>
    </row>
    <row r="740" spans="2:30" x14ac:dyDescent="0.25">
      <c r="B740" s="356">
        <f t="shared" si="219"/>
        <v>717</v>
      </c>
      <c r="C740" s="357">
        <f t="shared" ref="C740:C755" si="226">C728+1</f>
        <v>59</v>
      </c>
      <c r="D740" s="357">
        <f t="shared" ref="D740:D755" si="227">D728</f>
        <v>9</v>
      </c>
      <c r="E740" s="357">
        <f t="shared" ref="E740:E755" si="228">E728+1</f>
        <v>88</v>
      </c>
      <c r="F740" s="356">
        <f t="shared" si="220"/>
        <v>2900661.2750712624</v>
      </c>
      <c r="H740" s="356">
        <f t="shared" si="216"/>
        <v>23130.280344101295</v>
      </c>
      <c r="I740" s="356">
        <v>0</v>
      </c>
      <c r="J740" s="360">
        <f>-SUM(F740:H740)*$J$21</f>
        <v>-26314.123998738276</v>
      </c>
      <c r="K740" s="356">
        <f t="shared" si="221"/>
        <v>-2897.477431416625</v>
      </c>
      <c r="L740" s="356">
        <f t="shared" si="217"/>
        <v>2894579.9539852086</v>
      </c>
      <c r="N740" s="356">
        <f t="shared" si="222"/>
        <v>717</v>
      </c>
      <c r="O740" s="357">
        <f t="shared" ref="O740:O755" si="229">O728+1</f>
        <v>59</v>
      </c>
      <c r="P740" s="357">
        <f t="shared" ref="P740:P755" si="230">P728</f>
        <v>9</v>
      </c>
      <c r="Q740" s="357">
        <f t="shared" ref="Q740:Q755" si="231">Q728+1</f>
        <v>59</v>
      </c>
      <c r="R740" s="356">
        <f t="shared" si="223"/>
        <v>179856892.46319485</v>
      </c>
      <c r="S740" s="356">
        <f>IF($G$4="mensual",S739,0)</f>
        <v>10000</v>
      </c>
      <c r="U740" s="356">
        <f t="shared" ref="U740:U755" si="232">SUM(R740:T740)*$G$8</f>
        <v>1434283.8590120478</v>
      </c>
      <c r="V740" s="359">
        <f t="shared" si="215"/>
        <v>-770.7650081669497</v>
      </c>
      <c r="X740" s="359">
        <f t="shared" si="214"/>
        <v>-181301.17632220688</v>
      </c>
      <c r="Y740" s="356">
        <f t="shared" si="218"/>
        <v>181119104.38087648</v>
      </c>
      <c r="AA740" s="357">
        <f>+Bono!J740</f>
        <v>1136817.6666335538</v>
      </c>
      <c r="AC740" s="378">
        <f t="shared" si="224"/>
        <v>59.75</v>
      </c>
      <c r="AD740" s="356">
        <f t="shared" si="225"/>
        <v>185150502.00149524</v>
      </c>
    </row>
    <row r="741" spans="2:30" x14ac:dyDescent="0.25">
      <c r="B741" s="356">
        <f t="shared" si="219"/>
        <v>718</v>
      </c>
      <c r="C741" s="357">
        <f t="shared" si="226"/>
        <v>59</v>
      </c>
      <c r="D741" s="357">
        <f t="shared" si="227"/>
        <v>10</v>
      </c>
      <c r="E741" s="357">
        <f t="shared" si="228"/>
        <v>88</v>
      </c>
      <c r="F741" s="356">
        <f t="shared" si="220"/>
        <v>2894579.9539852086</v>
      </c>
      <c r="H741" s="356">
        <f t="shared" si="216"/>
        <v>23081.78703576785</v>
      </c>
      <c r="I741" s="356">
        <v>0</v>
      </c>
      <c r="J741" s="356">
        <v>0</v>
      </c>
      <c r="K741" s="356">
        <f t="shared" si="221"/>
        <v>-2917.6617410209765</v>
      </c>
      <c r="L741" s="356">
        <f t="shared" si="217"/>
        <v>2914744.0792799555</v>
      </c>
      <c r="N741" s="356">
        <f t="shared" si="222"/>
        <v>718</v>
      </c>
      <c r="O741" s="357">
        <f t="shared" si="229"/>
        <v>59</v>
      </c>
      <c r="P741" s="357">
        <f t="shared" si="230"/>
        <v>10</v>
      </c>
      <c r="Q741" s="357">
        <f t="shared" si="231"/>
        <v>59</v>
      </c>
      <c r="R741" s="356">
        <f t="shared" si="223"/>
        <v>181119104.38087648</v>
      </c>
      <c r="S741" s="356">
        <f>IF($G$4="mensual",S732,IF($G$4="trimestral",S732,0))</f>
        <v>10000</v>
      </c>
      <c r="U741" s="356">
        <f t="shared" si="232"/>
        <v>1444348.914094677</v>
      </c>
      <c r="V741" s="359">
        <f t="shared" si="215"/>
        <v>-770.7650081669497</v>
      </c>
      <c r="X741" s="359">
        <f t="shared" si="214"/>
        <v>-182573.45329497117</v>
      </c>
      <c r="Y741" s="356">
        <f t="shared" si="218"/>
        <v>182390109.07666802</v>
      </c>
      <c r="AA741" s="357">
        <f>+Bono!J741</f>
        <v>1143866.0680293695</v>
      </c>
      <c r="AC741" s="378">
        <f t="shared" si="224"/>
        <v>59.833333333333336</v>
      </c>
      <c r="AD741" s="356">
        <f t="shared" si="225"/>
        <v>186448719.22397736</v>
      </c>
    </row>
    <row r="742" spans="2:30" x14ac:dyDescent="0.25">
      <c r="B742" s="356">
        <f t="shared" si="219"/>
        <v>719</v>
      </c>
      <c r="C742" s="357">
        <f t="shared" si="226"/>
        <v>59</v>
      </c>
      <c r="D742" s="357">
        <f t="shared" si="227"/>
        <v>11</v>
      </c>
      <c r="E742" s="357">
        <f t="shared" si="228"/>
        <v>88</v>
      </c>
      <c r="F742" s="356">
        <f t="shared" si="220"/>
        <v>2914744.0792799555</v>
      </c>
      <c r="H742" s="356">
        <f t="shared" si="216"/>
        <v>23242.57860249417</v>
      </c>
      <c r="I742" s="356">
        <v>0</v>
      </c>
      <c r="J742" s="356">
        <v>0</v>
      </c>
      <c r="K742" s="356">
        <f t="shared" si="221"/>
        <v>-2937.98665788245</v>
      </c>
      <c r="L742" s="356">
        <f t="shared" si="217"/>
        <v>2935048.671224567</v>
      </c>
      <c r="N742" s="356">
        <f t="shared" si="222"/>
        <v>719</v>
      </c>
      <c r="O742" s="357">
        <f t="shared" si="229"/>
        <v>59</v>
      </c>
      <c r="P742" s="357">
        <f t="shared" si="230"/>
        <v>11</v>
      </c>
      <c r="Q742" s="357">
        <f t="shared" si="231"/>
        <v>59</v>
      </c>
      <c r="R742" s="356">
        <f t="shared" si="223"/>
        <v>182390109.07666802</v>
      </c>
      <c r="S742" s="356">
        <f>IF($G$17="si",S730*(1+$G$20),S730)</f>
        <v>10000</v>
      </c>
      <c r="U742" s="356">
        <f t="shared" si="232"/>
        <v>1454484.084024715</v>
      </c>
      <c r="V742" s="359">
        <f t="shared" si="215"/>
        <v>-770.7650081669497</v>
      </c>
      <c r="X742" s="359">
        <f t="shared" si="214"/>
        <v>-183854.59316069275</v>
      </c>
      <c r="Y742" s="356">
        <f t="shared" si="218"/>
        <v>183669967.80252388</v>
      </c>
      <c r="AA742" s="357">
        <f>+Bono!J742</f>
        <v>1150958.1703314031</v>
      </c>
      <c r="AC742" s="378">
        <f t="shared" si="224"/>
        <v>59.916666666666664</v>
      </c>
      <c r="AD742" s="356">
        <f t="shared" si="225"/>
        <v>187755974.64407983</v>
      </c>
    </row>
    <row r="743" spans="2:30" x14ac:dyDescent="0.25">
      <c r="B743" s="356">
        <f t="shared" si="219"/>
        <v>720</v>
      </c>
      <c r="C743" s="357">
        <f t="shared" si="226"/>
        <v>59</v>
      </c>
      <c r="D743" s="357">
        <f t="shared" si="227"/>
        <v>12</v>
      </c>
      <c r="E743" s="357">
        <f t="shared" si="228"/>
        <v>88</v>
      </c>
      <c r="F743" s="356">
        <f t="shared" si="220"/>
        <v>2935048.671224567</v>
      </c>
      <c r="H743" s="356">
        <f t="shared" si="216"/>
        <v>23404.490270012095</v>
      </c>
      <c r="I743" s="356">
        <v>0</v>
      </c>
      <c r="J743" s="360">
        <f>-SUM(F743:H743)*$J$21</f>
        <v>-26626.078453451217</v>
      </c>
      <c r="K743" s="356">
        <f t="shared" si="221"/>
        <v>-2931.827083041128</v>
      </c>
      <c r="L743" s="356">
        <f t="shared" si="217"/>
        <v>2928895.255958087</v>
      </c>
      <c r="N743" s="356">
        <f t="shared" si="222"/>
        <v>720</v>
      </c>
      <c r="O743" s="357">
        <f t="shared" si="229"/>
        <v>59</v>
      </c>
      <c r="P743" s="357">
        <f t="shared" si="230"/>
        <v>12</v>
      </c>
      <c r="Q743" s="357">
        <f t="shared" si="231"/>
        <v>59</v>
      </c>
      <c r="R743" s="356">
        <f t="shared" si="223"/>
        <v>183669967.80252388</v>
      </c>
      <c r="S743" s="356">
        <f>IF($G$4="mensual",S742,0)</f>
        <v>10000</v>
      </c>
      <c r="U743" s="356">
        <f t="shared" si="232"/>
        <v>1464689.8572338475</v>
      </c>
      <c r="V743" s="359">
        <f t="shared" si="215"/>
        <v>-770.7650081669497</v>
      </c>
      <c r="X743" s="359">
        <f t="shared" si="214"/>
        <v>-185144.65765975774</v>
      </c>
      <c r="Y743" s="356">
        <f t="shared" si="218"/>
        <v>184958742.23708978</v>
      </c>
      <c r="AA743" s="357">
        <f>+Bono!J743</f>
        <v>1147660.9630084476</v>
      </c>
      <c r="AC743" s="378">
        <f t="shared" si="224"/>
        <v>60</v>
      </c>
      <c r="AD743" s="356">
        <f t="shared" si="225"/>
        <v>189035298.4560563</v>
      </c>
    </row>
    <row r="744" spans="2:30" x14ac:dyDescent="0.25">
      <c r="B744" s="356">
        <f t="shared" si="219"/>
        <v>721</v>
      </c>
      <c r="C744" s="357">
        <f t="shared" si="226"/>
        <v>60</v>
      </c>
      <c r="D744" s="357">
        <f t="shared" si="227"/>
        <v>1</v>
      </c>
      <c r="E744" s="357">
        <f t="shared" si="228"/>
        <v>89</v>
      </c>
      <c r="F744" s="356">
        <f t="shared" si="220"/>
        <v>2928895.255958087</v>
      </c>
      <c r="H744" s="356">
        <f t="shared" si="216"/>
        <v>23355.42207255982</v>
      </c>
      <c r="I744" s="356">
        <v>0</v>
      </c>
      <c r="J744" s="356">
        <v>0</v>
      </c>
      <c r="K744" s="356">
        <f t="shared" si="221"/>
        <v>-2952.2506780306467</v>
      </c>
      <c r="L744" s="356">
        <f t="shared" si="217"/>
        <v>2949298.4273526156</v>
      </c>
      <c r="N744" s="356">
        <f t="shared" si="222"/>
        <v>721</v>
      </c>
      <c r="O744" s="357">
        <f t="shared" si="229"/>
        <v>60</v>
      </c>
      <c r="P744" s="357">
        <f t="shared" si="230"/>
        <v>1</v>
      </c>
      <c r="Q744" s="357">
        <f t="shared" si="231"/>
        <v>60</v>
      </c>
      <c r="R744" s="356">
        <f t="shared" si="223"/>
        <v>184958742.23708978</v>
      </c>
      <c r="S744" s="356">
        <f>IF($G$17="si",S732*(1+$G$20),S732)</f>
        <v>10000</v>
      </c>
      <c r="U744" s="356">
        <f t="shared" si="232"/>
        <v>1474966.725556257</v>
      </c>
      <c r="V744" s="359">
        <f>(V743*(1+$G$18))</f>
        <v>-801.5956084936277</v>
      </c>
      <c r="X744" s="359">
        <f t="shared" si="214"/>
        <v>-186443.70896264605</v>
      </c>
      <c r="Y744" s="356">
        <f t="shared" si="218"/>
        <v>186256463.6580749</v>
      </c>
      <c r="AA744" s="357">
        <f>+Bono!J744</f>
        <v>1154776.594099532</v>
      </c>
      <c r="AC744" s="378">
        <f t="shared" si="224"/>
        <v>60.083333333333336</v>
      </c>
      <c r="AD744" s="356">
        <f t="shared" si="225"/>
        <v>190360538.679527</v>
      </c>
    </row>
    <row r="745" spans="2:30" x14ac:dyDescent="0.25">
      <c r="B745" s="356">
        <f t="shared" si="219"/>
        <v>722</v>
      </c>
      <c r="C745" s="357">
        <f t="shared" si="226"/>
        <v>60</v>
      </c>
      <c r="D745" s="357">
        <f t="shared" si="227"/>
        <v>2</v>
      </c>
      <c r="E745" s="357">
        <f t="shared" si="228"/>
        <v>89</v>
      </c>
      <c r="F745" s="356">
        <f t="shared" si="220"/>
        <v>2949298.4273526156</v>
      </c>
      <c r="H745" s="356">
        <f t="shared" si="216"/>
        <v>23518.119826454786</v>
      </c>
      <c r="I745" s="356">
        <v>0</v>
      </c>
      <c r="J745" s="356">
        <v>0</v>
      </c>
      <c r="K745" s="356">
        <f t="shared" si="221"/>
        <v>-2972.8165471790703</v>
      </c>
      <c r="L745" s="356">
        <f t="shared" si="217"/>
        <v>2969843.730631891</v>
      </c>
      <c r="N745" s="356">
        <f t="shared" si="222"/>
        <v>722</v>
      </c>
      <c r="O745" s="357">
        <f t="shared" si="229"/>
        <v>60</v>
      </c>
      <c r="P745" s="357">
        <f t="shared" si="230"/>
        <v>2</v>
      </c>
      <c r="Q745" s="357">
        <f t="shared" si="231"/>
        <v>60</v>
      </c>
      <c r="R745" s="356">
        <f t="shared" si="223"/>
        <v>186256463.6580749</v>
      </c>
      <c r="S745" s="356">
        <f>IF($G$4="mensual",S744,0)</f>
        <v>10000</v>
      </c>
      <c r="U745" s="356">
        <f t="shared" si="232"/>
        <v>1485314.9384047887</v>
      </c>
      <c r="V745" s="359">
        <f t="shared" si="215"/>
        <v>-801.5956084936277</v>
      </c>
      <c r="X745" s="359">
        <f t="shared" si="214"/>
        <v>-187751.77859647968</v>
      </c>
      <c r="Y745" s="356">
        <f t="shared" si="218"/>
        <v>187563225.2222747</v>
      </c>
      <c r="AA745" s="357">
        <f>+Bono!J745</f>
        <v>1161936.3429287435</v>
      </c>
      <c r="AC745" s="378">
        <f t="shared" si="224"/>
        <v>60.166666666666664</v>
      </c>
      <c r="AD745" s="356">
        <f t="shared" si="225"/>
        <v>191695005.29583532</v>
      </c>
    </row>
    <row r="746" spans="2:30" x14ac:dyDescent="0.25">
      <c r="B746" s="356">
        <f t="shared" si="219"/>
        <v>723</v>
      </c>
      <c r="C746" s="357">
        <f t="shared" si="226"/>
        <v>60</v>
      </c>
      <c r="D746" s="357">
        <f t="shared" si="227"/>
        <v>3</v>
      </c>
      <c r="E746" s="357">
        <f t="shared" si="228"/>
        <v>89</v>
      </c>
      <c r="F746" s="356">
        <f t="shared" si="220"/>
        <v>2969843.730631891</v>
      </c>
      <c r="H746" s="356">
        <f t="shared" si="216"/>
        <v>23681.950959958143</v>
      </c>
      <c r="I746" s="356">
        <v>0</v>
      </c>
      <c r="J746" s="360">
        <f>-SUM(F746:H746)*$J$21</f>
        <v>-26941.73113432665</v>
      </c>
      <c r="K746" s="356">
        <f t="shared" si="221"/>
        <v>-2966.583950457523</v>
      </c>
      <c r="L746" s="356">
        <f t="shared" si="217"/>
        <v>2963617.366507065</v>
      </c>
      <c r="N746" s="356">
        <f t="shared" si="222"/>
        <v>723</v>
      </c>
      <c r="O746" s="357">
        <f t="shared" si="229"/>
        <v>60</v>
      </c>
      <c r="P746" s="357">
        <f t="shared" si="230"/>
        <v>3</v>
      </c>
      <c r="Q746" s="357">
        <f t="shared" si="231"/>
        <v>60</v>
      </c>
      <c r="R746" s="356">
        <f t="shared" si="223"/>
        <v>187563225.2222747</v>
      </c>
      <c r="S746" s="356">
        <f>IF($G$4="mensual",S745,0)</f>
        <v>10000</v>
      </c>
      <c r="U746" s="356">
        <f t="shared" si="232"/>
        <v>1495735.2386248119</v>
      </c>
      <c r="V746" s="359">
        <f t="shared" si="215"/>
        <v>-801.5956084936277</v>
      </c>
      <c r="X746" s="359">
        <f t="shared" si="214"/>
        <v>-189068.9604608995</v>
      </c>
      <c r="Y746" s="356">
        <f t="shared" si="218"/>
        <v>188879089.9048301</v>
      </c>
      <c r="AA746" s="357">
        <f>+Bono!J746</f>
        <v>1158607.6858867505</v>
      </c>
      <c r="AC746" s="378">
        <f t="shared" si="224"/>
        <v>60.25</v>
      </c>
      <c r="AD746" s="356">
        <f t="shared" si="225"/>
        <v>193001314.9572239</v>
      </c>
    </row>
    <row r="747" spans="2:30" x14ac:dyDescent="0.25">
      <c r="B747" s="356">
        <f t="shared" si="219"/>
        <v>724</v>
      </c>
      <c r="C747" s="357">
        <f t="shared" si="226"/>
        <v>60</v>
      </c>
      <c r="D747" s="357">
        <f t="shared" si="227"/>
        <v>4</v>
      </c>
      <c r="E747" s="357">
        <f t="shared" si="228"/>
        <v>89</v>
      </c>
      <c r="F747" s="356">
        <f t="shared" si="220"/>
        <v>2963617.366507065</v>
      </c>
      <c r="H747" s="356">
        <f t="shared" si="216"/>
        <v>23632.30105806529</v>
      </c>
      <c r="I747" s="356">
        <v>0</v>
      </c>
      <c r="J747" s="356">
        <v>0</v>
      </c>
      <c r="K747" s="356">
        <f t="shared" si="221"/>
        <v>-2987.24966756513</v>
      </c>
      <c r="L747" s="356">
        <f t="shared" si="217"/>
        <v>2984262.417897565</v>
      </c>
      <c r="N747" s="356">
        <f t="shared" si="222"/>
        <v>724</v>
      </c>
      <c r="O747" s="357">
        <f t="shared" si="229"/>
        <v>60</v>
      </c>
      <c r="P747" s="357">
        <f t="shared" si="230"/>
        <v>4</v>
      </c>
      <c r="Q747" s="357">
        <f t="shared" si="231"/>
        <v>60</v>
      </c>
      <c r="R747" s="356">
        <f t="shared" si="223"/>
        <v>188879089.9048301</v>
      </c>
      <c r="S747" s="356">
        <f>IF($G$4="mensual",S744,IF($G$4="trimestral",S744,0))</f>
        <v>10000</v>
      </c>
      <c r="U747" s="356">
        <f t="shared" si="232"/>
        <v>1506228.1283889436</v>
      </c>
      <c r="V747" s="359">
        <f t="shared" si="215"/>
        <v>-801.5956084936277</v>
      </c>
      <c r="X747" s="359">
        <f t="shared" ref="X747:X755" si="233">-SUM(R747:U747)*0.1%</f>
        <v>-190395.31803321905</v>
      </c>
      <c r="Y747" s="356">
        <f t="shared" si="218"/>
        <v>190204121.11957732</v>
      </c>
      <c r="AA747" s="357">
        <f>+Bono!J747</f>
        <v>1165791.1879294217</v>
      </c>
      <c r="AC747" s="378">
        <f t="shared" si="224"/>
        <v>60.333333333333336</v>
      </c>
      <c r="AD747" s="356">
        <f t="shared" si="225"/>
        <v>194354174.7254043</v>
      </c>
    </row>
    <row r="748" spans="2:30" x14ac:dyDescent="0.25">
      <c r="B748" s="356">
        <f t="shared" si="219"/>
        <v>725</v>
      </c>
      <c r="C748" s="357">
        <f t="shared" si="226"/>
        <v>60</v>
      </c>
      <c r="D748" s="357">
        <f t="shared" si="227"/>
        <v>5</v>
      </c>
      <c r="E748" s="357">
        <f t="shared" si="228"/>
        <v>89</v>
      </c>
      <c r="F748" s="356">
        <f t="shared" si="220"/>
        <v>2984262.417897565</v>
      </c>
      <c r="H748" s="356">
        <f t="shared" si="216"/>
        <v>23796.927597015074</v>
      </c>
      <c r="I748" s="356">
        <v>0</v>
      </c>
      <c r="J748" s="356">
        <v>0</v>
      </c>
      <c r="K748" s="356">
        <f t="shared" si="221"/>
        <v>-3008.05934549458</v>
      </c>
      <c r="L748" s="356">
        <f t="shared" si="217"/>
        <v>3005051.2861490855</v>
      </c>
      <c r="N748" s="356">
        <f t="shared" si="222"/>
        <v>725</v>
      </c>
      <c r="O748" s="357">
        <f t="shared" si="229"/>
        <v>60</v>
      </c>
      <c r="P748" s="357">
        <f t="shared" si="230"/>
        <v>5</v>
      </c>
      <c r="Q748" s="357">
        <f t="shared" si="231"/>
        <v>60</v>
      </c>
      <c r="R748" s="356">
        <f t="shared" si="223"/>
        <v>190204121.11957732</v>
      </c>
      <c r="S748" s="356">
        <f>IF($G$4="mensual",S747,0)</f>
        <v>10000</v>
      </c>
      <c r="U748" s="356">
        <f t="shared" si="232"/>
        <v>1516794.1133680188</v>
      </c>
      <c r="V748" s="359">
        <f t="shared" si="215"/>
        <v>-801.5956084936277</v>
      </c>
      <c r="X748" s="359">
        <f t="shared" si="233"/>
        <v>-191730.91523294532</v>
      </c>
      <c r="Y748" s="356">
        <f t="shared" si="218"/>
        <v>191538382.72210386</v>
      </c>
      <c r="AA748" s="357">
        <f>+Bono!J748</f>
        <v>1173019.2285179922</v>
      </c>
      <c r="AC748" s="378">
        <f t="shared" si="224"/>
        <v>60.416666666666664</v>
      </c>
      <c r="AD748" s="356">
        <f t="shared" si="225"/>
        <v>195716453.23677093</v>
      </c>
    </row>
    <row r="749" spans="2:30" x14ac:dyDescent="0.25">
      <c r="B749" s="356">
        <f t="shared" si="219"/>
        <v>726</v>
      </c>
      <c r="C749" s="357">
        <f t="shared" si="226"/>
        <v>60</v>
      </c>
      <c r="D749" s="357">
        <f t="shared" si="227"/>
        <v>6</v>
      </c>
      <c r="E749" s="357">
        <f t="shared" si="228"/>
        <v>89</v>
      </c>
      <c r="F749" s="356">
        <f t="shared" si="220"/>
        <v>3005051.2861490855</v>
      </c>
      <c r="H749" s="356">
        <f t="shared" si="216"/>
        <v>23962.70095181068</v>
      </c>
      <c r="I749" s="356">
        <v>0</v>
      </c>
      <c r="J749" s="360">
        <f>-SUM(F749:H749)*$J$21</f>
        <v>-27261.125883908066</v>
      </c>
      <c r="K749" s="356">
        <f t="shared" si="221"/>
        <v>-3001.752861216988</v>
      </c>
      <c r="L749" s="356">
        <f t="shared" si="217"/>
        <v>2998751.108355771</v>
      </c>
      <c r="N749" s="356">
        <f t="shared" si="222"/>
        <v>726</v>
      </c>
      <c r="O749" s="357">
        <f t="shared" si="229"/>
        <v>60</v>
      </c>
      <c r="P749" s="357">
        <f t="shared" si="230"/>
        <v>6</v>
      </c>
      <c r="Q749" s="357">
        <f t="shared" si="231"/>
        <v>60</v>
      </c>
      <c r="R749" s="356">
        <f t="shared" si="223"/>
        <v>191538382.72210386</v>
      </c>
      <c r="S749" s="356">
        <f>IF($G$4="mensual",S748,0)</f>
        <v>10000</v>
      </c>
      <c r="U749" s="356">
        <f t="shared" si="232"/>
        <v>1527433.7027554596</v>
      </c>
      <c r="V749" s="359">
        <f t="shared" si="215"/>
        <v>-801.5956084936277</v>
      </c>
      <c r="X749" s="359">
        <f t="shared" si="233"/>
        <v>-193075.8164248593</v>
      </c>
      <c r="Y749" s="356">
        <f t="shared" si="218"/>
        <v>192881939.01282597</v>
      </c>
      <c r="AA749" s="357">
        <f>+Bono!J749</f>
        <v>1169658.821780427</v>
      </c>
      <c r="AC749" s="378">
        <f t="shared" si="224"/>
        <v>60.5</v>
      </c>
      <c r="AD749" s="356">
        <f t="shared" si="225"/>
        <v>197050348.94296214</v>
      </c>
    </row>
    <row r="750" spans="2:30" x14ac:dyDescent="0.25">
      <c r="B750" s="356">
        <f t="shared" si="219"/>
        <v>727</v>
      </c>
      <c r="C750" s="357">
        <f t="shared" si="226"/>
        <v>60</v>
      </c>
      <c r="D750" s="357">
        <f t="shared" si="227"/>
        <v>7</v>
      </c>
      <c r="E750" s="357">
        <f t="shared" si="228"/>
        <v>89</v>
      </c>
      <c r="F750" s="356">
        <f t="shared" si="220"/>
        <v>2998751.108355771</v>
      </c>
      <c r="H750" s="356">
        <f t="shared" si="216"/>
        <v>23912.462449359726</v>
      </c>
      <c r="I750" s="356">
        <v>0</v>
      </c>
      <c r="J750" s="356">
        <v>0</v>
      </c>
      <c r="K750" s="356">
        <f t="shared" si="221"/>
        <v>-3022.663570805131</v>
      </c>
      <c r="L750" s="356">
        <f t="shared" si="217"/>
        <v>3019640.9072343255</v>
      </c>
      <c r="N750" s="356">
        <f t="shared" si="222"/>
        <v>727</v>
      </c>
      <c r="O750" s="357">
        <f t="shared" si="229"/>
        <v>60</v>
      </c>
      <c r="P750" s="357">
        <f t="shared" si="230"/>
        <v>7</v>
      </c>
      <c r="Q750" s="357">
        <f t="shared" si="231"/>
        <v>60</v>
      </c>
      <c r="R750" s="356">
        <f t="shared" si="223"/>
        <v>192881939.01282597</v>
      </c>
      <c r="S750" s="356">
        <f>+IF($G$4="mensual",S744,IF($G$4="trimestral",S744,IF($G$4="semestral",S744,0)))</f>
        <v>10000</v>
      </c>
      <c r="U750" s="356">
        <f t="shared" si="232"/>
        <v>1538147.4092918148</v>
      </c>
      <c r="V750" s="359">
        <f t="shared" si="215"/>
        <v>-801.5956084936277</v>
      </c>
      <c r="X750" s="359">
        <f t="shared" si="233"/>
        <v>-194430.08642211778</v>
      </c>
      <c r="Y750" s="356">
        <f t="shared" si="218"/>
        <v>194234854.74008715</v>
      </c>
      <c r="AA750" s="357">
        <f>+Bono!J750</f>
        <v>1176910.8421474914</v>
      </c>
      <c r="AC750" s="378">
        <f t="shared" si="224"/>
        <v>60.583333333333336</v>
      </c>
      <c r="AD750" s="356">
        <f t="shared" si="225"/>
        <v>198431406.48946896</v>
      </c>
    </row>
    <row r="751" spans="2:30" x14ac:dyDescent="0.25">
      <c r="B751" s="356">
        <f t="shared" si="219"/>
        <v>728</v>
      </c>
      <c r="C751" s="357">
        <f t="shared" si="226"/>
        <v>60</v>
      </c>
      <c r="D751" s="357">
        <f t="shared" si="227"/>
        <v>8</v>
      </c>
      <c r="E751" s="357">
        <f t="shared" si="228"/>
        <v>89</v>
      </c>
      <c r="F751" s="356">
        <f t="shared" si="220"/>
        <v>3019640.9072343255</v>
      </c>
      <c r="H751" s="356">
        <f t="shared" si="216"/>
        <v>24079.040639148876</v>
      </c>
      <c r="I751" s="356">
        <v>0</v>
      </c>
      <c r="J751" s="356">
        <v>0</v>
      </c>
      <c r="K751" s="356">
        <f t="shared" si="221"/>
        <v>-3043.7199478734747</v>
      </c>
      <c r="L751" s="356">
        <f t="shared" si="217"/>
        <v>3040676.227925601</v>
      </c>
      <c r="N751" s="356">
        <f t="shared" si="222"/>
        <v>728</v>
      </c>
      <c r="O751" s="357">
        <f t="shared" si="229"/>
        <v>60</v>
      </c>
      <c r="P751" s="357">
        <f t="shared" si="230"/>
        <v>8</v>
      </c>
      <c r="Q751" s="357">
        <f t="shared" si="231"/>
        <v>60</v>
      </c>
      <c r="R751" s="356">
        <f t="shared" si="223"/>
        <v>194234854.74008715</v>
      </c>
      <c r="S751" s="356">
        <f>IF($G$4="mensual",S750,0)</f>
        <v>10000</v>
      </c>
      <c r="U751" s="356">
        <f t="shared" si="232"/>
        <v>1548935.749289468</v>
      </c>
      <c r="V751" s="359">
        <f t="shared" si="215"/>
        <v>-801.5956084936277</v>
      </c>
      <c r="X751" s="359">
        <f t="shared" si="233"/>
        <v>-195793.7904893766</v>
      </c>
      <c r="Y751" s="356">
        <f t="shared" si="218"/>
        <v>195597195.10327873</v>
      </c>
      <c r="AA751" s="357">
        <f>+Bono!J751</f>
        <v>1184207.8258820141</v>
      </c>
      <c r="AC751" s="378">
        <f t="shared" si="224"/>
        <v>60.666666666666664</v>
      </c>
      <c r="AD751" s="356">
        <f t="shared" si="225"/>
        <v>199822079.15708634</v>
      </c>
    </row>
    <row r="752" spans="2:30" x14ac:dyDescent="0.25">
      <c r="B752" s="356">
        <f t="shared" si="219"/>
        <v>729</v>
      </c>
      <c r="C752" s="357">
        <f t="shared" si="226"/>
        <v>60</v>
      </c>
      <c r="D752" s="357">
        <f t="shared" si="227"/>
        <v>9</v>
      </c>
      <c r="E752" s="357">
        <f t="shared" si="228"/>
        <v>89</v>
      </c>
      <c r="F752" s="356">
        <f t="shared" si="220"/>
        <v>3040676.227925601</v>
      </c>
      <c r="H752" s="356">
        <f t="shared" si="216"/>
        <v>24246.779240308133</v>
      </c>
      <c r="I752" s="356">
        <v>0</v>
      </c>
      <c r="J752" s="360">
        <f>-SUM(F752:H752)*$J$21</f>
        <v>-27584.307064493187</v>
      </c>
      <c r="K752" s="356">
        <f t="shared" si="221"/>
        <v>-3037.338700101416</v>
      </c>
      <c r="L752" s="356">
        <f t="shared" si="217"/>
        <v>3034301.361401315</v>
      </c>
      <c r="N752" s="356">
        <f t="shared" si="222"/>
        <v>729</v>
      </c>
      <c r="O752" s="357">
        <f t="shared" si="229"/>
        <v>60</v>
      </c>
      <c r="P752" s="357">
        <f t="shared" si="230"/>
        <v>9</v>
      </c>
      <c r="Q752" s="357">
        <f t="shared" si="231"/>
        <v>60</v>
      </c>
      <c r="R752" s="356">
        <f t="shared" si="223"/>
        <v>195597195.10327873</v>
      </c>
      <c r="S752" s="356">
        <f>IF($G$4="mensual",S751,0)</f>
        <v>10000</v>
      </c>
      <c r="U752" s="356">
        <f t="shared" si="232"/>
        <v>1559799.2426575213</v>
      </c>
      <c r="V752" s="359">
        <f t="shared" si="215"/>
        <v>-801.5956084936277</v>
      </c>
      <c r="X752" s="359">
        <f t="shared" si="233"/>
        <v>-197166.99434593625</v>
      </c>
      <c r="Y752" s="356">
        <f t="shared" si="218"/>
        <v>196969025.7559818</v>
      </c>
      <c r="AA752" s="357">
        <f>+Bono!J752</f>
        <v>1180815.3666110788</v>
      </c>
      <c r="AC752" s="378">
        <f t="shared" si="224"/>
        <v>60.75</v>
      </c>
      <c r="AD752" s="356">
        <f t="shared" si="225"/>
        <v>201184142.48399422</v>
      </c>
    </row>
    <row r="753" spans="2:30" x14ac:dyDescent="0.25">
      <c r="B753" s="356">
        <f t="shared" si="219"/>
        <v>730</v>
      </c>
      <c r="C753" s="357">
        <f t="shared" si="226"/>
        <v>60</v>
      </c>
      <c r="D753" s="357">
        <f t="shared" si="227"/>
        <v>10</v>
      </c>
      <c r="E753" s="357">
        <f t="shared" si="228"/>
        <v>89</v>
      </c>
      <c r="F753" s="356">
        <f t="shared" si="220"/>
        <v>3034301.361401315</v>
      </c>
      <c r="H753" s="356">
        <f t="shared" si="216"/>
        <v>24195.945159427956</v>
      </c>
      <c r="I753" s="356">
        <v>0</v>
      </c>
      <c r="J753" s="356">
        <v>0</v>
      </c>
      <c r="K753" s="356">
        <f t="shared" si="221"/>
        <v>-3058.497306560743</v>
      </c>
      <c r="L753" s="356">
        <f t="shared" si="217"/>
        <v>3055438.809254182</v>
      </c>
      <c r="N753" s="356">
        <f t="shared" si="222"/>
        <v>730</v>
      </c>
      <c r="O753" s="357">
        <f t="shared" si="229"/>
        <v>60</v>
      </c>
      <c r="P753" s="357">
        <f t="shared" si="230"/>
        <v>10</v>
      </c>
      <c r="Q753" s="357">
        <f t="shared" si="231"/>
        <v>60</v>
      </c>
      <c r="R753" s="356">
        <f t="shared" si="223"/>
        <v>196969025.7559818</v>
      </c>
      <c r="S753" s="356">
        <f>IF($G$4="mensual",S744,IF($G$4="trimestral",S744,0))</f>
        <v>10000</v>
      </c>
      <c r="U753" s="356">
        <f t="shared" si="232"/>
        <v>1570738.4129268504</v>
      </c>
      <c r="V753" s="359">
        <f>V752</f>
        <v>-801.5956084936277</v>
      </c>
      <c r="X753" s="359">
        <f t="shared" si="233"/>
        <v>-198549.76416890867</v>
      </c>
      <c r="Y753" s="356">
        <f t="shared" si="218"/>
        <v>198350412.80913123</v>
      </c>
      <c r="AA753" s="357">
        <f>+Bono!J753</f>
        <v>1188136.5588501724</v>
      </c>
      <c r="AC753" s="378">
        <f t="shared" si="224"/>
        <v>60.833333333333336</v>
      </c>
      <c r="AD753" s="356">
        <f t="shared" si="225"/>
        <v>202593988.17723557</v>
      </c>
    </row>
    <row r="754" spans="2:30" x14ac:dyDescent="0.25">
      <c r="B754" s="356">
        <f t="shared" si="219"/>
        <v>731</v>
      </c>
      <c r="C754" s="357">
        <f t="shared" si="226"/>
        <v>60</v>
      </c>
      <c r="D754" s="357">
        <f t="shared" si="227"/>
        <v>11</v>
      </c>
      <c r="E754" s="357">
        <f t="shared" si="228"/>
        <v>89</v>
      </c>
      <c r="F754" s="356">
        <f t="shared" si="220"/>
        <v>3055438.809254182</v>
      </c>
      <c r="H754" s="356">
        <f t="shared" si="216"/>
        <v>24364.49813691535</v>
      </c>
      <c r="I754" s="356">
        <v>0</v>
      </c>
      <c r="J754" s="356">
        <v>0</v>
      </c>
      <c r="K754" s="356">
        <f t="shared" si="221"/>
        <v>-3079.8033073910974</v>
      </c>
      <c r="L754" s="356">
        <f t="shared" si="217"/>
        <v>3076723.504083706</v>
      </c>
      <c r="N754" s="356">
        <f t="shared" si="222"/>
        <v>731</v>
      </c>
      <c r="O754" s="357">
        <f t="shared" si="229"/>
        <v>60</v>
      </c>
      <c r="P754" s="357">
        <f t="shared" si="230"/>
        <v>11</v>
      </c>
      <c r="Q754" s="357">
        <f t="shared" si="231"/>
        <v>60</v>
      </c>
      <c r="R754" s="356">
        <f t="shared" si="223"/>
        <v>198350412.80913123</v>
      </c>
      <c r="S754" s="356">
        <f>IF($G$17="si",S742*(1+$G$20),S742)</f>
        <v>10000</v>
      </c>
      <c r="U754" s="356">
        <f t="shared" si="232"/>
        <v>1581753.7872753334</v>
      </c>
      <c r="V754" s="359">
        <f>V753</f>
        <v>-801.5956084936277</v>
      </c>
      <c r="X754" s="359">
        <f t="shared" si="233"/>
        <v>-199942.16659640658</v>
      </c>
      <c r="Y754" s="356">
        <f t="shared" si="218"/>
        <v>199741422.83420166</v>
      </c>
      <c r="AA754" s="357">
        <f>+Bono!J754</f>
        <v>1195503.143330354</v>
      </c>
      <c r="AC754" s="378">
        <f t="shared" si="224"/>
        <v>60.916666666666664</v>
      </c>
      <c r="AD754" s="356">
        <f t="shared" si="225"/>
        <v>204013649.48161572</v>
      </c>
    </row>
    <row r="755" spans="2:30" x14ac:dyDescent="0.25">
      <c r="B755" s="356">
        <f t="shared" si="219"/>
        <v>732</v>
      </c>
      <c r="C755" s="357">
        <f t="shared" si="226"/>
        <v>60</v>
      </c>
      <c r="D755" s="357">
        <f t="shared" si="227"/>
        <v>12</v>
      </c>
      <c r="E755" s="357">
        <f t="shared" si="228"/>
        <v>89</v>
      </c>
      <c r="F755" s="356">
        <f t="shared" si="220"/>
        <v>3076723.504083706</v>
      </c>
      <c r="H755" s="356">
        <f t="shared" si="216"/>
        <v>24534.225282472336</v>
      </c>
      <c r="I755" s="356">
        <v>0</v>
      </c>
      <c r="J755" s="360">
        <f>-SUM(F755:H755)*$J$21</f>
        <v>-27911.319564295613</v>
      </c>
      <c r="K755" s="356">
        <f t="shared" si="221"/>
        <v>-3073.346409801883</v>
      </c>
      <c r="L755" s="356">
        <f t="shared" si="217"/>
        <v>3070273.0633920813</v>
      </c>
      <c r="N755" s="356">
        <f t="shared" si="222"/>
        <v>732</v>
      </c>
      <c r="O755" s="357">
        <f t="shared" si="229"/>
        <v>60</v>
      </c>
      <c r="P755" s="357">
        <f t="shared" si="230"/>
        <v>12</v>
      </c>
      <c r="Q755" s="357">
        <f t="shared" si="231"/>
        <v>60</v>
      </c>
      <c r="R755" s="356">
        <f t="shared" si="223"/>
        <v>199741422.83420166</v>
      </c>
      <c r="S755" s="356">
        <f>IF($G$4="mensual",S754,0)</f>
        <v>10000</v>
      </c>
      <c r="U755" s="356">
        <f t="shared" si="232"/>
        <v>1592845.896553258</v>
      </c>
      <c r="V755" s="359">
        <f>V754</f>
        <v>-801.5956084936277</v>
      </c>
      <c r="X755" s="359">
        <f t="shared" si="233"/>
        <v>-201344.2687307549</v>
      </c>
      <c r="Y755" s="356">
        <f t="shared" si="218"/>
        <v>201142122.86641565</v>
      </c>
      <c r="AA755" s="357">
        <f>+Bono!J755</f>
        <v>1192078.3257996957</v>
      </c>
      <c r="AC755" s="378">
        <f t="shared" si="224"/>
        <v>61</v>
      </c>
      <c r="AD755" s="356">
        <f t="shared" si="225"/>
        <v>205404474.25560743</v>
      </c>
    </row>
  </sheetData>
  <sheetProtection sheet="1" selectLockedCells="1" objects="1" scenarios="1"/>
  <mergeCells count="4">
    <mergeCell ref="C22:L22"/>
    <mergeCell ref="O22:Y22"/>
    <mergeCell ref="AK32:AZ41"/>
    <mergeCell ref="AK42:BA46"/>
  </mergeCells>
  <pageMargins left="0.75" right="0.75" top="1" bottom="1" header="0" footer="0"/>
  <pageSetup orientation="portrait" horizontalDpi="4294967295" verticalDpi="4294967295" scale="100" fitToWidth="1" fitToHeight="1" firstPageNumber="1" useFirstPageNumber="1" copies="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55"/>
  <sheetViews>
    <sheetView workbookViewId="0" zoomScale="100" zoomScaleNormal="100">
      <selection activeCell="H21" sqref="H21"/>
    </sheetView>
  </sheetViews>
  <sheetFormatPr defaultRowHeight="11.25" outlineLevelRow="0" outlineLevelCol="0" x14ac:dyDescent="0" customHeight="1"/>
  <cols>
    <col min="1" max="1" width="11.42578125" style="356" customWidth="1"/>
    <col min="2" max="4" width="7" style="357" customWidth="1"/>
    <col min="5" max="8" width="11.42578125" style="356" customWidth="1"/>
    <col min="9" max="9" width="15" style="356" customWidth="1"/>
    <col min="10" max="12" width="11.42578125" style="356" customWidth="1"/>
    <col min="13" max="13" width="9.140625" style="356" customWidth="1"/>
    <col min="14" max="14" width="11.42578125" style="358" customWidth="1"/>
    <col min="15" max="20" width="11.42578125" style="356" customWidth="1"/>
    <col min="21" max="21" width="20.28515625" style="356" customWidth="1"/>
    <col min="22" max="16384" width="11.42578125" style="356" customWidth="1"/>
  </cols>
  <sheetData>
    <row r="1" spans="1:10" s="356" customFormat="1" x14ac:dyDescent="0.25">
      <c r="A1" s="360"/>
      <c r="B1" s="361"/>
      <c r="C1" s="361"/>
      <c r="D1" s="361"/>
      <c r="E1" s="360"/>
      <c r="F1" s="360"/>
      <c r="G1" s="360"/>
      <c r="H1" s="360"/>
      <c r="I1" s="360"/>
      <c r="J1" s="360"/>
    </row>
    <row r="2" spans="1:10" s="356" customFormat="1" x14ac:dyDescent="0.25">
      <c r="A2" s="360"/>
      <c r="B2" s="361"/>
      <c r="C2" s="361"/>
      <c r="D2" s="361"/>
      <c r="E2" s="360" t="s">
        <v>23</v>
      </c>
      <c r="F2" s="362">
        <f>+'OptiMaxx plus'!T7</f>
        <v>29</v>
      </c>
      <c r="G2" s="360"/>
      <c r="H2" s="360" t="s">
        <v>56</v>
      </c>
      <c r="I2" s="391">
        <f>+'OptiMaxx plus'!D12</f>
        <v>10000</v>
      </c>
      <c r="J2" s="360"/>
    </row>
    <row r="3" spans="1:10" s="356" customFormat="1" x14ac:dyDescent="0.25">
      <c r="A3" s="360"/>
      <c r="B3" s="361"/>
      <c r="C3" s="361"/>
      <c r="D3" s="361"/>
      <c r="E3" s="360" t="s">
        <v>26</v>
      </c>
      <c r="F3" s="362">
        <f>+'OptiMaxx plus'!D12</f>
        <v>10000</v>
      </c>
      <c r="G3" s="360"/>
      <c r="H3" s="360"/>
      <c r="I3" s="365"/>
      <c r="J3" s="367"/>
    </row>
    <row r="4" spans="1:10" s="356" customFormat="1" x14ac:dyDescent="0.25">
      <c r="A4" s="360"/>
      <c r="B4" s="361"/>
      <c r="C4" s="361"/>
      <c r="D4" s="361"/>
      <c r="E4" s="360" t="s">
        <v>3</v>
      </c>
      <c r="F4" s="362" t="str">
        <f>+'OptiMaxx plus'!K12</f>
        <v>Mensual</v>
      </c>
      <c r="G4" s="360"/>
      <c r="H4" s="360"/>
      <c r="I4" s="365"/>
      <c r="J4" s="367"/>
    </row>
    <row r="5" spans="1:20" s="356" customFormat="1" x14ac:dyDescent="0.25">
      <c r="A5" s="360"/>
      <c r="B5" s="361"/>
      <c r="C5" s="361"/>
      <c r="D5" s="361"/>
      <c r="E5" s="360" t="s">
        <v>2</v>
      </c>
      <c r="F5" s="362">
        <f>+'OptiMaxx plus'!D15</f>
        <v>25</v>
      </c>
      <c r="G5" s="360"/>
      <c r="H5" s="360"/>
      <c r="I5" s="365"/>
      <c r="J5" s="367"/>
      <c r="S5" s="381" t="s">
        <v>120</v>
      </c>
      <c r="T5" s="381">
        <v>12</v>
      </c>
    </row>
    <row r="6" spans="1:20" s="356" customFormat="1" x14ac:dyDescent="0.25">
      <c r="A6" s="360"/>
      <c r="B6" s="361"/>
      <c r="C6" s="361"/>
      <c r="D6" s="361"/>
      <c r="E6" s="360" t="s">
        <v>77</v>
      </c>
      <c r="F6" s="362"/>
      <c r="G6" s="360"/>
      <c r="H6" s="360"/>
      <c r="I6" s="365"/>
      <c r="J6" s="367"/>
      <c r="S6" s="381" t="s">
        <v>121</v>
      </c>
      <c r="T6" s="381">
        <v>4</v>
      </c>
    </row>
    <row r="7" spans="1:20" s="356" customFormat="1" x14ac:dyDescent="0.25">
      <c r="A7" s="360"/>
      <c r="B7" s="361"/>
      <c r="C7" s="361"/>
      <c r="D7" s="361"/>
      <c r="E7" s="360" t="s">
        <v>83</v>
      </c>
      <c r="F7" s="368">
        <v>0.09</v>
      </c>
      <c r="G7" s="360"/>
      <c r="H7" s="360"/>
      <c r="I7" s="365"/>
      <c r="J7" s="367"/>
      <c r="S7" s="381" t="s">
        <v>122</v>
      </c>
      <c r="T7" s="381">
        <v>2</v>
      </c>
    </row>
    <row r="8" spans="1:20" s="356" customFormat="1" x14ac:dyDescent="0.25">
      <c r="A8" s="360"/>
      <c r="B8" s="361"/>
      <c r="C8" s="361"/>
      <c r="D8" s="361"/>
      <c r="E8" s="360" t="s">
        <v>85</v>
      </c>
      <c r="F8" s="368">
        <f>(1+F7)^(0.0833333333333333)-1</f>
        <v>0.007207323316136716</v>
      </c>
      <c r="G8" s="360"/>
      <c r="H8" s="360"/>
      <c r="I8" s="365"/>
      <c r="J8" s="367"/>
      <c r="S8" s="381" t="s">
        <v>123</v>
      </c>
      <c r="T8" s="381">
        <v>1</v>
      </c>
    </row>
    <row r="9" spans="1:10" s="356" customFormat="1" x14ac:dyDescent="0.25">
      <c r="A9" s="360"/>
      <c r="B9" s="361"/>
      <c r="C9" s="361"/>
      <c r="D9" s="361"/>
      <c r="E9" s="360" t="s">
        <v>87</v>
      </c>
      <c r="F9" s="369">
        <f>+T26</f>
        <v>1</v>
      </c>
      <c r="G9" s="360"/>
      <c r="H9" s="360"/>
      <c r="I9" s="365"/>
      <c r="J9" s="367"/>
    </row>
    <row r="10" spans="1:10" s="356" customFormat="1" x14ac:dyDescent="0.25">
      <c r="A10" s="360"/>
      <c r="B10" s="361"/>
      <c r="C10" s="361"/>
      <c r="D10" s="361"/>
      <c r="E10" s="360"/>
      <c r="F10" s="369"/>
      <c r="G10" s="360"/>
      <c r="H10" s="360"/>
      <c r="I10" s="365"/>
      <c r="J10" s="367"/>
    </row>
    <row r="11" spans="1:10" s="356" customFormat="1" x14ac:dyDescent="0.25">
      <c r="A11" s="360"/>
      <c r="B11" s="361"/>
      <c r="C11" s="361"/>
      <c r="D11" s="361"/>
      <c r="E11" s="360"/>
      <c r="F11" s="369"/>
      <c r="G11" s="360"/>
      <c r="H11" s="360"/>
      <c r="I11" s="365"/>
      <c r="J11" s="367"/>
    </row>
    <row r="12" spans="1:10" s="356" customFormat="1" x14ac:dyDescent="0.25">
      <c r="A12" s="360"/>
      <c r="B12" s="361"/>
      <c r="C12" s="361"/>
      <c r="D12" s="361"/>
      <c r="E12" s="360"/>
      <c r="F12" s="369"/>
      <c r="G12" s="360"/>
      <c r="H12" s="360"/>
      <c r="I12" s="365"/>
      <c r="J12" s="367"/>
    </row>
    <row r="13" spans="1:10" s="356" customFormat="1" x14ac:dyDescent="0.25">
      <c r="A13" s="360"/>
      <c r="B13" s="361"/>
      <c r="C13" s="361"/>
      <c r="D13" s="361"/>
      <c r="E13" s="360"/>
      <c r="F13" s="369"/>
      <c r="G13" s="360"/>
      <c r="H13" s="360"/>
      <c r="I13" s="365"/>
      <c r="J13" s="367"/>
    </row>
    <row r="14" spans="1:10" s="356" customFormat="1" x14ac:dyDescent="0.25">
      <c r="A14" s="360"/>
      <c r="B14" s="361"/>
      <c r="C14" s="361"/>
      <c r="D14" s="361"/>
      <c r="E14" s="360"/>
      <c r="F14" s="369"/>
      <c r="G14" s="360"/>
      <c r="H14" s="360"/>
      <c r="I14" s="365"/>
      <c r="J14" s="367"/>
    </row>
    <row r="15" spans="1:10" s="356" customFormat="1" x14ac:dyDescent="0.25">
      <c r="A15" s="360"/>
      <c r="B15" s="361"/>
      <c r="C15" s="361"/>
      <c r="D15" s="361"/>
      <c r="E15" s="360"/>
      <c r="F15" s="369"/>
      <c r="G15" s="360"/>
      <c r="H15" s="360"/>
      <c r="I15" s="365"/>
      <c r="J15" s="367"/>
    </row>
    <row r="16" spans="1:10" s="356" customFormat="1" x14ac:dyDescent="0.25">
      <c r="A16" s="360"/>
      <c r="B16" s="361"/>
      <c r="C16" s="361"/>
      <c r="D16" s="361"/>
      <c r="E16" s="360"/>
      <c r="F16" s="369"/>
      <c r="G16" s="360"/>
      <c r="H16" s="360"/>
      <c r="I16" s="365"/>
      <c r="J16" s="367"/>
    </row>
    <row r="17" spans="1:10" s="356" customFormat="1" x14ac:dyDescent="0.25">
      <c r="A17" s="360"/>
      <c r="B17" s="361"/>
      <c r="C17" s="361"/>
      <c r="D17" s="361"/>
      <c r="E17" s="360" t="s">
        <v>92</v>
      </c>
      <c r="F17" s="362">
        <f>+'OptiMaxx plus'!J15</f>
        <v>0</v>
      </c>
      <c r="G17" s="360"/>
      <c r="H17" s="360"/>
      <c r="I17" s="365"/>
      <c r="J17" s="367"/>
    </row>
    <row r="18" spans="1:10" s="356" customFormat="1" x14ac:dyDescent="0.25">
      <c r="A18" s="360"/>
      <c r="B18" s="361"/>
      <c r="C18" s="361"/>
      <c r="D18" s="361"/>
      <c r="E18" s="360" t="s">
        <v>94</v>
      </c>
      <c r="F18" s="369">
        <v>0.04</v>
      </c>
      <c r="G18" s="360"/>
      <c r="H18" s="360"/>
      <c r="I18" s="365"/>
      <c r="J18" s="360"/>
    </row>
    <row r="19" spans="1:10" s="356" customFormat="1" x14ac:dyDescent="0.25">
      <c r="A19" s="360"/>
      <c r="B19" s="361"/>
      <c r="C19" s="361"/>
      <c r="D19" s="361"/>
      <c r="E19" s="360" t="s">
        <v>95</v>
      </c>
      <c r="F19" s="370">
        <v>5.08</v>
      </c>
      <c r="G19" s="360"/>
      <c r="H19" s="360"/>
      <c r="I19" s="365"/>
      <c r="J19" s="360"/>
    </row>
    <row r="20" spans="2:10" s="356" customFormat="1" x14ac:dyDescent="0.25">
      <c r="B20" s="357"/>
      <c r="C20" s="357"/>
      <c r="D20" s="357"/>
      <c r="F20" s="392"/>
      <c r="I20" s="358"/>
      <c r="J20" s="393"/>
    </row>
    <row r="21" spans="6:14" x14ac:dyDescent="0.25">
      <c r="F21" s="373"/>
      <c r="H21" s="373">
        <f>3.6%/4</f>
        <v>0.009000000000000001</v>
      </c>
      <c r="N21" s="356"/>
    </row>
    <row r="22" spans="14:14" x14ac:dyDescent="0.25">
      <c r="N22" s="356"/>
    </row>
    <row r="23" ht="36.75" customHeight="1" spans="2:21" x14ac:dyDescent="0.25">
      <c r="B23" s="375" t="s">
        <v>55</v>
      </c>
      <c r="C23" s="375" t="s">
        <v>100</v>
      </c>
      <c r="D23" s="375" t="s">
        <v>23</v>
      </c>
      <c r="E23" s="375" t="s">
        <v>101</v>
      </c>
      <c r="F23" s="375" t="s">
        <v>99</v>
      </c>
      <c r="G23" s="375" t="s">
        <v>102</v>
      </c>
      <c r="H23" s="375" t="s">
        <v>104</v>
      </c>
      <c r="I23" s="375" t="s">
        <v>105</v>
      </c>
      <c r="J23" s="375" t="s">
        <v>106</v>
      </c>
      <c r="N23" s="394" t="s">
        <v>56</v>
      </c>
      <c r="O23" s="394"/>
      <c r="P23" s="394"/>
      <c r="Q23" s="394"/>
      <c r="R23" s="394"/>
      <c r="T23" s="395">
        <f>+I2*VLOOKUP(F4,$S$5:$T$8,2,0)</f>
        <v>120000</v>
      </c>
      <c r="U23" s="395" t="s">
        <v>56</v>
      </c>
    </row>
    <row r="24" ht="12.75" customHeight="1" spans="1:21" x14ac:dyDescent="0.25">
      <c r="A24" s="356">
        <v>1</v>
      </c>
      <c r="B24" s="357">
        <v>0</v>
      </c>
      <c r="C24" s="357">
        <v>1</v>
      </c>
      <c r="D24" s="357">
        <f>F2</f>
        <v>29</v>
      </c>
      <c r="E24" s="356">
        <v>0</v>
      </c>
      <c r="F24" s="356">
        <f>+$F$3*$F$9</f>
        <v>10000</v>
      </c>
      <c r="G24" s="356">
        <f t="shared" ref="G24:G87" si="0">SUM(E24:F24)*$F$8</f>
        <v>72.07323316136716</v>
      </c>
      <c r="H24" s="356">
        <v>0</v>
      </c>
      <c r="I24" s="356">
        <f t="shared" ref="I24:I87" si="1">-SUM(E24:G24)*0.1%</f>
        <v>-10.072073233161367</v>
      </c>
      <c r="J24" s="356">
        <f t="shared" ref="J24:J87" si="2">SUM(E24:I24)</f>
        <v>10062.001159928206</v>
      </c>
      <c r="N24" s="396">
        <v>0</v>
      </c>
      <c r="O24" s="396">
        <v>12000</v>
      </c>
      <c r="P24" s="396">
        <v>36000</v>
      </c>
      <c r="Q24" s="396">
        <v>60000</v>
      </c>
      <c r="R24" s="396">
        <v>90000</v>
      </c>
      <c r="T24" s="395">
        <f>+F5</f>
        <v>25</v>
      </c>
      <c r="U24" s="395" t="s">
        <v>28</v>
      </c>
    </row>
    <row r="25" ht="12.75" customHeight="1" spans="1:21" x14ac:dyDescent="0.25">
      <c r="A25" s="356">
        <f t="shared" ref="A25:A88" si="3">+A24+1</f>
        <v>2</v>
      </c>
      <c r="B25" s="357">
        <v>0</v>
      </c>
      <c r="C25" s="357">
        <v>2</v>
      </c>
      <c r="D25" s="357">
        <f t="shared" ref="D25:D35" si="4">D24</f>
        <v>29</v>
      </c>
      <c r="E25" s="356">
        <f t="shared" ref="E25:E88" si="5">J24</f>
        <v>10062.001159928206</v>
      </c>
      <c r="F25" s="356">
        <f>IF($F$4="mensual",$F$3*$F$9,"")</f>
        <v>10000</v>
      </c>
      <c r="G25" s="356">
        <f t="shared" si="0"/>
        <v>144.5933287283124</v>
      </c>
      <c r="H25" s="356">
        <v>0</v>
      </c>
      <c r="I25" s="356">
        <f t="shared" si="1"/>
        <v>-20.20659448865652</v>
      </c>
      <c r="J25" s="356">
        <f t="shared" si="2"/>
        <v>20186.387894167863</v>
      </c>
      <c r="N25">
        <v>2</v>
      </c>
      <c r="O25">
        <v>3</v>
      </c>
      <c r="P25">
        <v>4</v>
      </c>
      <c r="Q25">
        <v>5</v>
      </c>
      <c r="R25">
        <v>6</v>
      </c>
      <c r="T25" s="395"/>
      <c r="U25" s="395"/>
    </row>
    <row r="26" ht="12.75" customHeight="1" spans="1:21" x14ac:dyDescent="0.25">
      <c r="A26" s="356">
        <f t="shared" si="3"/>
        <v>3</v>
      </c>
      <c r="B26" s="357">
        <v>0</v>
      </c>
      <c r="C26" s="357">
        <v>3</v>
      </c>
      <c r="D26" s="357">
        <f t="shared" si="4"/>
        <v>29</v>
      </c>
      <c r="E26" s="356">
        <f t="shared" si="5"/>
        <v>20186.387894167863</v>
      </c>
      <c r="F26" s="356">
        <f>IF($F$4="mensual",$F$3*$F$9,"")</f>
        <v>10000</v>
      </c>
      <c r="G26" s="356">
        <f t="shared" si="0"/>
        <v>217.56305729958314</v>
      </c>
      <c r="H26" s="360">
        <f>-SUM(E26:G26)*$H$21</f>
        <v>-273.63555856320704</v>
      </c>
      <c r="I26" s="356">
        <f t="shared" si="1"/>
        <v>-30.403950951467447</v>
      </c>
      <c r="J26" s="356">
        <f t="shared" si="2"/>
        <v>30099.911441952772</v>
      </c>
      <c r="L26" s="397" t="s">
        <v>2</v>
      </c>
      <c r="M26" s="398">
        <v>5</v>
      </c>
      <c r="N26" s="399">
        <v>0</v>
      </c>
      <c r="O26" s="399">
        <v>0</v>
      </c>
      <c r="P26" s="399">
        <v>0</v>
      </c>
      <c r="Q26" s="399">
        <v>0</v>
      </c>
      <c r="R26" s="399">
        <v>0</v>
      </c>
      <c r="T26" s="400">
        <f>VLOOKUP(T24,M26:R46,HLOOKUP(T23,N24:R25,2))</f>
        <v>1</v>
      </c>
      <c r="U26" s="395" t="s">
        <v>124</v>
      </c>
    </row>
    <row r="27" ht="12.75" customHeight="1" spans="1:18" x14ac:dyDescent="0.25">
      <c r="A27" s="356">
        <f t="shared" si="3"/>
        <v>4</v>
      </c>
      <c r="B27" s="357">
        <v>0</v>
      </c>
      <c r="C27" s="357">
        <v>4</v>
      </c>
      <c r="D27" s="357">
        <f t="shared" si="4"/>
        <v>29</v>
      </c>
      <c r="E27" s="356">
        <f t="shared" si="5"/>
        <v>30099.911441952772</v>
      </c>
      <c r="F27" s="356">
        <f>IF(OR($F$4="mensual",$F$4="trimestral"),$F$3*$F$9,"")</f>
        <v>10000</v>
      </c>
      <c r="G27" s="356">
        <f t="shared" si="0"/>
        <v>289.0130267106037</v>
      </c>
      <c r="H27" s="356">
        <v>0</v>
      </c>
      <c r="I27" s="356">
        <f t="shared" si="1"/>
        <v>-40.38892446866338</v>
      </c>
      <c r="J27" s="356">
        <f t="shared" si="2"/>
        <v>40348.53554419472</v>
      </c>
      <c r="L27" s="401"/>
      <c r="M27" s="398">
        <v>6</v>
      </c>
      <c r="N27" s="399">
        <v>0</v>
      </c>
      <c r="O27" s="399">
        <v>0</v>
      </c>
      <c r="P27" s="399">
        <v>0</v>
      </c>
      <c r="Q27" s="399">
        <v>0</v>
      </c>
      <c r="R27" s="399">
        <v>0</v>
      </c>
    </row>
    <row r="28" ht="12.75" customHeight="1" spans="1:18" x14ac:dyDescent="0.25">
      <c r="A28" s="356">
        <f t="shared" si="3"/>
        <v>5</v>
      </c>
      <c r="B28" s="357">
        <v>0</v>
      </c>
      <c r="C28" s="357">
        <v>5</v>
      </c>
      <c r="D28" s="357">
        <f t="shared" si="4"/>
        <v>29</v>
      </c>
      <c r="E28" s="356">
        <f t="shared" si="5"/>
        <v>40348.53554419472</v>
      </c>
      <c r="F28" s="356">
        <f>IF($F$4="mensual",$F$3*$F$9,"")</f>
        <v>10000</v>
      </c>
      <c r="G28" s="356">
        <f t="shared" si="0"/>
        <v>362.8781741610128</v>
      </c>
      <c r="H28" s="356">
        <v>0</v>
      </c>
      <c r="I28" s="356">
        <f t="shared" si="1"/>
        <v>-50.711413718355736</v>
      </c>
      <c r="J28" s="356">
        <f t="shared" si="2"/>
        <v>50660.70230463738</v>
      </c>
      <c r="L28" s="401"/>
      <c r="M28" s="398">
        <v>7</v>
      </c>
      <c r="N28" s="399">
        <v>0</v>
      </c>
      <c r="O28" s="399">
        <v>0</v>
      </c>
      <c r="P28" s="399">
        <v>0</v>
      </c>
      <c r="Q28" s="399">
        <v>0</v>
      </c>
      <c r="R28" s="399">
        <v>0</v>
      </c>
    </row>
    <row r="29" ht="12.75" customHeight="1" spans="1:18" x14ac:dyDescent="0.25">
      <c r="A29" s="356">
        <f t="shared" si="3"/>
        <v>6</v>
      </c>
      <c r="B29" s="357">
        <v>0</v>
      </c>
      <c r="C29" s="357">
        <v>6</v>
      </c>
      <c r="D29" s="357">
        <f t="shared" si="4"/>
        <v>29</v>
      </c>
      <c r="E29" s="356">
        <f t="shared" si="5"/>
        <v>50660.70230463738</v>
      </c>
      <c r="F29" s="356">
        <f>IF($F$4="mensual",$F$3*$F$9,"")</f>
        <v>10000</v>
      </c>
      <c r="G29" s="356">
        <f t="shared" si="0"/>
        <v>437.20129409344116</v>
      </c>
      <c r="H29" s="360">
        <f>-SUM(E29:G29)*$H$21</f>
        <v>-549.8811323885775</v>
      </c>
      <c r="I29" s="356">
        <f t="shared" si="1"/>
        <v>-61.097903598730824</v>
      </c>
      <c r="J29" s="356">
        <f t="shared" si="2"/>
        <v>60486.924562743516</v>
      </c>
      <c r="L29" s="401"/>
      <c r="M29" s="398">
        <v>8</v>
      </c>
      <c r="N29" s="399">
        <v>0</v>
      </c>
      <c r="O29" s="399">
        <v>0</v>
      </c>
      <c r="P29" s="399">
        <v>0</v>
      </c>
      <c r="Q29" s="399">
        <v>0</v>
      </c>
      <c r="R29" s="399">
        <v>0</v>
      </c>
    </row>
    <row r="30" ht="12.75" customHeight="1" spans="1:18" x14ac:dyDescent="0.25">
      <c r="A30" s="356">
        <f t="shared" si="3"/>
        <v>7</v>
      </c>
      <c r="B30" s="357">
        <v>0</v>
      </c>
      <c r="C30" s="357">
        <v>7</v>
      </c>
      <c r="D30" s="357">
        <f t="shared" si="4"/>
        <v>29</v>
      </c>
      <c r="E30" s="356">
        <f t="shared" si="5"/>
        <v>60486.924562743516</v>
      </c>
      <c r="F30" s="356">
        <f>IF(OR($F$4="mensual",$F$4="trimestral",$F$4="semestral"),$F$3*$F$9,"")</f>
        <v>10000</v>
      </c>
      <c r="G30" s="356">
        <f t="shared" si="0"/>
        <v>508.0220548838311</v>
      </c>
      <c r="H30" s="356">
        <v>0</v>
      </c>
      <c r="I30" s="356">
        <f t="shared" si="1"/>
        <v>-70.99494661762735</v>
      </c>
      <c r="J30" s="356">
        <f t="shared" si="2"/>
        <v>70923.95167100971</v>
      </c>
      <c r="L30" s="401"/>
      <c r="M30" s="398">
        <v>9</v>
      </c>
      <c r="N30" s="399">
        <v>0</v>
      </c>
      <c r="O30" s="399">
        <v>0</v>
      </c>
      <c r="P30" s="399">
        <v>0</v>
      </c>
      <c r="Q30" s="399">
        <v>0</v>
      </c>
      <c r="R30" s="399">
        <v>0</v>
      </c>
    </row>
    <row r="31" ht="12.75" customHeight="1" spans="1:18" x14ac:dyDescent="0.25">
      <c r="A31" s="356">
        <f t="shared" si="3"/>
        <v>8</v>
      </c>
      <c r="B31" s="357">
        <v>0</v>
      </c>
      <c r="C31" s="357">
        <v>8</v>
      </c>
      <c r="D31" s="357">
        <f t="shared" si="4"/>
        <v>29</v>
      </c>
      <c r="E31" s="356">
        <f t="shared" si="5"/>
        <v>70923.95167100971</v>
      </c>
      <c r="F31" s="356">
        <f>IF($F$4="mensual",$F$3*$F$9,"")</f>
        <v>10000</v>
      </c>
      <c r="G31" s="356">
        <f t="shared" si="0"/>
        <v>583.245083712389</v>
      </c>
      <c r="H31" s="356">
        <v>0</v>
      </c>
      <c r="I31" s="356">
        <f t="shared" si="1"/>
        <v>-81.5071967547221</v>
      </c>
      <c r="J31" s="356">
        <f t="shared" si="2"/>
        <v>81425.68955796737</v>
      </c>
      <c r="L31" s="401"/>
      <c r="M31" s="398">
        <v>10</v>
      </c>
      <c r="N31" s="399">
        <v>0</v>
      </c>
      <c r="O31" s="399">
        <v>0.05</v>
      </c>
      <c r="P31" s="399">
        <v>0.15</v>
      </c>
      <c r="Q31" s="399">
        <v>0.25</v>
      </c>
      <c r="R31" s="399">
        <v>0.35</v>
      </c>
    </row>
    <row r="32" ht="12.75" customHeight="1" spans="1:18" x14ac:dyDescent="0.25">
      <c r="A32" s="356">
        <f t="shared" si="3"/>
        <v>9</v>
      </c>
      <c r="B32" s="357">
        <v>0</v>
      </c>
      <c r="C32" s="357">
        <v>9</v>
      </c>
      <c r="D32" s="357">
        <f t="shared" si="4"/>
        <v>29</v>
      </c>
      <c r="E32" s="356">
        <f t="shared" si="5"/>
        <v>81425.68955796737</v>
      </c>
      <c r="F32" s="356">
        <f>IF($F$4="mensual",$F$3*$F$9,"")</f>
        <v>10000</v>
      </c>
      <c r="G32" s="356">
        <f t="shared" si="0"/>
        <v>658.9345040450153</v>
      </c>
      <c r="H32" s="360">
        <f>-SUM(E32:G32)*$H$21</f>
        <v>-828.7616165581115</v>
      </c>
      <c r="I32" s="356">
        <f t="shared" si="1"/>
        <v>-92.0846240620124</v>
      </c>
      <c r="J32" s="356">
        <f t="shared" si="2"/>
        <v>91163.77782139226</v>
      </c>
      <c r="L32" s="401"/>
      <c r="M32" s="398">
        <v>11</v>
      </c>
      <c r="N32" s="399">
        <v>0</v>
      </c>
      <c r="O32" s="399">
        <v>0.05</v>
      </c>
      <c r="P32" s="399">
        <v>0.15</v>
      </c>
      <c r="Q32" s="399">
        <v>0.25</v>
      </c>
      <c r="R32" s="399">
        <v>0.35</v>
      </c>
    </row>
    <row r="33" ht="12.75" customHeight="1" spans="1:18" x14ac:dyDescent="0.25">
      <c r="A33" s="356">
        <f t="shared" si="3"/>
        <v>10</v>
      </c>
      <c r="B33" s="357">
        <v>0</v>
      </c>
      <c r="C33" s="357">
        <v>10</v>
      </c>
      <c r="D33" s="357">
        <f t="shared" si="4"/>
        <v>29</v>
      </c>
      <c r="E33" s="356">
        <f t="shared" si="5"/>
        <v>91163.77782139226</v>
      </c>
      <c r="F33" s="356">
        <f>IF(OR($F$4="mensual",$F$4="trimestral"),$F$3*$F$9,"")</f>
        <v>10000</v>
      </c>
      <c r="G33" s="356">
        <f t="shared" si="0"/>
        <v>729.1200546405947</v>
      </c>
      <c r="H33" s="356">
        <v>0</v>
      </c>
      <c r="I33" s="356">
        <f t="shared" si="1"/>
        <v>-101.89289787603285</v>
      </c>
      <c r="J33" s="356">
        <f t="shared" si="2"/>
        <v>101791.00497815681</v>
      </c>
      <c r="L33" s="401"/>
      <c r="M33" s="398">
        <v>12</v>
      </c>
      <c r="N33" s="399">
        <v>0</v>
      </c>
      <c r="O33" s="399">
        <v>0.05</v>
      </c>
      <c r="P33" s="399">
        <v>0.15</v>
      </c>
      <c r="Q33" s="399">
        <v>0.25</v>
      </c>
      <c r="R33" s="399">
        <v>0.35</v>
      </c>
    </row>
    <row r="34" ht="12.75" customHeight="1" spans="1:18" x14ac:dyDescent="0.25">
      <c r="A34" s="356">
        <f t="shared" si="3"/>
        <v>11</v>
      </c>
      <c r="B34" s="357">
        <v>0</v>
      </c>
      <c r="C34" s="357">
        <v>11</v>
      </c>
      <c r="D34" s="357">
        <f t="shared" si="4"/>
        <v>29</v>
      </c>
      <c r="E34" s="356">
        <f t="shared" si="5"/>
        <v>101791.00497815681</v>
      </c>
      <c r="F34" s="356">
        <f>IF($F$4="mensual",$F$3*$F$9,"")</f>
        <v>10000</v>
      </c>
      <c r="G34" s="356">
        <f t="shared" si="0"/>
        <v>805.7139167134252</v>
      </c>
      <c r="H34" s="356">
        <v>0</v>
      </c>
      <c r="I34" s="356">
        <f t="shared" si="1"/>
        <v>-112.59671889487024</v>
      </c>
      <c r="J34" s="356">
        <f t="shared" si="2"/>
        <v>112484.12217597537</v>
      </c>
      <c r="L34" s="401"/>
      <c r="M34" s="398">
        <v>13</v>
      </c>
      <c r="N34" s="399">
        <v>0</v>
      </c>
      <c r="O34" s="399">
        <v>0.05</v>
      </c>
      <c r="P34" s="399">
        <v>0.15</v>
      </c>
      <c r="Q34" s="399">
        <v>0.25</v>
      </c>
      <c r="R34" s="399">
        <v>0.35</v>
      </c>
    </row>
    <row r="35" ht="12.75" customHeight="1" spans="1:18" x14ac:dyDescent="0.25">
      <c r="A35" s="356">
        <f t="shared" si="3"/>
        <v>12</v>
      </c>
      <c r="B35" s="357">
        <v>0</v>
      </c>
      <c r="C35" s="357">
        <v>12</v>
      </c>
      <c r="D35" s="357">
        <f t="shared" si="4"/>
        <v>29</v>
      </c>
      <c r="E35" s="356">
        <f t="shared" si="5"/>
        <v>112484.12217597537</v>
      </c>
      <c r="F35" s="356">
        <f>IF($F$4="mensual",$F$3*$F$9,"")</f>
        <v>10000</v>
      </c>
      <c r="G35" s="356">
        <f t="shared" si="0"/>
        <v>882.7826696154455</v>
      </c>
      <c r="H35" s="360">
        <f>-SUM(E35:G35)*$H$21</f>
        <v>-1110.3021436103174</v>
      </c>
      <c r="I35" s="356">
        <f t="shared" si="1"/>
        <v>-123.36690484559082</v>
      </c>
      <c r="J35" s="356">
        <f t="shared" si="2"/>
        <v>122133.23579713491</v>
      </c>
      <c r="L35" s="401"/>
      <c r="M35" s="398">
        <v>14</v>
      </c>
      <c r="N35" s="399">
        <v>0</v>
      </c>
      <c r="O35" s="399">
        <v>0.05</v>
      </c>
      <c r="P35" s="399">
        <v>0.15</v>
      </c>
      <c r="Q35" s="399">
        <v>0.25</v>
      </c>
      <c r="R35" s="399">
        <v>0.35</v>
      </c>
    </row>
    <row r="36" ht="12.75" customHeight="1" spans="1:18" x14ac:dyDescent="0.25">
      <c r="A36" s="356">
        <f t="shared" si="3"/>
        <v>13</v>
      </c>
      <c r="B36" s="357">
        <f t="shared" ref="B36:B99" si="6">B24+1</f>
        <v>1</v>
      </c>
      <c r="C36" s="357">
        <f t="shared" ref="C36:C99" si="7">C24</f>
        <v>1</v>
      </c>
      <c r="D36" s="357">
        <f t="shared" ref="D36:D99" si="8">D24+1</f>
        <v>30</v>
      </c>
      <c r="E36" s="356">
        <f t="shared" si="5"/>
        <v>122133.23579713491</v>
      </c>
      <c r="G36" s="356">
        <f t="shared" si="0"/>
        <v>880.2537180359138</v>
      </c>
      <c r="H36" s="356">
        <v>0</v>
      </c>
      <c r="I36" s="356">
        <f t="shared" si="1"/>
        <v>-123.01348951517082</v>
      </c>
      <c r="J36" s="356">
        <f t="shared" si="2"/>
        <v>122890.47602565565</v>
      </c>
      <c r="L36" s="401"/>
      <c r="M36" s="398">
        <v>15</v>
      </c>
      <c r="N36" s="399">
        <v>0</v>
      </c>
      <c r="O36" s="399">
        <v>0.3</v>
      </c>
      <c r="P36" s="399">
        <v>0.4</v>
      </c>
      <c r="Q36" s="399">
        <v>0.5</v>
      </c>
      <c r="R36" s="399">
        <v>0.6</v>
      </c>
    </row>
    <row r="37" ht="12.75" customHeight="1" spans="1:18" x14ac:dyDescent="0.25">
      <c r="A37" s="356">
        <f t="shared" si="3"/>
        <v>14</v>
      </c>
      <c r="B37" s="357">
        <f t="shared" si="6"/>
        <v>1</v>
      </c>
      <c r="C37" s="357">
        <f t="shared" si="7"/>
        <v>2</v>
      </c>
      <c r="D37" s="357">
        <f t="shared" si="8"/>
        <v>30</v>
      </c>
      <c r="E37" s="356">
        <f t="shared" si="5"/>
        <v>122890.47602565565</v>
      </c>
      <c r="G37" s="356">
        <f t="shared" si="0"/>
        <v>885.711393190848</v>
      </c>
      <c r="H37" s="356">
        <v>0</v>
      </c>
      <c r="I37" s="356">
        <f t="shared" si="1"/>
        <v>-123.7761874188465</v>
      </c>
      <c r="J37" s="356">
        <f t="shared" si="2"/>
        <v>123652.41123142766</v>
      </c>
      <c r="L37" s="401"/>
      <c r="M37" s="398">
        <v>16</v>
      </c>
      <c r="N37" s="399">
        <v>0</v>
      </c>
      <c r="O37" s="399">
        <v>0.3</v>
      </c>
      <c r="P37" s="399">
        <v>0.4</v>
      </c>
      <c r="Q37" s="399">
        <v>0.5</v>
      </c>
      <c r="R37" s="399">
        <v>0.6</v>
      </c>
    </row>
    <row r="38" ht="12.75" customHeight="1" spans="1:18" x14ac:dyDescent="0.25">
      <c r="A38" s="356">
        <f t="shared" si="3"/>
        <v>15</v>
      </c>
      <c r="B38" s="357">
        <f t="shared" si="6"/>
        <v>1</v>
      </c>
      <c r="C38" s="357">
        <f t="shared" si="7"/>
        <v>3</v>
      </c>
      <c r="D38" s="357">
        <f t="shared" si="8"/>
        <v>30</v>
      </c>
      <c r="E38" s="356">
        <f t="shared" si="5"/>
        <v>123652.41123142766</v>
      </c>
      <c r="G38" s="356">
        <f t="shared" si="0"/>
        <v>891.202906564794</v>
      </c>
      <c r="H38" s="360">
        <f>-SUM(E38:G38)*$H$21</f>
        <v>-1120.8925272419322</v>
      </c>
      <c r="I38" s="356">
        <f t="shared" si="1"/>
        <v>-124.54361413799245</v>
      </c>
      <c r="J38" s="356">
        <f t="shared" si="2"/>
        <v>123298.17799661253</v>
      </c>
      <c r="L38" s="401"/>
      <c r="M38" s="398">
        <v>17</v>
      </c>
      <c r="N38" s="399">
        <v>0</v>
      </c>
      <c r="O38" s="399">
        <v>0.3</v>
      </c>
      <c r="P38" s="399">
        <v>0.4</v>
      </c>
      <c r="Q38" s="399">
        <v>0.5</v>
      </c>
      <c r="R38" s="399">
        <v>0.6</v>
      </c>
    </row>
    <row r="39" ht="12.75" customHeight="1" spans="1:18" x14ac:dyDescent="0.25">
      <c r="A39" s="356">
        <f t="shared" si="3"/>
        <v>16</v>
      </c>
      <c r="B39" s="357">
        <f t="shared" si="6"/>
        <v>1</v>
      </c>
      <c r="C39" s="357">
        <f t="shared" si="7"/>
        <v>4</v>
      </c>
      <c r="D39" s="357">
        <f t="shared" si="8"/>
        <v>30</v>
      </c>
      <c r="E39" s="356">
        <f t="shared" si="5"/>
        <v>123298.17799661253</v>
      </c>
      <c r="G39" s="356">
        <f t="shared" si="0"/>
        <v>888.6498331121604</v>
      </c>
      <c r="H39" s="356">
        <v>0</v>
      </c>
      <c r="I39" s="356">
        <f t="shared" si="1"/>
        <v>-124.18682782972469</v>
      </c>
      <c r="J39" s="356">
        <f t="shared" si="2"/>
        <v>124062.64100189497</v>
      </c>
      <c r="L39" s="401"/>
      <c r="M39" s="398">
        <v>18</v>
      </c>
      <c r="N39" s="399">
        <v>0</v>
      </c>
      <c r="O39" s="399">
        <v>0.3</v>
      </c>
      <c r="P39" s="399">
        <v>0.4</v>
      </c>
      <c r="Q39" s="399">
        <v>0.5</v>
      </c>
      <c r="R39" s="399">
        <v>0.6</v>
      </c>
    </row>
    <row r="40" ht="12.75" customHeight="1" spans="1:18" x14ac:dyDescent="0.25">
      <c r="A40" s="356">
        <f t="shared" si="3"/>
        <v>17</v>
      </c>
      <c r="B40" s="357">
        <f t="shared" si="6"/>
        <v>1</v>
      </c>
      <c r="C40" s="357">
        <f t="shared" si="7"/>
        <v>5</v>
      </c>
      <c r="D40" s="357">
        <f t="shared" si="8"/>
        <v>30</v>
      </c>
      <c r="E40" s="356">
        <f t="shared" si="5"/>
        <v>124062.64100189497</v>
      </c>
      <c r="G40" s="356">
        <f t="shared" si="0"/>
        <v>894.1595651544565</v>
      </c>
      <c r="H40" s="356">
        <v>0</v>
      </c>
      <c r="I40" s="356">
        <f t="shared" si="1"/>
        <v>-124.95680056704943</v>
      </c>
      <c r="J40" s="356">
        <f t="shared" si="2"/>
        <v>124831.84376648239</v>
      </c>
      <c r="L40" s="401"/>
      <c r="M40" s="398">
        <v>19</v>
      </c>
      <c r="N40" s="399">
        <v>0</v>
      </c>
      <c r="O40" s="399">
        <v>0.3</v>
      </c>
      <c r="P40" s="399">
        <v>0.4</v>
      </c>
      <c r="Q40" s="399">
        <v>0.5</v>
      </c>
      <c r="R40" s="399">
        <v>0.6</v>
      </c>
    </row>
    <row r="41" ht="12.75" customHeight="1" spans="1:18" x14ac:dyDescent="0.25">
      <c r="A41" s="356">
        <f t="shared" si="3"/>
        <v>18</v>
      </c>
      <c r="B41" s="357">
        <f t="shared" si="6"/>
        <v>1</v>
      </c>
      <c r="C41" s="357">
        <f t="shared" si="7"/>
        <v>6</v>
      </c>
      <c r="D41" s="357">
        <f t="shared" si="8"/>
        <v>30</v>
      </c>
      <c r="E41" s="356">
        <f t="shared" si="5"/>
        <v>124831.84376648239</v>
      </c>
      <c r="G41" s="356">
        <f t="shared" si="0"/>
        <v>899.7034581745042</v>
      </c>
      <c r="H41" s="360">
        <f>-SUM(E41:G41)*$H$21</f>
        <v>-1131.5839250219121</v>
      </c>
      <c r="I41" s="356">
        <f t="shared" si="1"/>
        <v>-125.7315472246569</v>
      </c>
      <c r="J41" s="356">
        <f t="shared" si="2"/>
        <v>124474.23175241033</v>
      </c>
      <c r="L41" s="401"/>
      <c r="M41" s="398">
        <v>20</v>
      </c>
      <c r="N41" s="399">
        <v>0</v>
      </c>
      <c r="O41" s="399">
        <v>0.55</v>
      </c>
      <c r="P41" s="399">
        <v>0.65</v>
      </c>
      <c r="Q41" s="399">
        <v>0.75</v>
      </c>
      <c r="R41" s="399">
        <v>1</v>
      </c>
    </row>
    <row r="42" ht="12.75" customHeight="1" spans="1:18" x14ac:dyDescent="0.25">
      <c r="A42" s="356">
        <f t="shared" si="3"/>
        <v>19</v>
      </c>
      <c r="B42" s="357">
        <f t="shared" si="6"/>
        <v>1</v>
      </c>
      <c r="C42" s="357">
        <f t="shared" si="7"/>
        <v>7</v>
      </c>
      <c r="D42" s="357">
        <f t="shared" si="8"/>
        <v>30</v>
      </c>
      <c r="E42" s="356">
        <f t="shared" si="5"/>
        <v>124474.23175241033</v>
      </c>
      <c r="G42" s="356">
        <f t="shared" si="0"/>
        <v>897.1260327673521</v>
      </c>
      <c r="H42" s="356">
        <v>0</v>
      </c>
      <c r="I42" s="356">
        <f t="shared" si="1"/>
        <v>-125.37135778517768</v>
      </c>
      <c r="J42" s="356">
        <f t="shared" si="2"/>
        <v>125245.9864273925</v>
      </c>
      <c r="L42" s="401"/>
      <c r="M42" s="398">
        <v>21</v>
      </c>
      <c r="N42" s="399">
        <v>0</v>
      </c>
      <c r="O42" s="399">
        <v>0.55</v>
      </c>
      <c r="P42" s="399">
        <v>0.65</v>
      </c>
      <c r="Q42" s="399">
        <v>0.75</v>
      </c>
      <c r="R42" s="399">
        <v>1</v>
      </c>
    </row>
    <row r="43" ht="12.75" customHeight="1" spans="1:18" x14ac:dyDescent="0.25">
      <c r="A43" s="356">
        <f t="shared" si="3"/>
        <v>20</v>
      </c>
      <c r="B43" s="357">
        <f t="shared" si="6"/>
        <v>1</v>
      </c>
      <c r="C43" s="357">
        <f t="shared" si="7"/>
        <v>8</v>
      </c>
      <c r="D43" s="357">
        <f t="shared" si="8"/>
        <v>30</v>
      </c>
      <c r="E43" s="356">
        <f t="shared" si="5"/>
        <v>125245.9864273925</v>
      </c>
      <c r="G43" s="356">
        <f t="shared" si="0"/>
        <v>902.6883182306887</v>
      </c>
      <c r="H43" s="356">
        <v>0</v>
      </c>
      <c r="I43" s="356">
        <f t="shared" si="1"/>
        <v>-126.1486747456232</v>
      </c>
      <c r="J43" s="356">
        <f t="shared" si="2"/>
        <v>126022.52607087757</v>
      </c>
      <c r="L43" s="401"/>
      <c r="M43" s="398">
        <v>22</v>
      </c>
      <c r="N43" s="399">
        <v>0</v>
      </c>
      <c r="O43" s="399">
        <v>0.55</v>
      </c>
      <c r="P43" s="399">
        <v>0.65</v>
      </c>
      <c r="Q43" s="399">
        <v>0.75</v>
      </c>
      <c r="R43" s="399">
        <v>1</v>
      </c>
    </row>
    <row r="44" ht="12.75" customHeight="1" spans="1:18" x14ac:dyDescent="0.25">
      <c r="A44" s="356">
        <f t="shared" si="3"/>
        <v>21</v>
      </c>
      <c r="B44" s="357">
        <f t="shared" si="6"/>
        <v>1</v>
      </c>
      <c r="C44" s="357">
        <f t="shared" si="7"/>
        <v>9</v>
      </c>
      <c r="D44" s="357">
        <f t="shared" si="8"/>
        <v>30</v>
      </c>
      <c r="E44" s="356">
        <f t="shared" si="5"/>
        <v>126022.52607087757</v>
      </c>
      <c r="G44" s="356">
        <f t="shared" si="0"/>
        <v>908.285090509083</v>
      </c>
      <c r="H44" s="360">
        <f>-SUM(E44:G44)*$H$21</f>
        <v>-1142.37730045248</v>
      </c>
      <c r="I44" s="356">
        <f t="shared" si="1"/>
        <v>-126.93081116138667</v>
      </c>
      <c r="J44" s="356">
        <f t="shared" si="2"/>
        <v>125661.50304977279</v>
      </c>
      <c r="L44" s="401"/>
      <c r="M44" s="398">
        <v>23</v>
      </c>
      <c r="N44" s="399">
        <v>0</v>
      </c>
      <c r="O44" s="399">
        <v>0.55</v>
      </c>
      <c r="P44" s="399">
        <v>0.65</v>
      </c>
      <c r="Q44" s="399">
        <v>0.75</v>
      </c>
      <c r="R44" s="399">
        <v>1</v>
      </c>
    </row>
    <row r="45" ht="12.75" customHeight="1" spans="1:18" x14ac:dyDescent="0.25">
      <c r="A45" s="356">
        <f t="shared" si="3"/>
        <v>22</v>
      </c>
      <c r="B45" s="357">
        <f t="shared" si="6"/>
        <v>1</v>
      </c>
      <c r="C45" s="357">
        <f t="shared" si="7"/>
        <v>10</v>
      </c>
      <c r="D45" s="357">
        <f t="shared" si="8"/>
        <v>30</v>
      </c>
      <c r="E45" s="356">
        <f t="shared" si="5"/>
        <v>125661.50304977279</v>
      </c>
      <c r="G45" s="356">
        <f t="shared" si="0"/>
        <v>905.6830808714124</v>
      </c>
      <c r="H45" s="356">
        <v>0</v>
      </c>
      <c r="I45" s="356">
        <f t="shared" si="1"/>
        <v>-126.5671861306442</v>
      </c>
      <c r="J45" s="356">
        <f t="shared" si="2"/>
        <v>126440.61894451355</v>
      </c>
      <c r="L45" s="401"/>
      <c r="M45" s="398">
        <v>24</v>
      </c>
      <c r="N45" s="399">
        <v>0</v>
      </c>
      <c r="O45" s="399">
        <v>0.55</v>
      </c>
      <c r="P45" s="399">
        <v>0.65</v>
      </c>
      <c r="Q45" s="399">
        <v>0.75</v>
      </c>
      <c r="R45" s="399">
        <v>1</v>
      </c>
    </row>
    <row r="46" ht="12.75" customHeight="1" spans="1:18" x14ac:dyDescent="0.25">
      <c r="A46" s="356">
        <f t="shared" si="3"/>
        <v>23</v>
      </c>
      <c r="B46" s="357">
        <f t="shared" si="6"/>
        <v>1</v>
      </c>
      <c r="C46" s="357">
        <f t="shared" si="7"/>
        <v>11</v>
      </c>
      <c r="D46" s="357">
        <f t="shared" si="8"/>
        <v>30</v>
      </c>
      <c r="E46" s="356">
        <f t="shared" si="5"/>
        <v>126440.61894451355</v>
      </c>
      <c r="G46" s="356">
        <f t="shared" si="0"/>
        <v>911.2984210255503</v>
      </c>
      <c r="H46" s="356">
        <v>0</v>
      </c>
      <c r="I46" s="356">
        <f t="shared" si="1"/>
        <v>-127.35191736553911</v>
      </c>
      <c r="J46" s="356">
        <f t="shared" si="2"/>
        <v>127224.56544817357</v>
      </c>
      <c r="L46" s="401"/>
      <c r="M46" s="398">
        <v>25</v>
      </c>
      <c r="N46" s="399">
        <v>0</v>
      </c>
      <c r="O46" s="399">
        <v>0.55</v>
      </c>
      <c r="P46" s="399">
        <v>0.65</v>
      </c>
      <c r="Q46" s="399">
        <v>0.75</v>
      </c>
      <c r="R46" s="399">
        <v>1</v>
      </c>
    </row>
    <row r="47" spans="1:14" x14ac:dyDescent="0.25">
      <c r="A47" s="356">
        <f t="shared" si="3"/>
        <v>24</v>
      </c>
      <c r="B47" s="357">
        <f t="shared" si="6"/>
        <v>1</v>
      </c>
      <c r="C47" s="357">
        <f t="shared" si="7"/>
        <v>12</v>
      </c>
      <c r="D47" s="357">
        <f t="shared" si="8"/>
        <v>30</v>
      </c>
      <c r="E47" s="356">
        <f t="shared" si="5"/>
        <v>127224.56544817357</v>
      </c>
      <c r="G47" s="356">
        <f t="shared" si="0"/>
        <v>916.9485769399829</v>
      </c>
      <c r="H47" s="360">
        <f>-SUM(E47:G47)*$H$21</f>
        <v>-1153.273626226022</v>
      </c>
      <c r="I47" s="356">
        <f t="shared" si="1"/>
        <v>-128.14151402511354</v>
      </c>
      <c r="J47" s="356">
        <f t="shared" si="2"/>
        <v>126860.09888486241</v>
      </c>
      <c r="N47" s="356"/>
    </row>
    <row r="48" spans="1:14" x14ac:dyDescent="0.25">
      <c r="A48" s="356">
        <f t="shared" si="3"/>
        <v>25</v>
      </c>
      <c r="B48" s="357">
        <f t="shared" si="6"/>
        <v>2</v>
      </c>
      <c r="C48" s="357">
        <f t="shared" si="7"/>
        <v>1</v>
      </c>
      <c r="D48" s="357">
        <f t="shared" si="8"/>
        <v>31</v>
      </c>
      <c r="E48" s="356">
        <f t="shared" si="5"/>
        <v>126860.09888486241</v>
      </c>
      <c r="G48" s="356">
        <f t="shared" si="0"/>
        <v>914.3217485802783</v>
      </c>
      <c r="H48" s="356">
        <v>0</v>
      </c>
      <c r="I48" s="356">
        <f t="shared" si="1"/>
        <v>-127.77442063344269</v>
      </c>
      <c r="J48" s="356">
        <f t="shared" si="2"/>
        <v>127646.64621280924</v>
      </c>
      <c r="M48" s="358"/>
      <c r="N48" s="356"/>
    </row>
    <row r="49" spans="1:14" x14ac:dyDescent="0.25">
      <c r="A49" s="356">
        <f t="shared" si="3"/>
        <v>26</v>
      </c>
      <c r="B49" s="357">
        <f t="shared" si="6"/>
        <v>2</v>
      </c>
      <c r="C49" s="357">
        <f t="shared" si="7"/>
        <v>2</v>
      </c>
      <c r="D49" s="357">
        <f t="shared" si="8"/>
        <v>31</v>
      </c>
      <c r="E49" s="356">
        <f t="shared" si="5"/>
        <v>127646.64621280924</v>
      </c>
      <c r="G49" s="356">
        <f t="shared" si="0"/>
        <v>919.9906494762345</v>
      </c>
      <c r="H49" s="356">
        <v>0</v>
      </c>
      <c r="I49" s="356">
        <f t="shared" si="1"/>
        <v>-128.5666368622855</v>
      </c>
      <c r="J49" s="356">
        <f t="shared" si="2"/>
        <v>128438.07022542319</v>
      </c>
      <c r="M49" s="358"/>
      <c r="N49" s="356"/>
    </row>
    <row r="50" spans="1:14" x14ac:dyDescent="0.25">
      <c r="A50" s="356">
        <f t="shared" si="3"/>
        <v>27</v>
      </c>
      <c r="B50" s="357">
        <f t="shared" si="6"/>
        <v>2</v>
      </c>
      <c r="C50" s="357">
        <f t="shared" si="7"/>
        <v>3</v>
      </c>
      <c r="D50" s="357">
        <f t="shared" si="8"/>
        <v>31</v>
      </c>
      <c r="E50" s="356">
        <f t="shared" si="5"/>
        <v>128438.07022542319</v>
      </c>
      <c r="G50" s="356">
        <f t="shared" si="0"/>
        <v>925.6946982152974</v>
      </c>
      <c r="H50" s="360">
        <f>-SUM(E50:G50)*$H$21</f>
        <v>-1164.2738843127465</v>
      </c>
      <c r="I50" s="356">
        <f t="shared" si="1"/>
        <v>-129.36376492363848</v>
      </c>
      <c r="J50" s="356">
        <f t="shared" si="2"/>
        <v>128070.12727440211</v>
      </c>
      <c r="M50" s="358"/>
      <c r="N50" s="356"/>
    </row>
    <row r="51" spans="1:14" x14ac:dyDescent="0.25">
      <c r="A51" s="356">
        <f t="shared" si="3"/>
        <v>28</v>
      </c>
      <c r="B51" s="357">
        <f t="shared" si="6"/>
        <v>2</v>
      </c>
      <c r="C51" s="357">
        <f t="shared" si="7"/>
        <v>4</v>
      </c>
      <c r="D51" s="357">
        <f t="shared" si="8"/>
        <v>31</v>
      </c>
      <c r="E51" s="356">
        <f t="shared" si="5"/>
        <v>128070.12727440211</v>
      </c>
      <c r="G51" s="356">
        <f t="shared" si="0"/>
        <v>923.042814405395</v>
      </c>
      <c r="H51" s="356">
        <v>0</v>
      </c>
      <c r="I51" s="356">
        <f t="shared" si="1"/>
        <v>-128.99317008880752</v>
      </c>
      <c r="J51" s="356">
        <f t="shared" si="2"/>
        <v>128864.1769187187</v>
      </c>
      <c r="M51" s="358"/>
      <c r="N51" s="356"/>
    </row>
    <row r="52" spans="1:14" x14ac:dyDescent="0.25">
      <c r="A52" s="356">
        <f t="shared" si="3"/>
        <v>29</v>
      </c>
      <c r="B52" s="357">
        <f t="shared" si="6"/>
        <v>2</v>
      </c>
      <c r="C52" s="357">
        <f t="shared" si="7"/>
        <v>5</v>
      </c>
      <c r="D52" s="357">
        <f t="shared" si="8"/>
        <v>31</v>
      </c>
      <c r="E52" s="356">
        <f t="shared" si="5"/>
        <v>128864.1769187187</v>
      </c>
      <c r="G52" s="356">
        <f t="shared" si="0"/>
        <v>928.7657869210481</v>
      </c>
      <c r="H52" s="356">
        <v>0</v>
      </c>
      <c r="I52" s="356">
        <f t="shared" si="1"/>
        <v>-129.79294270563975</v>
      </c>
      <c r="J52" s="356">
        <f t="shared" si="2"/>
        <v>129663.14976293412</v>
      </c>
      <c r="M52" s="358"/>
      <c r="N52" s="356"/>
    </row>
    <row r="53" spans="1:14" x14ac:dyDescent="0.25">
      <c r="A53" s="356">
        <f t="shared" si="3"/>
        <v>30</v>
      </c>
      <c r="B53" s="357">
        <f t="shared" si="6"/>
        <v>2</v>
      </c>
      <c r="C53" s="357">
        <f t="shared" si="7"/>
        <v>6</v>
      </c>
      <c r="D53" s="357">
        <f t="shared" si="8"/>
        <v>31</v>
      </c>
      <c r="E53" s="356">
        <f t="shared" si="5"/>
        <v>129663.14976293412</v>
      </c>
      <c r="G53" s="356">
        <f t="shared" si="0"/>
        <v>934.5242425301219</v>
      </c>
      <c r="H53" s="360">
        <f>-SUM(E53:G53)*$H$21</f>
        <v>-1175.3790660491784</v>
      </c>
      <c r="I53" s="356">
        <f t="shared" si="1"/>
        <v>-130.59767400546426</v>
      </c>
      <c r="J53" s="356">
        <f t="shared" si="2"/>
        <v>129291.6972654096</v>
      </c>
      <c r="M53" s="358"/>
      <c r="N53" s="356"/>
    </row>
    <row r="54" spans="1:14" x14ac:dyDescent="0.25">
      <c r="A54" s="356">
        <f t="shared" si="3"/>
        <v>31</v>
      </c>
      <c r="B54" s="357">
        <f t="shared" si="6"/>
        <v>2</v>
      </c>
      <c r="C54" s="357">
        <f t="shared" si="7"/>
        <v>7</v>
      </c>
      <c r="D54" s="357">
        <f t="shared" si="8"/>
        <v>31</v>
      </c>
      <c r="E54" s="356">
        <f t="shared" si="5"/>
        <v>129291.6972654096</v>
      </c>
      <c r="G54" s="356">
        <f t="shared" si="0"/>
        <v>931.8470642838763</v>
      </c>
      <c r="H54" s="356">
        <v>0</v>
      </c>
      <c r="I54" s="356">
        <f t="shared" si="1"/>
        <v>-130.22354432969348</v>
      </c>
      <c r="J54" s="356">
        <f t="shared" si="2"/>
        <v>130093.32078536379</v>
      </c>
      <c r="M54" s="358"/>
      <c r="N54" s="356"/>
    </row>
    <row r="55" spans="1:14" x14ac:dyDescent="0.25">
      <c r="A55" s="356">
        <f t="shared" si="3"/>
        <v>32</v>
      </c>
      <c r="B55" s="357">
        <f t="shared" si="6"/>
        <v>2</v>
      </c>
      <c r="C55" s="357">
        <f t="shared" si="7"/>
        <v>8</v>
      </c>
      <c r="D55" s="357">
        <f t="shared" si="8"/>
        <v>31</v>
      </c>
      <c r="E55" s="356">
        <f t="shared" si="5"/>
        <v>130093.32078536379</v>
      </c>
      <c r="G55" s="356">
        <f t="shared" si="0"/>
        <v>937.6246241700056</v>
      </c>
      <c r="H55" s="356">
        <v>0</v>
      </c>
      <c r="I55" s="356">
        <f t="shared" si="1"/>
        <v>-131.03094540953379</v>
      </c>
      <c r="J55" s="356">
        <f t="shared" si="2"/>
        <v>130899.91446412425</v>
      </c>
      <c r="M55" s="358"/>
      <c r="N55" s="356"/>
    </row>
    <row r="56" spans="1:14" x14ac:dyDescent="0.25">
      <c r="A56" s="356">
        <f t="shared" si="3"/>
        <v>33</v>
      </c>
      <c r="B56" s="357">
        <f t="shared" si="6"/>
        <v>2</v>
      </c>
      <c r="C56" s="357">
        <f t="shared" si="7"/>
        <v>9</v>
      </c>
      <c r="D56" s="357">
        <f t="shared" si="8"/>
        <v>31</v>
      </c>
      <c r="E56" s="356">
        <f t="shared" si="5"/>
        <v>130899.91446412425</v>
      </c>
      <c r="G56" s="356">
        <f t="shared" si="0"/>
        <v>943.4380055975844</v>
      </c>
      <c r="H56" s="360">
        <f>-SUM(E56:G56)*$H$21</f>
        <v>-1186.5901722274966</v>
      </c>
      <c r="I56" s="356">
        <f t="shared" si="1"/>
        <v>-131.84335246972185</v>
      </c>
      <c r="J56" s="356">
        <f t="shared" si="2"/>
        <v>130524.91894502462</v>
      </c>
      <c r="M56" s="358"/>
      <c r="N56" s="356"/>
    </row>
    <row r="57" spans="1:14" x14ac:dyDescent="0.25">
      <c r="A57" s="356">
        <f t="shared" si="3"/>
        <v>34</v>
      </c>
      <c r="B57" s="357">
        <f t="shared" si="6"/>
        <v>2</v>
      </c>
      <c r="C57" s="357">
        <f t="shared" si="7"/>
        <v>10</v>
      </c>
      <c r="D57" s="357">
        <f t="shared" si="8"/>
        <v>31</v>
      </c>
      <c r="E57" s="356">
        <f t="shared" si="5"/>
        <v>130524.91894502462</v>
      </c>
      <c r="G57" s="356">
        <f t="shared" si="0"/>
        <v>940.7352916493309</v>
      </c>
      <c r="H57" s="356">
        <v>0</v>
      </c>
      <c r="I57" s="356">
        <f t="shared" si="1"/>
        <v>-131.46565423667397</v>
      </c>
      <c r="J57" s="356">
        <f t="shared" si="2"/>
        <v>131334.1885824373</v>
      </c>
      <c r="M57" s="358"/>
      <c r="N57" s="356"/>
    </row>
    <row r="58" spans="1:14" x14ac:dyDescent="0.25">
      <c r="A58" s="356">
        <f t="shared" si="3"/>
        <v>35</v>
      </c>
      <c r="B58" s="357">
        <f t="shared" si="6"/>
        <v>2</v>
      </c>
      <c r="C58" s="357">
        <f t="shared" si="7"/>
        <v>11</v>
      </c>
      <c r="D58" s="357">
        <f t="shared" si="8"/>
        <v>31</v>
      </c>
      <c r="E58" s="356">
        <f t="shared" si="5"/>
        <v>131334.1885824373</v>
      </c>
      <c r="G58" s="356">
        <f t="shared" si="0"/>
        <v>946.5679595760967</v>
      </c>
      <c r="H58" s="356">
        <v>0</v>
      </c>
      <c r="I58" s="356">
        <f t="shared" si="1"/>
        <v>-132.2807565420134</v>
      </c>
      <c r="J58" s="356">
        <f t="shared" si="2"/>
        <v>132148.47578547135</v>
      </c>
      <c r="M58" s="358"/>
      <c r="N58" s="356"/>
    </row>
    <row r="59" spans="1:14" x14ac:dyDescent="0.25">
      <c r="A59" s="356">
        <f t="shared" si="3"/>
        <v>36</v>
      </c>
      <c r="B59" s="357">
        <f t="shared" si="6"/>
        <v>2</v>
      </c>
      <c r="C59" s="357">
        <f t="shared" si="7"/>
        <v>12</v>
      </c>
      <c r="D59" s="357">
        <f t="shared" si="8"/>
        <v>31</v>
      </c>
      <c r="E59" s="356">
        <f t="shared" si="5"/>
        <v>132148.47578547135</v>
      </c>
      <c r="G59" s="356">
        <f t="shared" si="0"/>
        <v>952.4367907205559</v>
      </c>
      <c r="H59" s="360">
        <f>-SUM(E59:G59)*$H$21</f>
        <v>-1197.9082131857274</v>
      </c>
      <c r="I59" s="356">
        <f t="shared" si="1"/>
        <v>-133.10091257619192</v>
      </c>
      <c r="J59" s="356">
        <f t="shared" si="2"/>
        <v>131769.90345043</v>
      </c>
      <c r="M59" s="358"/>
      <c r="N59" s="356"/>
    </row>
    <row r="60" spans="1:14" x14ac:dyDescent="0.25">
      <c r="A60" s="356">
        <f t="shared" si="3"/>
        <v>37</v>
      </c>
      <c r="B60" s="357">
        <f t="shared" si="6"/>
        <v>3</v>
      </c>
      <c r="C60" s="357">
        <f t="shared" si="7"/>
        <v>1</v>
      </c>
      <c r="D60" s="357">
        <f t="shared" si="8"/>
        <v>32</v>
      </c>
      <c r="E60" s="356">
        <f t="shared" si="5"/>
        <v>131769.90345043</v>
      </c>
      <c r="G60" s="356">
        <f t="shared" si="0"/>
        <v>949.7082975033679</v>
      </c>
      <c r="H60" s="356">
        <v>0</v>
      </c>
      <c r="I60" s="356">
        <f t="shared" si="1"/>
        <v>-132.71961174793336</v>
      </c>
      <c r="J60" s="356">
        <f t="shared" si="2"/>
        <v>132586.8921361854</v>
      </c>
      <c r="M60" s="358"/>
      <c r="N60" s="356"/>
    </row>
    <row r="61" spans="1:14" x14ac:dyDescent="0.25">
      <c r="A61" s="356">
        <f t="shared" si="3"/>
        <v>38</v>
      </c>
      <c r="B61" s="357">
        <f t="shared" si="6"/>
        <v>3</v>
      </c>
      <c r="C61" s="357">
        <f t="shared" si="7"/>
        <v>2</v>
      </c>
      <c r="D61" s="357">
        <f t="shared" si="8"/>
        <v>32</v>
      </c>
      <c r="E61" s="356">
        <f t="shared" si="5"/>
        <v>132586.8921361854</v>
      </c>
      <c r="G61" s="356">
        <f t="shared" si="0"/>
        <v>955.5965991072328</v>
      </c>
      <c r="H61" s="356">
        <v>0</v>
      </c>
      <c r="I61" s="356">
        <f t="shared" si="1"/>
        <v>-133.54248873529264</v>
      </c>
      <c r="J61" s="356">
        <f t="shared" si="2"/>
        <v>133408.94624655735</v>
      </c>
      <c r="M61" s="358"/>
      <c r="N61" s="356"/>
    </row>
    <row r="62" spans="1:14" x14ac:dyDescent="0.25">
      <c r="A62" s="356">
        <f t="shared" si="3"/>
        <v>39</v>
      </c>
      <c r="B62" s="357">
        <f t="shared" si="6"/>
        <v>3</v>
      </c>
      <c r="C62" s="357">
        <f t="shared" si="7"/>
        <v>3</v>
      </c>
      <c r="D62" s="357">
        <f t="shared" si="8"/>
        <v>32</v>
      </c>
      <c r="E62" s="356">
        <f t="shared" si="5"/>
        <v>133408.94624655735</v>
      </c>
      <c r="G62" s="356">
        <f t="shared" si="0"/>
        <v>961.5214088640425</v>
      </c>
      <c r="H62" s="360">
        <f>-SUM(E62:G62)*$H$21</f>
        <v>-1209.3342088987927</v>
      </c>
      <c r="I62" s="356">
        <f t="shared" si="1"/>
        <v>-134.37046765542138</v>
      </c>
      <c r="J62" s="356">
        <f t="shared" si="2"/>
        <v>133026.76297886716</v>
      </c>
      <c r="M62" s="358"/>
      <c r="N62" s="356"/>
    </row>
    <row r="63" spans="1:14" x14ac:dyDescent="0.25">
      <c r="A63" s="356">
        <f t="shared" si="3"/>
        <v>40</v>
      </c>
      <c r="B63" s="357">
        <f t="shared" si="6"/>
        <v>3</v>
      </c>
      <c r="C63" s="357">
        <f t="shared" si="7"/>
        <v>4</v>
      </c>
      <c r="D63" s="357">
        <f t="shared" si="8"/>
        <v>32</v>
      </c>
      <c r="E63" s="356">
        <f t="shared" si="5"/>
        <v>133026.76297886716</v>
      </c>
      <c r="G63" s="356">
        <f t="shared" si="0"/>
        <v>958.7668904877818</v>
      </c>
      <c r="H63" s="356">
        <v>0</v>
      </c>
      <c r="I63" s="356">
        <f t="shared" si="1"/>
        <v>-133.98552986935493</v>
      </c>
      <c r="J63" s="356">
        <f t="shared" si="2"/>
        <v>133851.54433948558</v>
      </c>
      <c r="M63" s="358"/>
      <c r="N63" s="356"/>
    </row>
    <row r="64" spans="1:14" x14ac:dyDescent="0.25">
      <c r="A64" s="356">
        <f t="shared" si="3"/>
        <v>41</v>
      </c>
      <c r="B64" s="357">
        <f t="shared" si="6"/>
        <v>3</v>
      </c>
      <c r="C64" s="357">
        <f t="shared" si="7"/>
        <v>5</v>
      </c>
      <c r="D64" s="357">
        <f t="shared" si="8"/>
        <v>32</v>
      </c>
      <c r="E64" s="356">
        <f t="shared" si="5"/>
        <v>133851.54433948558</v>
      </c>
      <c r="G64" s="356">
        <f t="shared" si="0"/>
        <v>964.7113564188819</v>
      </c>
      <c r="H64" s="356">
        <v>0</v>
      </c>
      <c r="I64" s="356">
        <f t="shared" si="1"/>
        <v>-134.81625569590446</v>
      </c>
      <c r="J64" s="356">
        <f t="shared" si="2"/>
        <v>134681.43944020855</v>
      </c>
      <c r="M64" s="358"/>
      <c r="N64" s="356"/>
    </row>
    <row r="65" spans="1:14" x14ac:dyDescent="0.25">
      <c r="A65" s="356">
        <f t="shared" si="3"/>
        <v>42</v>
      </c>
      <c r="B65" s="357">
        <f t="shared" si="6"/>
        <v>3</v>
      </c>
      <c r="C65" s="357">
        <f t="shared" si="7"/>
        <v>6</v>
      </c>
      <c r="D65" s="357">
        <f t="shared" si="8"/>
        <v>32</v>
      </c>
      <c r="E65" s="356">
        <f t="shared" si="5"/>
        <v>134681.43944020855</v>
      </c>
      <c r="G65" s="356">
        <f t="shared" si="0"/>
        <v>970.69267872827</v>
      </c>
      <c r="H65" s="360">
        <f>-SUM(E65:G65)*$H$21</f>
        <v>-1220.8691890704313</v>
      </c>
      <c r="I65" s="356">
        <f t="shared" si="1"/>
        <v>-135.6521321189368</v>
      </c>
      <c r="J65" s="356">
        <f t="shared" si="2"/>
        <v>134295.61079774745</v>
      </c>
      <c r="M65" s="358"/>
      <c r="N65" s="356"/>
    </row>
    <row r="66" spans="1:14" x14ac:dyDescent="0.25">
      <c r="A66" s="356">
        <f t="shared" si="3"/>
        <v>43</v>
      </c>
      <c r="B66" s="357">
        <f t="shared" si="6"/>
        <v>3</v>
      </c>
      <c r="C66" s="357">
        <f t="shared" si="7"/>
        <v>7</v>
      </c>
      <c r="D66" s="357">
        <f t="shared" si="8"/>
        <v>32</v>
      </c>
      <c r="E66" s="356">
        <f t="shared" si="5"/>
        <v>134295.61079774745</v>
      </c>
      <c r="G66" s="356">
        <f t="shared" si="0"/>
        <v>967.9118869574269</v>
      </c>
      <c r="H66" s="356">
        <v>0</v>
      </c>
      <c r="I66" s="356">
        <f t="shared" si="1"/>
        <v>-135.26352268470487</v>
      </c>
      <c r="J66" s="356">
        <f t="shared" si="2"/>
        <v>135128.25916202017</v>
      </c>
      <c r="M66" s="358"/>
      <c r="N66" s="356"/>
    </row>
    <row r="67" spans="1:14" x14ac:dyDescent="0.25">
      <c r="A67" s="356">
        <f t="shared" si="3"/>
        <v>44</v>
      </c>
      <c r="B67" s="357">
        <f t="shared" si="6"/>
        <v>3</v>
      </c>
      <c r="C67" s="357">
        <f t="shared" si="7"/>
        <v>8</v>
      </c>
      <c r="D67" s="357">
        <f t="shared" si="8"/>
        <v>32</v>
      </c>
      <c r="E67" s="356">
        <f t="shared" si="5"/>
        <v>135128.25916202017</v>
      </c>
      <c r="G67" s="356">
        <f t="shared" si="0"/>
        <v>973.9130529273928</v>
      </c>
      <c r="H67" s="356">
        <v>0</v>
      </c>
      <c r="I67" s="356">
        <f t="shared" si="1"/>
        <v>-136.10217221494756</v>
      </c>
      <c r="J67" s="356">
        <f t="shared" si="2"/>
        <v>135966.0700427326</v>
      </c>
      <c r="M67" s="358"/>
      <c r="N67" s="356"/>
    </row>
    <row r="68" spans="1:14" x14ac:dyDescent="0.25">
      <c r="A68" s="356">
        <f t="shared" si="3"/>
        <v>45</v>
      </c>
      <c r="B68" s="357">
        <f t="shared" si="6"/>
        <v>3</v>
      </c>
      <c r="C68" s="357">
        <f t="shared" si="7"/>
        <v>9</v>
      </c>
      <c r="D68" s="357">
        <f t="shared" si="8"/>
        <v>32</v>
      </c>
      <c r="E68" s="356">
        <f t="shared" si="5"/>
        <v>135966.0700427326</v>
      </c>
      <c r="G68" s="356">
        <f t="shared" si="0"/>
        <v>979.9514268224646</v>
      </c>
      <c r="H68" s="360">
        <f>-SUM(E68:G68)*$H$21</f>
        <v>-1232.5141932259958</v>
      </c>
      <c r="I68" s="356">
        <f t="shared" si="1"/>
        <v>-136.94602146955506</v>
      </c>
      <c r="J68" s="356">
        <f t="shared" si="2"/>
        <v>135576.56125485952</v>
      </c>
      <c r="M68" s="358"/>
      <c r="N68" s="356"/>
    </row>
    <row r="69" spans="1:14" x14ac:dyDescent="0.25">
      <c r="A69" s="356">
        <f t="shared" si="3"/>
        <v>46</v>
      </c>
      <c r="B69" s="357">
        <f t="shared" si="6"/>
        <v>3</v>
      </c>
      <c r="C69" s="357">
        <f t="shared" si="7"/>
        <v>10</v>
      </c>
      <c r="D69" s="357">
        <f t="shared" si="8"/>
        <v>32</v>
      </c>
      <c r="E69" s="356">
        <f t="shared" si="5"/>
        <v>135576.56125485952</v>
      </c>
      <c r="G69" s="356">
        <f t="shared" si="0"/>
        <v>977.1441110537867</v>
      </c>
      <c r="H69" s="356">
        <v>0</v>
      </c>
      <c r="I69" s="356">
        <f t="shared" si="1"/>
        <v>-136.55370536591332</v>
      </c>
      <c r="J69" s="356">
        <f t="shared" si="2"/>
        <v>136417.1516605474</v>
      </c>
      <c r="M69" s="358"/>
      <c r="N69" s="356"/>
    </row>
    <row r="70" spans="1:14" x14ac:dyDescent="0.25">
      <c r="A70" s="356">
        <f t="shared" si="3"/>
        <v>47</v>
      </c>
      <c r="B70" s="357">
        <f t="shared" si="6"/>
        <v>3</v>
      </c>
      <c r="C70" s="357">
        <f t="shared" si="7"/>
        <v>11</v>
      </c>
      <c r="D70" s="357">
        <f t="shared" si="8"/>
        <v>32</v>
      </c>
      <c r="E70" s="356">
        <f t="shared" si="5"/>
        <v>136417.1516605474</v>
      </c>
      <c r="G70" s="356">
        <f t="shared" si="0"/>
        <v>983.2025178840216</v>
      </c>
      <c r="H70" s="356">
        <v>0</v>
      </c>
      <c r="I70" s="356">
        <f t="shared" si="1"/>
        <v>-137.40035417843143</v>
      </c>
      <c r="J70" s="356">
        <f t="shared" si="2"/>
        <v>137262.953824253</v>
      </c>
      <c r="M70" s="358"/>
      <c r="N70" s="356"/>
    </row>
    <row r="71" spans="1:14" x14ac:dyDescent="0.25">
      <c r="A71" s="356">
        <f t="shared" si="3"/>
        <v>48</v>
      </c>
      <c r="B71" s="357">
        <f t="shared" si="6"/>
        <v>3</v>
      </c>
      <c r="C71" s="357">
        <f t="shared" si="7"/>
        <v>12</v>
      </c>
      <c r="D71" s="357">
        <f t="shared" si="8"/>
        <v>32</v>
      </c>
      <c r="E71" s="356">
        <f t="shared" si="5"/>
        <v>137262.953824253</v>
      </c>
      <c r="G71" s="356">
        <f t="shared" si="0"/>
        <v>989.298487539336</v>
      </c>
      <c r="H71" s="360">
        <f>-SUM(E71:G71)*$H$21</f>
        <v>-1244.2702708061313</v>
      </c>
      <c r="I71" s="356">
        <f t="shared" si="1"/>
        <v>-138.25225231179235</v>
      </c>
      <c r="J71" s="356">
        <f t="shared" si="2"/>
        <v>136869.72978867442</v>
      </c>
      <c r="M71" s="358"/>
      <c r="N71" s="356"/>
    </row>
    <row r="72" spans="1:14" x14ac:dyDescent="0.25">
      <c r="A72" s="356">
        <f t="shared" si="3"/>
        <v>49</v>
      </c>
      <c r="B72" s="357">
        <f t="shared" si="6"/>
        <v>4</v>
      </c>
      <c r="C72" s="357">
        <f t="shared" si="7"/>
        <v>1</v>
      </c>
      <c r="D72" s="357">
        <f t="shared" si="8"/>
        <v>33</v>
      </c>
      <c r="E72" s="356">
        <f t="shared" si="5"/>
        <v>136869.72978867442</v>
      </c>
      <c r="G72" s="356">
        <f t="shared" si="0"/>
        <v>986.4643947792451</v>
      </c>
      <c r="H72" s="356">
        <v>0</v>
      </c>
      <c r="I72" s="356">
        <f t="shared" si="1"/>
        <v>-137.85619418345365</v>
      </c>
      <c r="J72" s="356">
        <f t="shared" si="2"/>
        <v>137718.3379892702</v>
      </c>
      <c r="M72" s="358"/>
      <c r="N72" s="356"/>
    </row>
    <row r="73" spans="1:14" x14ac:dyDescent="0.25">
      <c r="A73" s="356">
        <f t="shared" si="3"/>
        <v>50</v>
      </c>
      <c r="B73" s="357">
        <f t="shared" si="6"/>
        <v>4</v>
      </c>
      <c r="C73" s="357">
        <f t="shared" si="7"/>
        <v>2</v>
      </c>
      <c r="D73" s="357">
        <f t="shared" si="8"/>
        <v>33</v>
      </c>
      <c r="E73" s="356">
        <f t="shared" si="5"/>
        <v>137718.3379892702</v>
      </c>
      <c r="G73" s="356">
        <f t="shared" si="0"/>
        <v>992.5805884496639</v>
      </c>
      <c r="H73" s="356">
        <v>0</v>
      </c>
      <c r="I73" s="356">
        <f t="shared" si="1"/>
        <v>-138.71091857771987</v>
      </c>
      <c r="J73" s="356">
        <f t="shared" si="2"/>
        <v>138572.20765914215</v>
      </c>
      <c r="M73" s="358"/>
      <c r="N73" s="356"/>
    </row>
    <row r="74" spans="1:14" x14ac:dyDescent="0.25">
      <c r="A74" s="356">
        <f t="shared" si="3"/>
        <v>51</v>
      </c>
      <c r="B74" s="357">
        <f t="shared" si="6"/>
        <v>4</v>
      </c>
      <c r="C74" s="357">
        <f t="shared" si="7"/>
        <v>3</v>
      </c>
      <c r="D74" s="357">
        <f t="shared" si="8"/>
        <v>33</v>
      </c>
      <c r="E74" s="356">
        <f t="shared" si="5"/>
        <v>138572.20765914215</v>
      </c>
      <c r="G74" s="356">
        <f t="shared" si="0"/>
        <v>998.734703230274</v>
      </c>
      <c r="H74" s="360">
        <f>-SUM(E74:G74)*$H$21</f>
        <v>-1256.138481261352</v>
      </c>
      <c r="I74" s="356">
        <f t="shared" si="1"/>
        <v>-139.57094236237242</v>
      </c>
      <c r="J74" s="356">
        <f t="shared" si="2"/>
        <v>138175.2329387487</v>
      </c>
      <c r="M74" s="358"/>
      <c r="N74" s="356"/>
    </row>
    <row r="75" spans="1:14" x14ac:dyDescent="0.25">
      <c r="A75" s="356">
        <f t="shared" si="3"/>
        <v>52</v>
      </c>
      <c r="B75" s="357">
        <f t="shared" si="6"/>
        <v>4</v>
      </c>
      <c r="C75" s="357">
        <f t="shared" si="7"/>
        <v>4</v>
      </c>
      <c r="D75" s="357">
        <f t="shared" si="8"/>
        <v>33</v>
      </c>
      <c r="E75" s="356">
        <f t="shared" si="5"/>
        <v>138175.2329387487</v>
      </c>
      <c r="G75" s="356">
        <f t="shared" si="0"/>
        <v>995.8735780720654</v>
      </c>
      <c r="H75" s="356">
        <v>0</v>
      </c>
      <c r="I75" s="356">
        <f t="shared" si="1"/>
        <v>-139.17110651682077</v>
      </c>
      <c r="J75" s="356">
        <f t="shared" si="2"/>
        <v>139031.93541030394</v>
      </c>
      <c r="M75" s="358"/>
      <c r="N75" s="356"/>
    </row>
    <row r="76" spans="1:14" x14ac:dyDescent="0.25">
      <c r="A76" s="356">
        <f t="shared" si="3"/>
        <v>53</v>
      </c>
      <c r="B76" s="357">
        <f t="shared" si="6"/>
        <v>4</v>
      </c>
      <c r="C76" s="357">
        <f t="shared" si="7"/>
        <v>5</v>
      </c>
      <c r="D76" s="357">
        <f t="shared" si="8"/>
        <v>33</v>
      </c>
      <c r="E76" s="356">
        <f t="shared" si="5"/>
        <v>139031.93541030394</v>
      </c>
      <c r="G76" s="356">
        <f t="shared" si="0"/>
        <v>1002.0481097702974</v>
      </c>
      <c r="H76" s="356">
        <v>0</v>
      </c>
      <c r="I76" s="356">
        <f t="shared" si="1"/>
        <v>-140.03398352007423</v>
      </c>
      <c r="J76" s="356">
        <f t="shared" si="2"/>
        <v>139893.94953655414</v>
      </c>
      <c r="M76" s="358"/>
      <c r="N76" s="356"/>
    </row>
    <row r="77" spans="1:14" x14ac:dyDescent="0.25">
      <c r="A77" s="356">
        <f t="shared" si="3"/>
        <v>54</v>
      </c>
      <c r="B77" s="357">
        <f t="shared" si="6"/>
        <v>4</v>
      </c>
      <c r="C77" s="357">
        <f t="shared" si="7"/>
        <v>6</v>
      </c>
      <c r="D77" s="357">
        <f t="shared" si="8"/>
        <v>33</v>
      </c>
      <c r="E77" s="356">
        <f t="shared" si="5"/>
        <v>139893.94953655414</v>
      </c>
      <c r="G77" s="356">
        <f t="shared" si="0"/>
        <v>1008.2609242812597</v>
      </c>
      <c r="H77" s="360">
        <f>-SUM(E77:G77)*$H$21</f>
        <v>-1268.1198941475188</v>
      </c>
      <c r="I77" s="356">
        <f t="shared" si="1"/>
        <v>-140.9022104608354</v>
      </c>
      <c r="J77" s="356">
        <f t="shared" si="2"/>
        <v>139493.18835622704</v>
      </c>
      <c r="M77" s="358"/>
      <c r="N77" s="356"/>
    </row>
    <row r="78" spans="1:14" x14ac:dyDescent="0.25">
      <c r="A78" s="356">
        <f t="shared" si="3"/>
        <v>55</v>
      </c>
      <c r="B78" s="357">
        <f t="shared" si="6"/>
        <v>4</v>
      </c>
      <c r="C78" s="357">
        <f t="shared" si="7"/>
        <v>7</v>
      </c>
      <c r="D78" s="357">
        <f t="shared" si="8"/>
        <v>33</v>
      </c>
      <c r="E78" s="356">
        <f t="shared" si="5"/>
        <v>139493.18835622704</v>
      </c>
      <c r="G78" s="356">
        <f t="shared" si="0"/>
        <v>1005.3725088820858</v>
      </c>
      <c r="H78" s="356">
        <v>0</v>
      </c>
      <c r="I78" s="356">
        <f t="shared" si="1"/>
        <v>-140.4985608651091</v>
      </c>
      <c r="J78" s="356">
        <f t="shared" si="2"/>
        <v>140358.062304244</v>
      </c>
      <c r="M78" s="358"/>
      <c r="N78" s="356"/>
    </row>
    <row r="79" spans="1:14" x14ac:dyDescent="0.25">
      <c r="A79" s="356">
        <f t="shared" si="3"/>
        <v>56</v>
      </c>
      <c r="B79" s="357">
        <f t="shared" si="6"/>
        <v>4</v>
      </c>
      <c r="C79" s="357">
        <f t="shared" si="7"/>
        <v>8</v>
      </c>
      <c r="D79" s="357">
        <f t="shared" si="8"/>
        <v>33</v>
      </c>
      <c r="E79" s="356">
        <f t="shared" si="5"/>
        <v>140358.062304244</v>
      </c>
      <c r="G79" s="356">
        <f t="shared" si="0"/>
        <v>1011.6059350531476</v>
      </c>
      <c r="H79" s="356">
        <v>0</v>
      </c>
      <c r="I79" s="356">
        <f t="shared" si="1"/>
        <v>-141.36966823929714</v>
      </c>
      <c r="J79" s="356">
        <f t="shared" si="2"/>
        <v>141228.29857105785</v>
      </c>
      <c r="M79" s="358"/>
      <c r="N79" s="356"/>
    </row>
    <row r="80" spans="1:14" x14ac:dyDescent="0.25">
      <c r="A80" s="356">
        <f t="shared" si="3"/>
        <v>57</v>
      </c>
      <c r="B80" s="357">
        <f t="shared" si="6"/>
        <v>4</v>
      </c>
      <c r="C80" s="357">
        <f t="shared" si="7"/>
        <v>9</v>
      </c>
      <c r="D80" s="357">
        <f t="shared" si="8"/>
        <v>33</v>
      </c>
      <c r="E80" s="356">
        <f t="shared" si="5"/>
        <v>141228.29857105785</v>
      </c>
      <c r="G80" s="356">
        <f t="shared" si="0"/>
        <v>1017.8780091895028</v>
      </c>
      <c r="H80" s="360">
        <f>-SUM(E80:G80)*$H$21</f>
        <v>-1280.2155892222263</v>
      </c>
      <c r="I80" s="356">
        <f t="shared" si="1"/>
        <v>-142.24617658024735</v>
      </c>
      <c r="J80" s="356">
        <f t="shared" si="2"/>
        <v>140823.71481444486</v>
      </c>
      <c r="M80" s="358"/>
      <c r="N80" s="356"/>
    </row>
    <row r="81" spans="1:14" x14ac:dyDescent="0.25">
      <c r="A81" s="356">
        <f t="shared" si="3"/>
        <v>58</v>
      </c>
      <c r="B81" s="357">
        <f t="shared" si="6"/>
        <v>4</v>
      </c>
      <c r="C81" s="357">
        <f t="shared" si="7"/>
        <v>10</v>
      </c>
      <c r="D81" s="357">
        <f t="shared" si="8"/>
        <v>33</v>
      </c>
      <c r="E81" s="356">
        <f t="shared" si="5"/>
        <v>140823.71481444486</v>
      </c>
      <c r="G81" s="356">
        <f t="shared" si="0"/>
        <v>1014.9620432471359</v>
      </c>
      <c r="H81" s="356">
        <v>0</v>
      </c>
      <c r="I81" s="356">
        <f t="shared" si="1"/>
        <v>-141.83867685769198</v>
      </c>
      <c r="J81" s="356">
        <f t="shared" si="2"/>
        <v>141696.83818083428</v>
      </c>
      <c r="M81" s="358"/>
      <c r="N81" s="356"/>
    </row>
    <row r="82" spans="1:14" x14ac:dyDescent="0.25">
      <c r="A82" s="356">
        <f t="shared" si="3"/>
        <v>59</v>
      </c>
      <c r="B82" s="357">
        <f t="shared" si="6"/>
        <v>4</v>
      </c>
      <c r="C82" s="357">
        <f t="shared" si="7"/>
        <v>11</v>
      </c>
      <c r="D82" s="357">
        <f t="shared" si="8"/>
        <v>33</v>
      </c>
      <c r="E82" s="356">
        <f t="shared" si="5"/>
        <v>141696.83818083428</v>
      </c>
      <c r="G82" s="356">
        <f t="shared" si="0"/>
        <v>1021.2549256435781</v>
      </c>
      <c r="H82" s="356">
        <v>0</v>
      </c>
      <c r="I82" s="356">
        <f t="shared" si="1"/>
        <v>-142.71809310647788</v>
      </c>
      <c r="J82" s="356">
        <f t="shared" si="2"/>
        <v>142575.3750133714</v>
      </c>
      <c r="M82" s="358"/>
      <c r="N82" s="356"/>
    </row>
    <row r="83" spans="1:14" x14ac:dyDescent="0.25">
      <c r="A83" s="356">
        <f t="shared" si="3"/>
        <v>60</v>
      </c>
      <c r="B83" s="357">
        <f t="shared" si="6"/>
        <v>4</v>
      </c>
      <c r="C83" s="357">
        <f t="shared" si="7"/>
        <v>12</v>
      </c>
      <c r="D83" s="357">
        <f t="shared" si="8"/>
        <v>33</v>
      </c>
      <c r="E83" s="356">
        <f t="shared" si="5"/>
        <v>142575.3750133714</v>
      </c>
      <c r="G83" s="356">
        <f t="shared" si="0"/>
        <v>1027.586824640808</v>
      </c>
      <c r="H83" s="360">
        <f>-SUM(E83:G83)*$H$21</f>
        <v>-1292.42665654211</v>
      </c>
      <c r="I83" s="356">
        <f t="shared" si="1"/>
        <v>-143.60296183801222</v>
      </c>
      <c r="J83" s="356">
        <f t="shared" si="2"/>
        <v>142166.9322196321</v>
      </c>
      <c r="M83" s="358"/>
      <c r="N83" s="356"/>
    </row>
    <row r="84" spans="1:14" x14ac:dyDescent="0.25">
      <c r="A84" s="356">
        <f t="shared" si="3"/>
        <v>61</v>
      </c>
      <c r="B84" s="357">
        <f t="shared" si="6"/>
        <v>5</v>
      </c>
      <c r="C84" s="357">
        <f t="shared" si="7"/>
        <v>1</v>
      </c>
      <c r="D84" s="357">
        <f t="shared" si="8"/>
        <v>34</v>
      </c>
      <c r="E84" s="356">
        <f t="shared" si="5"/>
        <v>142166.9322196321</v>
      </c>
      <c r="G84" s="356">
        <f t="shared" si="0"/>
        <v>1024.6430453701823</v>
      </c>
      <c r="H84" s="356">
        <v>0</v>
      </c>
      <c r="I84" s="356">
        <f t="shared" si="1"/>
        <v>-143.19157526500226</v>
      </c>
      <c r="J84" s="356">
        <f t="shared" si="2"/>
        <v>143048.38368973727</v>
      </c>
      <c r="M84" s="358"/>
      <c r="N84" s="356"/>
    </row>
    <row r="85" spans="1:14" x14ac:dyDescent="0.25">
      <c r="A85" s="356">
        <f t="shared" si="3"/>
        <v>62</v>
      </c>
      <c r="B85" s="357">
        <f t="shared" si="6"/>
        <v>5</v>
      </c>
      <c r="C85" s="357">
        <f t="shared" si="7"/>
        <v>2</v>
      </c>
      <c r="D85" s="357">
        <f t="shared" si="8"/>
        <v>34</v>
      </c>
      <c r="E85" s="356">
        <f t="shared" si="5"/>
        <v>143048.38368973727</v>
      </c>
      <c r="G85" s="356">
        <f t="shared" si="0"/>
        <v>1030.9959511027146</v>
      </c>
      <c r="H85" s="356">
        <v>0</v>
      </c>
      <c r="I85" s="356">
        <f t="shared" si="1"/>
        <v>-144.07937964084</v>
      </c>
      <c r="J85" s="356">
        <f t="shared" si="2"/>
        <v>143935.30026119915</v>
      </c>
      <c r="M85" s="358"/>
      <c r="N85" s="356"/>
    </row>
    <row r="86" spans="1:14" x14ac:dyDescent="0.25">
      <c r="A86" s="356">
        <f t="shared" si="3"/>
        <v>63</v>
      </c>
      <c r="B86" s="357">
        <f t="shared" si="6"/>
        <v>5</v>
      </c>
      <c r="C86" s="357">
        <f t="shared" si="7"/>
        <v>3</v>
      </c>
      <c r="D86" s="357">
        <f t="shared" si="8"/>
        <v>34</v>
      </c>
      <c r="E86" s="356">
        <f t="shared" si="5"/>
        <v>143935.30026119915</v>
      </c>
      <c r="G86" s="356">
        <f t="shared" si="0"/>
        <v>1037.3882455876796</v>
      </c>
      <c r="H86" s="360">
        <f>-SUM(E86:G86)*$H$21</f>
        <v>-1304.7541965610817</v>
      </c>
      <c r="I86" s="356">
        <f t="shared" si="1"/>
        <v>-144.97268850678682</v>
      </c>
      <c r="J86" s="356">
        <f t="shared" si="2"/>
        <v>143522.96162171895</v>
      </c>
      <c r="M86" s="358"/>
      <c r="N86" s="356"/>
    </row>
    <row r="87" spans="1:14" x14ac:dyDescent="0.25">
      <c r="A87" s="356">
        <f t="shared" si="3"/>
        <v>64</v>
      </c>
      <c r="B87" s="357">
        <f t="shared" si="6"/>
        <v>5</v>
      </c>
      <c r="C87" s="357">
        <f t="shared" si="7"/>
        <v>4</v>
      </c>
      <c r="D87" s="357">
        <f t="shared" si="8"/>
        <v>34</v>
      </c>
      <c r="E87" s="356">
        <f t="shared" si="5"/>
        <v>143522.96162171895</v>
      </c>
      <c r="G87" s="356">
        <f t="shared" si="0"/>
        <v>1034.41638769721</v>
      </c>
      <c r="H87" s="356">
        <v>0</v>
      </c>
      <c r="I87" s="356">
        <f t="shared" si="1"/>
        <v>-144.55737800941617</v>
      </c>
      <c r="J87" s="356">
        <f t="shared" si="2"/>
        <v>144412.82063140674</v>
      </c>
      <c r="M87" s="358"/>
      <c r="N87" s="356"/>
    </row>
    <row r="88" spans="1:14" x14ac:dyDescent="0.25">
      <c r="A88" s="356">
        <f t="shared" si="3"/>
        <v>65</v>
      </c>
      <c r="B88" s="357">
        <f t="shared" si="6"/>
        <v>5</v>
      </c>
      <c r="C88" s="357">
        <f t="shared" si="7"/>
        <v>5</v>
      </c>
      <c r="D88" s="357">
        <f t="shared" si="8"/>
        <v>34</v>
      </c>
      <c r="E88" s="356">
        <f t="shared" si="5"/>
        <v>144412.82063140674</v>
      </c>
      <c r="G88" s="356">
        <f t="shared" ref="G88:G151" si="9">SUM(E88:F88)*$F$8</f>
        <v>1040.829889285807</v>
      </c>
      <c r="H88" s="356">
        <v>0</v>
      </c>
      <c r="I88" s="356">
        <f t="shared" ref="I88:I151" si="10">-SUM(E88:G88)*0.1%</f>
        <v>-145.45365052069255</v>
      </c>
      <c r="J88" s="356">
        <f t="shared" ref="J88:J151" si="11">SUM(E88:I88)</f>
        <v>145308.19687017184</v>
      </c>
      <c r="M88" s="358"/>
      <c r="N88" s="356"/>
    </row>
    <row r="89" spans="1:14" x14ac:dyDescent="0.25">
      <c r="A89" s="356">
        <f t="shared" ref="A89:A152" si="12">+A88+1</f>
        <v>66</v>
      </c>
      <c r="B89" s="357">
        <f t="shared" si="6"/>
        <v>5</v>
      </c>
      <c r="C89" s="357">
        <f t="shared" si="7"/>
        <v>6</v>
      </c>
      <c r="D89" s="357">
        <f t="shared" si="8"/>
        <v>34</v>
      </c>
      <c r="E89" s="356">
        <f t="shared" ref="E89:E152" si="13">J88</f>
        <v>145308.19687017184</v>
      </c>
      <c r="G89" s="356">
        <f t="shared" si="9"/>
        <v>1047.2831553281737</v>
      </c>
      <c r="H89" s="360">
        <f>-SUM(E89:G89)*$H$21</f>
        <v>-1317.1993202295005</v>
      </c>
      <c r="I89" s="356">
        <f t="shared" si="10"/>
        <v>-146.35548002550004</v>
      </c>
      <c r="J89" s="356">
        <f t="shared" si="11"/>
        <v>144891.92522524504</v>
      </c>
      <c r="M89" s="358"/>
      <c r="N89" s="356"/>
    </row>
    <row r="90" spans="1:14" x14ac:dyDescent="0.25">
      <c r="A90" s="356">
        <f t="shared" si="12"/>
        <v>67</v>
      </c>
      <c r="B90" s="357">
        <f t="shared" si="6"/>
        <v>5</v>
      </c>
      <c r="C90" s="357">
        <f t="shared" si="7"/>
        <v>7</v>
      </c>
      <c r="D90" s="357">
        <f t="shared" si="8"/>
        <v>34</v>
      </c>
      <c r="E90" s="356">
        <f t="shared" si="13"/>
        <v>144891.92522524504</v>
      </c>
      <c r="G90" s="356">
        <f t="shared" si="9"/>
        <v>1044.282950995846</v>
      </c>
      <c r="H90" s="356">
        <v>0</v>
      </c>
      <c r="I90" s="356">
        <f t="shared" si="10"/>
        <v>-145.93620817624088</v>
      </c>
      <c r="J90" s="356">
        <f t="shared" si="11"/>
        <v>145790.27196806463</v>
      </c>
      <c r="M90" s="358"/>
      <c r="N90" s="356"/>
    </row>
    <row r="91" spans="1:14" x14ac:dyDescent="0.25">
      <c r="A91" s="356">
        <f t="shared" si="12"/>
        <v>68</v>
      </c>
      <c r="B91" s="357">
        <f t="shared" si="6"/>
        <v>5</v>
      </c>
      <c r="C91" s="357">
        <f t="shared" si="7"/>
        <v>8</v>
      </c>
      <c r="D91" s="357">
        <f t="shared" si="8"/>
        <v>34</v>
      </c>
      <c r="E91" s="356">
        <f t="shared" si="13"/>
        <v>145790.27196806463</v>
      </c>
      <c r="G91" s="356">
        <f t="shared" si="9"/>
        <v>1050.757626421345</v>
      </c>
      <c r="H91" s="356">
        <v>0</v>
      </c>
      <c r="I91" s="356">
        <f t="shared" si="10"/>
        <v>-146.84102959448597</v>
      </c>
      <c r="J91" s="356">
        <f t="shared" si="11"/>
        <v>146694.1885648915</v>
      </c>
      <c r="M91" s="358"/>
      <c r="N91" s="356"/>
    </row>
    <row r="92" spans="1:14" x14ac:dyDescent="0.25">
      <c r="A92" s="356">
        <f t="shared" si="12"/>
        <v>69</v>
      </c>
      <c r="B92" s="357">
        <f t="shared" si="6"/>
        <v>5</v>
      </c>
      <c r="C92" s="357">
        <f t="shared" si="7"/>
        <v>9</v>
      </c>
      <c r="D92" s="357">
        <f t="shared" si="8"/>
        <v>34</v>
      </c>
      <c r="E92" s="356">
        <f t="shared" si="13"/>
        <v>146694.1885648915</v>
      </c>
      <c r="G92" s="356">
        <f t="shared" si="9"/>
        <v>1057.2724455854984</v>
      </c>
      <c r="H92" s="360">
        <f>-SUM(E92:G92)*$H$21</f>
        <v>-1329.7631490942929</v>
      </c>
      <c r="I92" s="356">
        <f t="shared" si="10"/>
        <v>-147.751461010477</v>
      </c>
      <c r="J92" s="356">
        <f t="shared" si="11"/>
        <v>146273.9464003722</v>
      </c>
      <c r="M92" s="358"/>
      <c r="N92" s="356"/>
    </row>
    <row r="93" spans="1:14" x14ac:dyDescent="0.25">
      <c r="A93" s="356">
        <f t="shared" si="12"/>
        <v>70</v>
      </c>
      <c r="B93" s="357">
        <f t="shared" si="6"/>
        <v>5</v>
      </c>
      <c r="C93" s="357">
        <f t="shared" si="7"/>
        <v>10</v>
      </c>
      <c r="D93" s="357">
        <f t="shared" si="8"/>
        <v>34</v>
      </c>
      <c r="E93" s="356">
        <f t="shared" si="13"/>
        <v>146273.9464003722</v>
      </c>
      <c r="G93" s="356">
        <f t="shared" si="9"/>
        <v>1054.2436244347348</v>
      </c>
      <c r="H93" s="356">
        <v>0</v>
      </c>
      <c r="I93" s="356">
        <f t="shared" si="10"/>
        <v>-147.32819002480696</v>
      </c>
      <c r="J93" s="356">
        <f t="shared" si="11"/>
        <v>147180.86183478215</v>
      </c>
      <c r="M93" s="358"/>
      <c r="N93" s="356"/>
    </row>
    <row r="94" spans="1:14" x14ac:dyDescent="0.25">
      <c r="A94" s="356">
        <f t="shared" si="12"/>
        <v>71</v>
      </c>
      <c r="B94" s="357">
        <f t="shared" si="6"/>
        <v>5</v>
      </c>
      <c r="C94" s="357">
        <f t="shared" si="7"/>
        <v>11</v>
      </c>
      <c r="D94" s="357">
        <f t="shared" si="8"/>
        <v>34</v>
      </c>
      <c r="E94" s="356">
        <f t="shared" si="13"/>
        <v>147180.86183478215</v>
      </c>
      <c r="G94" s="356">
        <f t="shared" si="9"/>
        <v>1060.7800571909218</v>
      </c>
      <c r="H94" s="356">
        <v>0</v>
      </c>
      <c r="I94" s="356">
        <f t="shared" si="10"/>
        <v>-148.24164189197307</v>
      </c>
      <c r="J94" s="356">
        <f t="shared" si="11"/>
        <v>148093.4002500811</v>
      </c>
      <c r="M94" s="358"/>
      <c r="N94" s="356"/>
    </row>
    <row r="95" spans="1:14" x14ac:dyDescent="0.25">
      <c r="A95" s="356">
        <f t="shared" si="12"/>
        <v>72</v>
      </c>
      <c r="B95" s="357">
        <f t="shared" si="6"/>
        <v>5</v>
      </c>
      <c r="C95" s="357">
        <f t="shared" si="7"/>
        <v>12</v>
      </c>
      <c r="D95" s="357">
        <f t="shared" si="8"/>
        <v>34</v>
      </c>
      <c r="E95" s="356">
        <f t="shared" si="13"/>
        <v>148093.4002500811</v>
      </c>
      <c r="G95" s="356">
        <f t="shared" si="9"/>
        <v>1067.3570165883764</v>
      </c>
      <c r="H95" s="360">
        <f>-SUM(E95:G95)*$H$21</f>
        <v>-1342.4468154000253</v>
      </c>
      <c r="I95" s="356">
        <f t="shared" si="10"/>
        <v>-149.1607572666695</v>
      </c>
      <c r="J95" s="356">
        <f t="shared" si="11"/>
        <v>147669.14969400276</v>
      </c>
      <c r="M95" s="358"/>
      <c r="N95" s="356"/>
    </row>
    <row r="96" spans="1:14" x14ac:dyDescent="0.25">
      <c r="A96" s="356">
        <f t="shared" si="12"/>
        <v>73</v>
      </c>
      <c r="B96" s="357">
        <f t="shared" si="6"/>
        <v>6</v>
      </c>
      <c r="C96" s="357">
        <f t="shared" si="7"/>
        <v>1</v>
      </c>
      <c r="D96" s="357">
        <f t="shared" si="8"/>
        <v>35</v>
      </c>
      <c r="E96" s="356">
        <f t="shared" si="13"/>
        <v>147669.14969400276</v>
      </c>
      <c r="G96" s="356">
        <f t="shared" si="9"/>
        <v>1064.299305663669</v>
      </c>
      <c r="H96" s="356">
        <v>0</v>
      </c>
      <c r="I96" s="356">
        <f t="shared" si="10"/>
        <v>-148.73344899966645</v>
      </c>
      <c r="J96" s="356">
        <f t="shared" si="11"/>
        <v>148584.71555066676</v>
      </c>
      <c r="M96" s="358"/>
      <c r="N96" s="356"/>
    </row>
    <row r="97" spans="1:14" x14ac:dyDescent="0.25">
      <c r="A97" s="356">
        <f t="shared" si="12"/>
        <v>74</v>
      </c>
      <c r="B97" s="357">
        <f t="shared" si="6"/>
        <v>6</v>
      </c>
      <c r="C97" s="357">
        <f t="shared" si="7"/>
        <v>2</v>
      </c>
      <c r="D97" s="357">
        <f t="shared" si="8"/>
        <v>35</v>
      </c>
      <c r="E97" s="356">
        <f t="shared" si="13"/>
        <v>148584.71555066676</v>
      </c>
      <c r="G97" s="356">
        <f t="shared" si="9"/>
        <v>1070.8980848098622</v>
      </c>
      <c r="H97" s="356">
        <v>0</v>
      </c>
      <c r="I97" s="356">
        <f t="shared" si="10"/>
        <v>-149.6556136354766</v>
      </c>
      <c r="J97" s="356">
        <f t="shared" si="11"/>
        <v>149505.95802184116</v>
      </c>
      <c r="M97" s="358"/>
      <c r="N97" s="356"/>
    </row>
    <row r="98" spans="1:14" x14ac:dyDescent="0.25">
      <c r="A98" s="356">
        <f t="shared" si="12"/>
        <v>75</v>
      </c>
      <c r="B98" s="357">
        <f t="shared" si="6"/>
        <v>6</v>
      </c>
      <c r="C98" s="357">
        <f t="shared" si="7"/>
        <v>3</v>
      </c>
      <c r="D98" s="357">
        <f t="shared" si="8"/>
        <v>35</v>
      </c>
      <c r="E98" s="356">
        <f t="shared" si="13"/>
        <v>149505.95802184116</v>
      </c>
      <c r="G98" s="356">
        <f t="shared" si="9"/>
        <v>1077.5377771521728</v>
      </c>
      <c r="H98" s="360">
        <f>-SUM(E98:G98)*$H$21</f>
        <v>-1355.2514621909402</v>
      </c>
      <c r="I98" s="356">
        <f t="shared" si="10"/>
        <v>-150.58349579899334</v>
      </c>
      <c r="J98" s="356">
        <f t="shared" si="11"/>
        <v>149077.6608410034</v>
      </c>
      <c r="M98" s="358"/>
      <c r="N98" s="356"/>
    </row>
    <row r="99" spans="1:14" x14ac:dyDescent="0.25">
      <c r="A99" s="356">
        <f t="shared" si="12"/>
        <v>76</v>
      </c>
      <c r="B99" s="357">
        <f t="shared" si="6"/>
        <v>6</v>
      </c>
      <c r="C99" s="357">
        <f t="shared" si="7"/>
        <v>4</v>
      </c>
      <c r="D99" s="357">
        <f t="shared" si="8"/>
        <v>35</v>
      </c>
      <c r="E99" s="356">
        <f t="shared" si="13"/>
        <v>149077.6608410034</v>
      </c>
      <c r="G99" s="356">
        <f t="shared" si="9"/>
        <v>1074.4509008944854</v>
      </c>
      <c r="H99" s="356">
        <v>0</v>
      </c>
      <c r="I99" s="356">
        <f t="shared" si="10"/>
        <v>-150.1521117418979</v>
      </c>
      <c r="J99" s="356">
        <f t="shared" si="11"/>
        <v>150001.959630156</v>
      </c>
      <c r="M99" s="358"/>
      <c r="N99" s="356"/>
    </row>
    <row r="100" spans="1:14" x14ac:dyDescent="0.25">
      <c r="A100" s="356">
        <f t="shared" si="12"/>
        <v>77</v>
      </c>
      <c r="B100" s="357">
        <f t="shared" ref="B100:B163" si="14">B88+1</f>
        <v>6</v>
      </c>
      <c r="C100" s="357">
        <f t="shared" ref="C100:C163" si="15">C88</f>
        <v>5</v>
      </c>
      <c r="D100" s="357">
        <f t="shared" ref="D100:D163" si="16">D88+1</f>
        <v>35</v>
      </c>
      <c r="E100" s="356">
        <f t="shared" si="13"/>
        <v>150001.959630156</v>
      </c>
      <c r="G100" s="356">
        <f t="shared" si="9"/>
        <v>1081.1126211086216</v>
      </c>
      <c r="H100" s="356">
        <v>0</v>
      </c>
      <c r="I100" s="356">
        <f t="shared" si="10"/>
        <v>-151.0830722512646</v>
      </c>
      <c r="J100" s="356">
        <f t="shared" si="11"/>
        <v>150931.98917901336</v>
      </c>
      <c r="M100" s="358"/>
      <c r="N100" s="356"/>
    </row>
    <row r="101" spans="1:14" x14ac:dyDescent="0.25">
      <c r="A101" s="356">
        <f t="shared" si="12"/>
        <v>78</v>
      </c>
      <c r="B101" s="357">
        <f t="shared" si="14"/>
        <v>6</v>
      </c>
      <c r="C101" s="357">
        <f t="shared" si="15"/>
        <v>6</v>
      </c>
      <c r="D101" s="357">
        <f t="shared" si="16"/>
        <v>35</v>
      </c>
      <c r="E101" s="356">
        <f t="shared" si="13"/>
        <v>150931.98917901336</v>
      </c>
      <c r="G101" s="356">
        <f t="shared" si="9"/>
        <v>1087.8156447607973</v>
      </c>
      <c r="H101" s="360">
        <f>-SUM(E101:G101)*$H$21</f>
        <v>-1368.1782434139675</v>
      </c>
      <c r="I101" s="356">
        <f t="shared" si="10"/>
        <v>-152.01980482377414</v>
      </c>
      <c r="J101" s="356">
        <f t="shared" si="11"/>
        <v>150499.6067755364</v>
      </c>
      <c r="M101" s="358"/>
      <c r="N101" s="356"/>
    </row>
    <row r="102" spans="1:14" x14ac:dyDescent="0.25">
      <c r="A102" s="356">
        <f t="shared" si="12"/>
        <v>79</v>
      </c>
      <c r="B102" s="357">
        <f t="shared" si="14"/>
        <v>6</v>
      </c>
      <c r="C102" s="357">
        <f t="shared" si="15"/>
        <v>7</v>
      </c>
      <c r="D102" s="357">
        <f t="shared" si="16"/>
        <v>35</v>
      </c>
      <c r="E102" s="356">
        <f t="shared" si="13"/>
        <v>150499.6067755364</v>
      </c>
      <c r="G102" s="356">
        <f t="shared" si="9"/>
        <v>1084.6993249827308</v>
      </c>
      <c r="H102" s="356">
        <v>0</v>
      </c>
      <c r="I102" s="356">
        <f t="shared" si="10"/>
        <v>-151.58430610051914</v>
      </c>
      <c r="J102" s="356">
        <f t="shared" si="11"/>
        <v>151432.7217944186</v>
      </c>
      <c r="M102" s="358"/>
      <c r="N102" s="356"/>
    </row>
    <row r="103" spans="1:14" x14ac:dyDescent="0.25">
      <c r="A103" s="356">
        <f t="shared" si="12"/>
        <v>80</v>
      </c>
      <c r="B103" s="357">
        <f t="shared" si="14"/>
        <v>6</v>
      </c>
      <c r="C103" s="357">
        <f t="shared" si="15"/>
        <v>8</v>
      </c>
      <c r="D103" s="357">
        <f t="shared" si="16"/>
        <v>35</v>
      </c>
      <c r="E103" s="356">
        <f t="shared" si="13"/>
        <v>151432.7217944186</v>
      </c>
      <c r="G103" s="356">
        <f t="shared" si="9"/>
        <v>1091.424586614958</v>
      </c>
      <c r="H103" s="356">
        <v>0</v>
      </c>
      <c r="I103" s="356">
        <f t="shared" si="10"/>
        <v>-152.52414638103357</v>
      </c>
      <c r="J103" s="356">
        <f t="shared" si="11"/>
        <v>152371.62223465255</v>
      </c>
      <c r="M103" s="358"/>
      <c r="N103" s="356"/>
    </row>
    <row r="104" spans="1:14" x14ac:dyDescent="0.25">
      <c r="A104" s="356">
        <f t="shared" si="12"/>
        <v>81</v>
      </c>
      <c r="B104" s="357">
        <f t="shared" si="14"/>
        <v>6</v>
      </c>
      <c r="C104" s="357">
        <f t="shared" si="15"/>
        <v>9</v>
      </c>
      <c r="D104" s="357">
        <f t="shared" si="16"/>
        <v>35</v>
      </c>
      <c r="E104" s="356">
        <f t="shared" si="13"/>
        <v>152371.62223465255</v>
      </c>
      <c r="G104" s="356">
        <f t="shared" si="9"/>
        <v>1098.1915456493869</v>
      </c>
      <c r="H104" s="360">
        <f>-SUM(E104:G104)*$H$21</f>
        <v>-1381.2283240227175</v>
      </c>
      <c r="I104" s="356">
        <f t="shared" si="10"/>
        <v>-153.46981378030193</v>
      </c>
      <c r="J104" s="356">
        <f t="shared" si="11"/>
        <v>151935.1156424989</v>
      </c>
      <c r="M104" s="358"/>
      <c r="N104" s="356"/>
    </row>
    <row r="105" spans="1:14" x14ac:dyDescent="0.25">
      <c r="A105" s="356">
        <f t="shared" si="12"/>
        <v>82</v>
      </c>
      <c r="B105" s="357">
        <f t="shared" si="14"/>
        <v>6</v>
      </c>
      <c r="C105" s="357">
        <f t="shared" si="15"/>
        <v>10</v>
      </c>
      <c r="D105" s="357">
        <f t="shared" si="16"/>
        <v>35</v>
      </c>
      <c r="E105" s="356">
        <f t="shared" si="13"/>
        <v>151935.1156424989</v>
      </c>
      <c r="G105" s="356">
        <f t="shared" si="9"/>
        <v>1095.0455015101104</v>
      </c>
      <c r="H105" s="356">
        <v>0</v>
      </c>
      <c r="I105" s="356">
        <f t="shared" si="10"/>
        <v>-153.030161144009</v>
      </c>
      <c r="J105" s="356">
        <f t="shared" si="11"/>
        <v>152877.130982865</v>
      </c>
      <c r="M105" s="358"/>
      <c r="N105" s="356"/>
    </row>
    <row r="106" spans="1:14" x14ac:dyDescent="0.25">
      <c r="A106" s="356">
        <f t="shared" si="12"/>
        <v>83</v>
      </c>
      <c r="B106" s="357">
        <f t="shared" si="14"/>
        <v>6</v>
      </c>
      <c r="C106" s="357">
        <f t="shared" si="15"/>
        <v>11</v>
      </c>
      <c r="D106" s="357">
        <f t="shared" si="16"/>
        <v>35</v>
      </c>
      <c r="E106" s="356">
        <f t="shared" si="13"/>
        <v>152877.130982865</v>
      </c>
      <c r="G106" s="356">
        <f t="shared" si="9"/>
        <v>1101.8349106368896</v>
      </c>
      <c r="H106" s="356">
        <v>0</v>
      </c>
      <c r="I106" s="356">
        <f t="shared" si="10"/>
        <v>-153.97896589350188</v>
      </c>
      <c r="J106" s="356">
        <f t="shared" si="11"/>
        <v>153824.98692760838</v>
      </c>
      <c r="M106" s="358"/>
      <c r="N106" s="356"/>
    </row>
    <row r="107" spans="1:14" x14ac:dyDescent="0.25">
      <c r="A107" s="356">
        <f t="shared" si="12"/>
        <v>84</v>
      </c>
      <c r="B107" s="357">
        <f t="shared" si="14"/>
        <v>6</v>
      </c>
      <c r="C107" s="357">
        <f t="shared" si="15"/>
        <v>12</v>
      </c>
      <c r="D107" s="357">
        <f t="shared" si="16"/>
        <v>35</v>
      </c>
      <c r="E107" s="356">
        <f t="shared" si="13"/>
        <v>153824.98692760838</v>
      </c>
      <c r="G107" s="356">
        <f t="shared" si="9"/>
        <v>1108.6664148877774</v>
      </c>
      <c r="H107" s="360">
        <f>-SUM(E107:G107)*$H$21</f>
        <v>-1394.4028800824656</v>
      </c>
      <c r="I107" s="356">
        <f t="shared" si="10"/>
        <v>-154.93365334249617</v>
      </c>
      <c r="J107" s="356">
        <f t="shared" si="11"/>
        <v>153384.3168090712</v>
      </c>
      <c r="M107" s="358"/>
      <c r="N107" s="356"/>
    </row>
    <row r="108" spans="1:14" x14ac:dyDescent="0.25">
      <c r="A108" s="356">
        <f t="shared" si="12"/>
        <v>85</v>
      </c>
      <c r="B108" s="357">
        <f t="shared" si="14"/>
        <v>7</v>
      </c>
      <c r="C108" s="357">
        <f t="shared" si="15"/>
        <v>1</v>
      </c>
      <c r="D108" s="357">
        <f t="shared" si="16"/>
        <v>36</v>
      </c>
      <c r="E108" s="356">
        <f t="shared" si="13"/>
        <v>153384.3168090712</v>
      </c>
      <c r="G108" s="356">
        <f t="shared" si="9"/>
        <v>1105.4903628677196</v>
      </c>
      <c r="H108" s="356">
        <v>0</v>
      </c>
      <c r="I108" s="356">
        <f t="shared" si="10"/>
        <v>-154.4898071719389</v>
      </c>
      <c r="J108" s="356">
        <f t="shared" si="11"/>
        <v>154335.31736476696</v>
      </c>
      <c r="M108" s="358"/>
      <c r="N108" s="356"/>
    </row>
    <row r="109" spans="1:14" x14ac:dyDescent="0.25">
      <c r="A109" s="356">
        <f t="shared" si="12"/>
        <v>86</v>
      </c>
      <c r="B109" s="357">
        <f t="shared" si="14"/>
        <v>7</v>
      </c>
      <c r="C109" s="357">
        <f t="shared" si="15"/>
        <v>2</v>
      </c>
      <c r="D109" s="357">
        <f t="shared" si="16"/>
        <v>36</v>
      </c>
      <c r="E109" s="356">
        <f t="shared" si="13"/>
        <v>154335.31736476696</v>
      </c>
      <c r="G109" s="356">
        <f t="shared" si="9"/>
        <v>1112.3445313464447</v>
      </c>
      <c r="H109" s="356">
        <v>0</v>
      </c>
      <c r="I109" s="356">
        <f t="shared" si="10"/>
        <v>-155.4476618961134</v>
      </c>
      <c r="J109" s="356">
        <f t="shared" si="11"/>
        <v>155292.21423421727</v>
      </c>
      <c r="M109" s="358"/>
      <c r="N109" s="356"/>
    </row>
    <row r="110" spans="1:14" x14ac:dyDescent="0.25">
      <c r="A110" s="356">
        <f t="shared" si="12"/>
        <v>87</v>
      </c>
      <c r="B110" s="357">
        <f t="shared" si="14"/>
        <v>7</v>
      </c>
      <c r="C110" s="357">
        <f t="shared" si="15"/>
        <v>3</v>
      </c>
      <c r="D110" s="357">
        <f t="shared" si="16"/>
        <v>36</v>
      </c>
      <c r="E110" s="356">
        <f t="shared" si="13"/>
        <v>155292.21423421727</v>
      </c>
      <c r="G110" s="356">
        <f t="shared" si="9"/>
        <v>1119.2411964647722</v>
      </c>
      <c r="H110" s="360">
        <f>-SUM(E110:G110)*$H$21</f>
        <v>-1407.7030988761387</v>
      </c>
      <c r="I110" s="356">
        <f t="shared" si="10"/>
        <v>-156.41145543068205</v>
      </c>
      <c r="J110" s="356">
        <f t="shared" si="11"/>
        <v>154847.34087637524</v>
      </c>
      <c r="M110" s="358"/>
      <c r="N110" s="356"/>
    </row>
    <row r="111" spans="1:14" x14ac:dyDescent="0.25">
      <c r="A111" s="356">
        <f t="shared" si="12"/>
        <v>88</v>
      </c>
      <c r="B111" s="357">
        <f t="shared" si="14"/>
        <v>7</v>
      </c>
      <c r="C111" s="357">
        <f t="shared" si="15"/>
        <v>4</v>
      </c>
      <c r="D111" s="357">
        <f t="shared" si="16"/>
        <v>36</v>
      </c>
      <c r="E111" s="356">
        <f t="shared" si="13"/>
        <v>154847.34087637524</v>
      </c>
      <c r="G111" s="356">
        <f t="shared" si="9"/>
        <v>1116.0348503400692</v>
      </c>
      <c r="H111" s="356">
        <v>0</v>
      </c>
      <c r="I111" s="356">
        <f t="shared" si="10"/>
        <v>-155.96337572671533</v>
      </c>
      <c r="J111" s="356">
        <f t="shared" si="11"/>
        <v>155807.4123509886</v>
      </c>
      <c r="M111" s="358"/>
      <c r="N111" s="356"/>
    </row>
    <row r="112" spans="1:14" x14ac:dyDescent="0.25">
      <c r="A112" s="356">
        <f t="shared" si="12"/>
        <v>89</v>
      </c>
      <c r="B112" s="357">
        <f t="shared" si="14"/>
        <v>7</v>
      </c>
      <c r="C112" s="357">
        <f t="shared" si="15"/>
        <v>5</v>
      </c>
      <c r="D112" s="357">
        <f t="shared" si="16"/>
        <v>36</v>
      </c>
      <c r="E112" s="356">
        <f t="shared" si="13"/>
        <v>155807.4123509886</v>
      </c>
      <c r="G112" s="356">
        <f t="shared" si="9"/>
        <v>1122.9543958642078</v>
      </c>
      <c r="H112" s="356">
        <v>0</v>
      </c>
      <c r="I112" s="356">
        <f t="shared" si="10"/>
        <v>-156.93036674685283</v>
      </c>
      <c r="J112" s="356">
        <f t="shared" si="11"/>
        <v>156773.43638010597</v>
      </c>
      <c r="M112" s="358"/>
      <c r="N112" s="356"/>
    </row>
    <row r="113" spans="1:14" x14ac:dyDescent="0.25">
      <c r="A113" s="356">
        <f t="shared" si="12"/>
        <v>90</v>
      </c>
      <c r="B113" s="357">
        <f t="shared" si="14"/>
        <v>7</v>
      </c>
      <c r="C113" s="357">
        <f t="shared" si="15"/>
        <v>6</v>
      </c>
      <c r="D113" s="357">
        <f t="shared" si="16"/>
        <v>36</v>
      </c>
      <c r="E113" s="356">
        <f t="shared" si="13"/>
        <v>156773.43638010597</v>
      </c>
      <c r="G113" s="356">
        <f t="shared" si="9"/>
        <v>1129.9168433732139</v>
      </c>
      <c r="H113" s="360">
        <f>-SUM(E113:G113)*$H$21</f>
        <v>-1421.1301790113127</v>
      </c>
      <c r="I113" s="356">
        <f t="shared" si="10"/>
        <v>-157.90335322347917</v>
      </c>
      <c r="J113" s="356">
        <f t="shared" si="11"/>
        <v>156324.31969124437</v>
      </c>
      <c r="M113" s="358"/>
      <c r="N113" s="356"/>
    </row>
    <row r="114" spans="1:14" x14ac:dyDescent="0.25">
      <c r="A114" s="356">
        <f t="shared" si="12"/>
        <v>91</v>
      </c>
      <c r="B114" s="357">
        <f t="shared" si="14"/>
        <v>7</v>
      </c>
      <c r="C114" s="357">
        <f t="shared" si="15"/>
        <v>7</v>
      </c>
      <c r="D114" s="357">
        <f t="shared" si="16"/>
        <v>36</v>
      </c>
      <c r="E114" s="356">
        <f t="shared" si="13"/>
        <v>156324.31969124437</v>
      </c>
      <c r="G114" s="356">
        <f t="shared" si="9"/>
        <v>1126.6799141899155</v>
      </c>
      <c r="H114" s="356">
        <v>0</v>
      </c>
      <c r="I114" s="356">
        <f t="shared" si="10"/>
        <v>-157.45099960543428</v>
      </c>
      <c r="J114" s="356">
        <f t="shared" si="11"/>
        <v>157293.54860582884</v>
      </c>
      <c r="M114" s="358"/>
      <c r="N114" s="356"/>
    </row>
    <row r="115" spans="1:14" x14ac:dyDescent="0.25">
      <c r="A115" s="356">
        <f t="shared" si="12"/>
        <v>92</v>
      </c>
      <c r="B115" s="357">
        <f t="shared" si="14"/>
        <v>7</v>
      </c>
      <c r="C115" s="357">
        <f t="shared" si="15"/>
        <v>8</v>
      </c>
      <c r="D115" s="357">
        <f t="shared" si="16"/>
        <v>36</v>
      </c>
      <c r="E115" s="356">
        <f t="shared" si="13"/>
        <v>157293.54860582884</v>
      </c>
      <c r="G115" s="356">
        <f t="shared" si="9"/>
        <v>1133.6654603446739</v>
      </c>
      <c r="H115" s="356">
        <v>0</v>
      </c>
      <c r="I115" s="356">
        <f t="shared" si="10"/>
        <v>-158.42721406617352</v>
      </c>
      <c r="J115" s="356">
        <f t="shared" si="11"/>
        <v>158268.78685210733</v>
      </c>
      <c r="M115" s="358"/>
      <c r="N115" s="356"/>
    </row>
    <row r="116" spans="1:14" x14ac:dyDescent="0.25">
      <c r="A116" s="356">
        <f t="shared" si="12"/>
        <v>93</v>
      </c>
      <c r="B116" s="357">
        <f t="shared" si="14"/>
        <v>7</v>
      </c>
      <c r="C116" s="357">
        <f t="shared" si="15"/>
        <v>9</v>
      </c>
      <c r="D116" s="357">
        <f t="shared" si="16"/>
        <v>36</v>
      </c>
      <c r="E116" s="356">
        <f t="shared" si="13"/>
        <v>158268.78685210733</v>
      </c>
      <c r="G116" s="356">
        <f t="shared" si="9"/>
        <v>1140.6943176958653</v>
      </c>
      <c r="H116" s="360">
        <f>-SUM(E116:G116)*$H$21</f>
        <v>-1434.6853305282289</v>
      </c>
      <c r="I116" s="356">
        <f t="shared" si="10"/>
        <v>-159.4094811698032</v>
      </c>
      <c r="J116" s="356">
        <f t="shared" si="11"/>
        <v>157815.38635810514</v>
      </c>
      <c r="M116" s="358"/>
      <c r="N116" s="356"/>
    </row>
    <row r="117" spans="1:14" x14ac:dyDescent="0.25">
      <c r="A117" s="356">
        <f t="shared" si="12"/>
        <v>94</v>
      </c>
      <c r="B117" s="357">
        <f t="shared" si="14"/>
        <v>7</v>
      </c>
      <c r="C117" s="357">
        <f t="shared" si="15"/>
        <v>10</v>
      </c>
      <c r="D117" s="357">
        <f t="shared" si="16"/>
        <v>36</v>
      </c>
      <c r="E117" s="356">
        <f t="shared" si="13"/>
        <v>157815.38635810514</v>
      </c>
      <c r="G117" s="356">
        <f t="shared" si="9"/>
        <v>1137.4265137438954</v>
      </c>
      <c r="H117" s="356">
        <v>0</v>
      </c>
      <c r="I117" s="356">
        <f t="shared" si="10"/>
        <v>-158.95281287184906</v>
      </c>
      <c r="J117" s="356">
        <f t="shared" si="11"/>
        <v>158793.8600589772</v>
      </c>
      <c r="M117" s="358"/>
      <c r="N117" s="356"/>
    </row>
    <row r="118" spans="1:14" x14ac:dyDescent="0.25">
      <c r="A118" s="356">
        <f t="shared" si="12"/>
        <v>95</v>
      </c>
      <c r="B118" s="357">
        <f t="shared" si="14"/>
        <v>7</v>
      </c>
      <c r="C118" s="357">
        <f t="shared" si="15"/>
        <v>11</v>
      </c>
      <c r="D118" s="357">
        <f t="shared" si="16"/>
        <v>36</v>
      </c>
      <c r="E118" s="356">
        <f t="shared" si="13"/>
        <v>158793.8600589772</v>
      </c>
      <c r="G118" s="356">
        <f t="shared" si="9"/>
        <v>1144.4786900624172</v>
      </c>
      <c r="H118" s="356">
        <v>0</v>
      </c>
      <c r="I118" s="356">
        <f t="shared" si="10"/>
        <v>-159.93833874903964</v>
      </c>
      <c r="J118" s="356">
        <f t="shared" si="11"/>
        <v>159778.40041029057</v>
      </c>
      <c r="M118" s="358"/>
      <c r="N118" s="356"/>
    </row>
    <row r="119" spans="1:14" x14ac:dyDescent="0.25">
      <c r="A119" s="356">
        <f t="shared" si="12"/>
        <v>96</v>
      </c>
      <c r="B119" s="357">
        <f t="shared" si="14"/>
        <v>7</v>
      </c>
      <c r="C119" s="357">
        <f t="shared" si="15"/>
        <v>12</v>
      </c>
      <c r="D119" s="357">
        <f t="shared" si="16"/>
        <v>36</v>
      </c>
      <c r="E119" s="356">
        <f t="shared" si="13"/>
        <v>159778.40041029057</v>
      </c>
      <c r="G119" s="356">
        <f t="shared" si="9"/>
        <v>1151.5745906921154</v>
      </c>
      <c r="H119" s="360">
        <f>-SUM(E119:G119)*$H$21</f>
        <v>-1448.3697750088445</v>
      </c>
      <c r="I119" s="356">
        <f t="shared" si="10"/>
        <v>-160.9299750009827</v>
      </c>
      <c r="J119" s="356">
        <f t="shared" si="11"/>
        <v>159320.67525097285</v>
      </c>
      <c r="M119" s="358"/>
      <c r="N119" s="356"/>
    </row>
    <row r="120" spans="1:14" x14ac:dyDescent="0.25">
      <c r="A120" s="356">
        <f t="shared" si="12"/>
        <v>97</v>
      </c>
      <c r="B120" s="357">
        <f t="shared" si="14"/>
        <v>8</v>
      </c>
      <c r="C120" s="357">
        <f t="shared" si="15"/>
        <v>1</v>
      </c>
      <c r="D120" s="357">
        <f t="shared" si="16"/>
        <v>37</v>
      </c>
      <c r="E120" s="356">
        <f t="shared" si="13"/>
        <v>159320.67525097285</v>
      </c>
      <c r="G120" s="356">
        <f t="shared" si="9"/>
        <v>1148.2756174789824</v>
      </c>
      <c r="H120" s="356">
        <v>0</v>
      </c>
      <c r="I120" s="356">
        <f t="shared" si="10"/>
        <v>-160.46895086845183</v>
      </c>
      <c r="J120" s="356">
        <f t="shared" si="11"/>
        <v>160308.48191758338</v>
      </c>
      <c r="M120" s="358"/>
      <c r="N120" s="356"/>
    </row>
    <row r="121" spans="1:14" x14ac:dyDescent="0.25">
      <c r="A121" s="356">
        <f t="shared" si="12"/>
        <v>98</v>
      </c>
      <c r="B121" s="357">
        <f t="shared" si="14"/>
        <v>8</v>
      </c>
      <c r="C121" s="357">
        <f t="shared" si="15"/>
        <v>2</v>
      </c>
      <c r="D121" s="357">
        <f t="shared" si="16"/>
        <v>37</v>
      </c>
      <c r="E121" s="356">
        <f t="shared" si="13"/>
        <v>160308.48191758338</v>
      </c>
      <c r="G121" s="356">
        <f t="shared" si="9"/>
        <v>1155.3950594990797</v>
      </c>
      <c r="H121" s="356">
        <v>0</v>
      </c>
      <c r="I121" s="356">
        <f t="shared" si="10"/>
        <v>-161.46387697708246</v>
      </c>
      <c r="J121" s="356">
        <f t="shared" si="11"/>
        <v>161302.4131001054</v>
      </c>
      <c r="M121" s="358"/>
      <c r="N121" s="356"/>
    </row>
    <row r="122" spans="1:14" x14ac:dyDescent="0.25">
      <c r="A122" s="356">
        <f t="shared" si="12"/>
        <v>99</v>
      </c>
      <c r="B122" s="357">
        <f t="shared" si="14"/>
        <v>8</v>
      </c>
      <c r="C122" s="357">
        <f t="shared" si="15"/>
        <v>3</v>
      </c>
      <c r="D122" s="357">
        <f t="shared" si="16"/>
        <v>37</v>
      </c>
      <c r="E122" s="356">
        <f t="shared" si="13"/>
        <v>161302.4131001054</v>
      </c>
      <c r="G122" s="356">
        <f t="shared" si="9"/>
        <v>1162.558642885506</v>
      </c>
      <c r="H122" s="360">
        <f>-SUM(E122:G122)*$H$21</f>
        <v>-1462.1847456869182</v>
      </c>
      <c r="I122" s="356">
        <f t="shared" si="10"/>
        <v>-162.46497174299088</v>
      </c>
      <c r="J122" s="356">
        <f t="shared" si="11"/>
        <v>160840.32202556098</v>
      </c>
      <c r="M122" s="358"/>
      <c r="N122" s="356"/>
    </row>
    <row r="123" spans="1:14" x14ac:dyDescent="0.25">
      <c r="A123" s="356">
        <f t="shared" si="12"/>
        <v>100</v>
      </c>
      <c r="B123" s="357">
        <f t="shared" si="14"/>
        <v>8</v>
      </c>
      <c r="C123" s="357">
        <f t="shared" si="15"/>
        <v>4</v>
      </c>
      <c r="D123" s="357">
        <f t="shared" si="16"/>
        <v>37</v>
      </c>
      <c r="E123" s="356">
        <f t="shared" si="13"/>
        <v>160840.32202556098</v>
      </c>
      <c r="G123" s="356">
        <f t="shared" si="9"/>
        <v>1159.2282031097634</v>
      </c>
      <c r="H123" s="356">
        <v>0</v>
      </c>
      <c r="I123" s="356">
        <f t="shared" si="10"/>
        <v>-161.99955022867073</v>
      </c>
      <c r="J123" s="356">
        <f t="shared" si="11"/>
        <v>161837.55067844206</v>
      </c>
      <c r="M123" s="358"/>
      <c r="N123" s="356"/>
    </row>
    <row r="124" spans="1:14" x14ac:dyDescent="0.25">
      <c r="A124" s="356">
        <f t="shared" si="12"/>
        <v>101</v>
      </c>
      <c r="B124" s="357">
        <f t="shared" si="14"/>
        <v>8</v>
      </c>
      <c r="C124" s="357">
        <f t="shared" si="15"/>
        <v>5</v>
      </c>
      <c r="D124" s="357">
        <f t="shared" si="16"/>
        <v>37</v>
      </c>
      <c r="E124" s="356">
        <f t="shared" si="13"/>
        <v>161837.55067844206</v>
      </c>
      <c r="G124" s="356">
        <f t="shared" si="9"/>
        <v>1166.4155524311927</v>
      </c>
      <c r="H124" s="356">
        <v>0</v>
      </c>
      <c r="I124" s="356">
        <f t="shared" si="10"/>
        <v>-163.00396623087326</v>
      </c>
      <c r="J124" s="356">
        <f t="shared" si="11"/>
        <v>162840.96226464238</v>
      </c>
      <c r="M124" s="358"/>
      <c r="N124" s="356"/>
    </row>
    <row r="125" spans="1:14" x14ac:dyDescent="0.25">
      <c r="A125" s="356">
        <f t="shared" si="12"/>
        <v>102</v>
      </c>
      <c r="B125" s="357">
        <f t="shared" si="14"/>
        <v>8</v>
      </c>
      <c r="C125" s="357">
        <f t="shared" si="15"/>
        <v>6</v>
      </c>
      <c r="D125" s="357">
        <f t="shared" si="16"/>
        <v>37</v>
      </c>
      <c r="E125" s="356">
        <f t="shared" si="13"/>
        <v>162840.96226464238</v>
      </c>
      <c r="G125" s="356">
        <f t="shared" si="9"/>
        <v>1173.647464152096</v>
      </c>
      <c r="H125" s="360">
        <f>-SUM(E125:G125)*$H$21</f>
        <v>-1476.1314875591506</v>
      </c>
      <c r="I125" s="356">
        <f t="shared" si="10"/>
        <v>-164.01460972879448</v>
      </c>
      <c r="J125" s="356">
        <f t="shared" si="11"/>
        <v>162374.46363150654</v>
      </c>
      <c r="M125" s="358"/>
      <c r="N125" s="356"/>
    </row>
    <row r="126" spans="1:14" x14ac:dyDescent="0.25">
      <c r="A126" s="356">
        <f t="shared" si="12"/>
        <v>103</v>
      </c>
      <c r="B126" s="357">
        <f t="shared" si="14"/>
        <v>8</v>
      </c>
      <c r="C126" s="357">
        <f t="shared" si="15"/>
        <v>7</v>
      </c>
      <c r="D126" s="357">
        <f t="shared" si="16"/>
        <v>37</v>
      </c>
      <c r="E126" s="356">
        <f t="shared" si="13"/>
        <v>162374.46363150654</v>
      </c>
      <c r="G126" s="356">
        <f t="shared" si="9"/>
        <v>1170.2852576765504</v>
      </c>
      <c r="H126" s="356">
        <v>0</v>
      </c>
      <c r="I126" s="356">
        <f t="shared" si="10"/>
        <v>-163.5447488891831</v>
      </c>
      <c r="J126" s="356">
        <f t="shared" si="11"/>
        <v>163381.2041402939</v>
      </c>
      <c r="M126" s="358"/>
      <c r="N126" s="356"/>
    </row>
    <row r="127" spans="1:14" x14ac:dyDescent="0.25">
      <c r="A127" s="356">
        <f t="shared" si="12"/>
        <v>104</v>
      </c>
      <c r="B127" s="357">
        <f t="shared" si="14"/>
        <v>8</v>
      </c>
      <c r="C127" s="357">
        <f t="shared" si="15"/>
        <v>8</v>
      </c>
      <c r="D127" s="357">
        <f t="shared" si="16"/>
        <v>37</v>
      </c>
      <c r="E127" s="356">
        <f t="shared" si="13"/>
        <v>163381.2041402939</v>
      </c>
      <c r="G127" s="356">
        <f t="shared" si="9"/>
        <v>1177.5411620188327</v>
      </c>
      <c r="H127" s="356">
        <v>0</v>
      </c>
      <c r="I127" s="356">
        <f t="shared" si="10"/>
        <v>-164.55874530231276</v>
      </c>
      <c r="J127" s="356">
        <f t="shared" si="11"/>
        <v>164394.18655701043</v>
      </c>
      <c r="M127" s="358"/>
      <c r="N127" s="356"/>
    </row>
    <row r="128" spans="1:14" x14ac:dyDescent="0.25">
      <c r="A128" s="356">
        <f t="shared" si="12"/>
        <v>105</v>
      </c>
      <c r="B128" s="357">
        <f t="shared" si="14"/>
        <v>8</v>
      </c>
      <c r="C128" s="357">
        <f t="shared" si="15"/>
        <v>9</v>
      </c>
      <c r="D128" s="357">
        <f t="shared" si="16"/>
        <v>37</v>
      </c>
      <c r="E128" s="356">
        <f t="shared" si="13"/>
        <v>164394.18655701043</v>
      </c>
      <c r="G128" s="356">
        <f t="shared" si="9"/>
        <v>1184.8420538096702</v>
      </c>
      <c r="H128" s="360">
        <f>-SUM(E128:G128)*$H$21</f>
        <v>-1490.211257497381</v>
      </c>
      <c r="I128" s="356">
        <f t="shared" si="10"/>
        <v>-165.5790286108201</v>
      </c>
      <c r="J128" s="356">
        <f t="shared" si="11"/>
        <v>163923.2383247119</v>
      </c>
      <c r="M128" s="358"/>
      <c r="N128" s="356"/>
    </row>
    <row r="129" spans="1:14" x14ac:dyDescent="0.25">
      <c r="A129" s="356">
        <f t="shared" si="12"/>
        <v>106</v>
      </c>
      <c r="B129" s="357">
        <f t="shared" si="14"/>
        <v>8</v>
      </c>
      <c r="C129" s="357">
        <f t="shared" si="15"/>
        <v>10</v>
      </c>
      <c r="D129" s="357">
        <f t="shared" si="16"/>
        <v>37</v>
      </c>
      <c r="E129" s="356">
        <f t="shared" si="13"/>
        <v>163923.2383247119</v>
      </c>
      <c r="G129" s="356">
        <f t="shared" si="9"/>
        <v>1181.4477776343317</v>
      </c>
      <c r="H129" s="356">
        <v>0</v>
      </c>
      <c r="I129" s="356">
        <f t="shared" si="10"/>
        <v>-165.10468610234625</v>
      </c>
      <c r="J129" s="356">
        <f t="shared" si="11"/>
        <v>164939.58141624392</v>
      </c>
      <c r="M129" s="358"/>
      <c r="N129" s="356"/>
    </row>
    <row r="130" spans="1:14" x14ac:dyDescent="0.25">
      <c r="A130" s="356">
        <f t="shared" si="12"/>
        <v>107</v>
      </c>
      <c r="B130" s="357">
        <f t="shared" si="14"/>
        <v>8</v>
      </c>
      <c r="C130" s="357">
        <f t="shared" si="15"/>
        <v>11</v>
      </c>
      <c r="D130" s="357">
        <f t="shared" si="16"/>
        <v>37</v>
      </c>
      <c r="E130" s="356">
        <f t="shared" si="13"/>
        <v>164939.58141624392</v>
      </c>
      <c r="G130" s="356">
        <f t="shared" si="9"/>
        <v>1188.7728908951249</v>
      </c>
      <c r="H130" s="356">
        <v>0</v>
      </c>
      <c r="I130" s="356">
        <f t="shared" si="10"/>
        <v>-166.12835430713906</v>
      </c>
      <c r="J130" s="356">
        <f t="shared" si="11"/>
        <v>165962.2259528319</v>
      </c>
      <c r="M130" s="358"/>
      <c r="N130" s="356"/>
    </row>
    <row r="131" spans="1:14" x14ac:dyDescent="0.25">
      <c r="A131" s="356">
        <f t="shared" si="12"/>
        <v>108</v>
      </c>
      <c r="B131" s="357">
        <f t="shared" si="14"/>
        <v>8</v>
      </c>
      <c r="C131" s="357">
        <f t="shared" si="15"/>
        <v>12</v>
      </c>
      <c r="D131" s="357">
        <f t="shared" si="16"/>
        <v>37</v>
      </c>
      <c r="E131" s="356">
        <f t="shared" si="13"/>
        <v>165962.2259528319</v>
      </c>
      <c r="G131" s="356">
        <f t="shared" si="9"/>
        <v>1196.1434207077955</v>
      </c>
      <c r="H131" s="360">
        <f>-SUM(E131:G131)*$H$21</f>
        <v>-1504.4253243618575</v>
      </c>
      <c r="I131" s="356">
        <f t="shared" si="10"/>
        <v>-167.1583693735397</v>
      </c>
      <c r="J131" s="356">
        <f t="shared" si="11"/>
        <v>165486.7856798043</v>
      </c>
      <c r="M131" s="358"/>
      <c r="N131" s="356"/>
    </row>
    <row r="132" spans="1:14" x14ac:dyDescent="0.25">
      <c r="A132" s="356">
        <f t="shared" si="12"/>
        <v>109</v>
      </c>
      <c r="B132" s="357">
        <f t="shared" si="14"/>
        <v>9</v>
      </c>
      <c r="C132" s="357">
        <f t="shared" si="15"/>
        <v>1</v>
      </c>
      <c r="D132" s="357">
        <f t="shared" si="16"/>
        <v>38</v>
      </c>
      <c r="E132" s="356">
        <f t="shared" si="13"/>
        <v>165486.7856798043</v>
      </c>
      <c r="G132" s="356">
        <f t="shared" si="9"/>
        <v>1192.716768942573</v>
      </c>
      <c r="H132" s="356">
        <v>0</v>
      </c>
      <c r="I132" s="356">
        <f t="shared" si="10"/>
        <v>-166.6795024487469</v>
      </c>
      <c r="J132" s="356">
        <f t="shared" si="11"/>
        <v>166512.82294629814</v>
      </c>
      <c r="M132" s="358"/>
      <c r="N132" s="356"/>
    </row>
    <row r="133" spans="1:14" x14ac:dyDescent="0.25">
      <c r="A133" s="356">
        <f t="shared" si="12"/>
        <v>110</v>
      </c>
      <c r="B133" s="357">
        <f t="shared" si="14"/>
        <v>9</v>
      </c>
      <c r="C133" s="357">
        <f t="shared" si="15"/>
        <v>2</v>
      </c>
      <c r="D133" s="357">
        <f t="shared" si="16"/>
        <v>38</v>
      </c>
      <c r="E133" s="356">
        <f t="shared" si="13"/>
        <v>166512.82294629814</v>
      </c>
      <c r="G133" s="356">
        <f t="shared" si="9"/>
        <v>1200.1117512565993</v>
      </c>
      <c r="H133" s="356">
        <v>0</v>
      </c>
      <c r="I133" s="356">
        <f t="shared" si="10"/>
        <v>-167.71293469755474</v>
      </c>
      <c r="J133" s="356">
        <f t="shared" si="11"/>
        <v>167545.2217628572</v>
      </c>
      <c r="M133" s="358"/>
      <c r="N133" s="356"/>
    </row>
    <row r="134" spans="1:14" x14ac:dyDescent="0.25">
      <c r="A134" s="356">
        <f t="shared" si="12"/>
        <v>111</v>
      </c>
      <c r="B134" s="357">
        <f t="shared" si="14"/>
        <v>9</v>
      </c>
      <c r="C134" s="357">
        <f t="shared" si="15"/>
        <v>3</v>
      </c>
      <c r="D134" s="357">
        <f t="shared" si="16"/>
        <v>38</v>
      </c>
      <c r="E134" s="356">
        <f t="shared" si="13"/>
        <v>167545.2217628572</v>
      </c>
      <c r="G134" s="356">
        <f t="shared" si="9"/>
        <v>1207.5525833187373</v>
      </c>
      <c r="H134" s="360">
        <f>-SUM(E134:G134)*$H$21</f>
        <v>-1518.7749691155834</v>
      </c>
      <c r="I134" s="356">
        <f t="shared" si="10"/>
        <v>-168.75277434617593</v>
      </c>
      <c r="J134" s="356">
        <f t="shared" si="11"/>
        <v>167065.24660271415</v>
      </c>
      <c r="M134" s="358"/>
      <c r="N134" s="356"/>
    </row>
    <row r="135" spans="1:14" x14ac:dyDescent="0.25">
      <c r="A135" s="356">
        <f t="shared" si="12"/>
        <v>112</v>
      </c>
      <c r="B135" s="357">
        <f t="shared" si="14"/>
        <v>9</v>
      </c>
      <c r="C135" s="357">
        <f t="shared" si="15"/>
        <v>4</v>
      </c>
      <c r="D135" s="357">
        <f t="shared" si="16"/>
        <v>38</v>
      </c>
      <c r="E135" s="356">
        <f t="shared" si="13"/>
        <v>167065.24660271415</v>
      </c>
      <c r="G135" s="356">
        <f t="shared" si="9"/>
        <v>1204.093247155872</v>
      </c>
      <c r="H135" s="356">
        <v>0</v>
      </c>
      <c r="I135" s="356">
        <f t="shared" si="10"/>
        <v>-168.26933984987002</v>
      </c>
      <c r="J135" s="356">
        <f t="shared" si="11"/>
        <v>168101.07051002013</v>
      </c>
      <c r="M135" s="358"/>
      <c r="N135" s="356"/>
    </row>
    <row r="136" spans="1:14" x14ac:dyDescent="0.25">
      <c r="A136" s="356">
        <f t="shared" si="12"/>
        <v>113</v>
      </c>
      <c r="B136" s="357">
        <f t="shared" si="14"/>
        <v>9</v>
      </c>
      <c r="C136" s="357">
        <f t="shared" si="15"/>
        <v>5</v>
      </c>
      <c r="D136" s="357">
        <f t="shared" si="16"/>
        <v>38</v>
      </c>
      <c r="E136" s="356">
        <f t="shared" si="13"/>
        <v>168101.07051002013</v>
      </c>
      <c r="G136" s="356">
        <f t="shared" si="9"/>
        <v>1211.5587649544102</v>
      </c>
      <c r="H136" s="356">
        <v>0</v>
      </c>
      <c r="I136" s="356">
        <f t="shared" si="10"/>
        <v>-169.31262927497454</v>
      </c>
      <c r="J136" s="356">
        <f t="shared" si="11"/>
        <v>169143.31664569958</v>
      </c>
      <c r="M136" s="358"/>
      <c r="N136" s="356"/>
    </row>
    <row r="137" spans="1:14" x14ac:dyDescent="0.25">
      <c r="A137" s="356">
        <f t="shared" si="12"/>
        <v>114</v>
      </c>
      <c r="B137" s="357">
        <f t="shared" si="14"/>
        <v>9</v>
      </c>
      <c r="C137" s="357">
        <f t="shared" si="15"/>
        <v>6</v>
      </c>
      <c r="D137" s="357">
        <f t="shared" si="16"/>
        <v>38</v>
      </c>
      <c r="E137" s="356">
        <f t="shared" si="13"/>
        <v>169143.31664569958</v>
      </c>
      <c r="G137" s="356">
        <f t="shared" si="9"/>
        <v>1219.070569829246</v>
      </c>
      <c r="H137" s="360">
        <f>-SUM(E137:G137)*$H$21</f>
        <v>-1533.2614849397598</v>
      </c>
      <c r="I137" s="356">
        <f t="shared" si="10"/>
        <v>-170.36238721552886</v>
      </c>
      <c r="J137" s="356">
        <f t="shared" si="11"/>
        <v>168658.76334337358</v>
      </c>
      <c r="M137" s="358"/>
      <c r="N137" s="356"/>
    </row>
    <row r="138" spans="1:14" x14ac:dyDescent="0.25">
      <c r="A138" s="356">
        <f t="shared" si="12"/>
        <v>115</v>
      </c>
      <c r="B138" s="357">
        <f t="shared" si="14"/>
        <v>9</v>
      </c>
      <c r="C138" s="357">
        <f t="shared" si="15"/>
        <v>7</v>
      </c>
      <c r="D138" s="357">
        <f t="shared" si="16"/>
        <v>38</v>
      </c>
      <c r="E138" s="356">
        <f t="shared" si="13"/>
        <v>168658.76334337358</v>
      </c>
      <c r="G138" s="356">
        <f t="shared" si="9"/>
        <v>1215.5782375154809</v>
      </c>
      <c r="H138" s="356">
        <v>0</v>
      </c>
      <c r="I138" s="356">
        <f t="shared" si="10"/>
        <v>-169.87434158088905</v>
      </c>
      <c r="J138" s="356">
        <f t="shared" si="11"/>
        <v>169704.46723930814</v>
      </c>
      <c r="M138" s="358"/>
      <c r="N138" s="356"/>
    </row>
    <row r="139" spans="1:14" x14ac:dyDescent="0.25">
      <c r="A139" s="356">
        <f t="shared" si="12"/>
        <v>116</v>
      </c>
      <c r="B139" s="357">
        <f t="shared" si="14"/>
        <v>9</v>
      </c>
      <c r="C139" s="357">
        <f t="shared" si="15"/>
        <v>8</v>
      </c>
      <c r="D139" s="357">
        <f t="shared" si="16"/>
        <v>38</v>
      </c>
      <c r="E139" s="356">
        <f t="shared" si="13"/>
        <v>169704.46723930814</v>
      </c>
      <c r="G139" s="356">
        <f t="shared" si="9"/>
        <v>1223.114963586425</v>
      </c>
      <c r="H139" s="356">
        <v>0</v>
      </c>
      <c r="I139" s="356">
        <f t="shared" si="10"/>
        <v>-170.92758220289457</v>
      </c>
      <c r="J139" s="356">
        <f t="shared" si="11"/>
        <v>170756.65462069167</v>
      </c>
      <c r="M139" s="358"/>
      <c r="N139" s="356"/>
    </row>
    <row r="140" spans="1:14" x14ac:dyDescent="0.25">
      <c r="A140" s="356">
        <f t="shared" si="12"/>
        <v>117</v>
      </c>
      <c r="B140" s="357">
        <f t="shared" si="14"/>
        <v>9</v>
      </c>
      <c r="C140" s="357">
        <f t="shared" si="15"/>
        <v>9</v>
      </c>
      <c r="D140" s="357">
        <f t="shared" si="16"/>
        <v>38</v>
      </c>
      <c r="E140" s="356">
        <f t="shared" si="13"/>
        <v>170756.65462069167</v>
      </c>
      <c r="G140" s="356">
        <f t="shared" si="9"/>
        <v>1230.6984182332153</v>
      </c>
      <c r="H140" s="360">
        <f>-SUM(E140:G140)*$H$21</f>
        <v>-1547.8861773503243</v>
      </c>
      <c r="I140" s="356">
        <f t="shared" si="10"/>
        <v>-171.9873530389249</v>
      </c>
      <c r="J140" s="356">
        <f t="shared" si="11"/>
        <v>170267.47950853565</v>
      </c>
      <c r="M140" s="358"/>
      <c r="N140" s="356"/>
    </row>
    <row r="141" spans="1:14" x14ac:dyDescent="0.25">
      <c r="A141" s="356">
        <f t="shared" si="12"/>
        <v>118</v>
      </c>
      <c r="B141" s="357">
        <f t="shared" si="14"/>
        <v>9</v>
      </c>
      <c r="C141" s="357">
        <f t="shared" si="15"/>
        <v>10</v>
      </c>
      <c r="D141" s="357">
        <f t="shared" si="16"/>
        <v>38</v>
      </c>
      <c r="E141" s="356">
        <f t="shared" si="13"/>
        <v>170267.47950853565</v>
      </c>
      <c r="G141" s="356">
        <f t="shared" si="9"/>
        <v>1227.1727750416994</v>
      </c>
      <c r="H141" s="356">
        <v>0</v>
      </c>
      <c r="I141" s="356">
        <f t="shared" si="10"/>
        <v>-171.49465228357735</v>
      </c>
      <c r="J141" s="356">
        <f t="shared" si="11"/>
        <v>171323.15763129375</v>
      </c>
      <c r="M141" s="358"/>
      <c r="N141" s="356"/>
    </row>
    <row r="142" spans="1:14" x14ac:dyDescent="0.25">
      <c r="A142" s="356">
        <f t="shared" si="12"/>
        <v>119</v>
      </c>
      <c r="B142" s="357">
        <f t="shared" si="14"/>
        <v>9</v>
      </c>
      <c r="C142" s="357">
        <f t="shared" si="15"/>
        <v>11</v>
      </c>
      <c r="D142" s="357">
        <f t="shared" si="16"/>
        <v>38</v>
      </c>
      <c r="E142" s="356">
        <f t="shared" si="13"/>
        <v>171323.15763129375</v>
      </c>
      <c r="G142" s="356">
        <f t="shared" si="9"/>
        <v>1234.7813885901894</v>
      </c>
      <c r="H142" s="356">
        <v>0</v>
      </c>
      <c r="I142" s="356">
        <f t="shared" si="10"/>
        <v>-172.55793901988395</v>
      </c>
      <c r="J142" s="356">
        <f t="shared" si="11"/>
        <v>172385.38108086406</v>
      </c>
      <c r="M142" s="358"/>
      <c r="N142" s="356"/>
    </row>
    <row r="143" spans="1:14" x14ac:dyDescent="0.25">
      <c r="A143" s="356">
        <f t="shared" si="12"/>
        <v>120</v>
      </c>
      <c r="B143" s="357">
        <f t="shared" si="14"/>
        <v>9</v>
      </c>
      <c r="C143" s="357">
        <f t="shared" si="15"/>
        <v>12</v>
      </c>
      <c r="D143" s="357">
        <f t="shared" si="16"/>
        <v>38</v>
      </c>
      <c r="E143" s="356">
        <f t="shared" si="13"/>
        <v>172385.38108086406</v>
      </c>
      <c r="G143" s="356">
        <f t="shared" si="9"/>
        <v>1242.4371764252246</v>
      </c>
      <c r="H143" s="360">
        <f>-SUM(E143:G143)*$H$21</f>
        <v>-1562.6503643156036</v>
      </c>
      <c r="I143" s="356">
        <f t="shared" si="10"/>
        <v>-173.62781825728928</v>
      </c>
      <c r="J143" s="356">
        <f t="shared" si="11"/>
        <v>171891.54007471638</v>
      </c>
      <c r="M143" s="358"/>
      <c r="N143" s="356"/>
    </row>
    <row r="144" spans="1:14" x14ac:dyDescent="0.25">
      <c r="A144" s="356">
        <f t="shared" si="12"/>
        <v>121</v>
      </c>
      <c r="B144" s="357">
        <f t="shared" si="14"/>
        <v>10</v>
      </c>
      <c r="C144" s="357">
        <f t="shared" si="15"/>
        <v>1</v>
      </c>
      <c r="D144" s="357">
        <f t="shared" si="16"/>
        <v>39</v>
      </c>
      <c r="E144" s="356">
        <f t="shared" si="13"/>
        <v>171891.54007471638</v>
      </c>
      <c r="G144" s="356">
        <f t="shared" si="9"/>
        <v>1238.877904627152</v>
      </c>
      <c r="H144" s="356">
        <v>0</v>
      </c>
      <c r="I144" s="356">
        <f t="shared" si="10"/>
        <v>-173.13041797934355</v>
      </c>
      <c r="J144" s="356">
        <f t="shared" si="11"/>
        <v>172957.28756136418</v>
      </c>
      <c r="M144" s="358"/>
      <c r="N144" s="356"/>
    </row>
    <row r="145" spans="1:14" x14ac:dyDescent="0.25">
      <c r="A145" s="356">
        <f t="shared" si="12"/>
        <v>122</v>
      </c>
      <c r="B145" s="357">
        <f t="shared" si="14"/>
        <v>10</v>
      </c>
      <c r="C145" s="357">
        <f t="shared" si="15"/>
        <v>2</v>
      </c>
      <c r="D145" s="357">
        <f t="shared" si="16"/>
        <v>39</v>
      </c>
      <c r="E145" s="356">
        <f t="shared" si="13"/>
        <v>172957.28756136418</v>
      </c>
      <c r="G145" s="356">
        <f t="shared" si="9"/>
        <v>1246.5590913367828</v>
      </c>
      <c r="H145" s="356">
        <v>0</v>
      </c>
      <c r="I145" s="356">
        <f t="shared" si="10"/>
        <v>-174.20384665270097</v>
      </c>
      <c r="J145" s="356">
        <f t="shared" si="11"/>
        <v>174029.64280604827</v>
      </c>
      <c r="M145" s="358"/>
      <c r="N145" s="356"/>
    </row>
    <row r="146" spans="1:14" x14ac:dyDescent="0.25">
      <c r="A146" s="356">
        <f t="shared" si="12"/>
        <v>123</v>
      </c>
      <c r="B146" s="357">
        <f t="shared" si="14"/>
        <v>10</v>
      </c>
      <c r="C146" s="357">
        <f t="shared" si="15"/>
        <v>3</v>
      </c>
      <c r="D146" s="357">
        <f t="shared" si="16"/>
        <v>39</v>
      </c>
      <c r="E146" s="356">
        <f t="shared" si="13"/>
        <v>174029.64280604827</v>
      </c>
      <c r="G146" s="356">
        <f t="shared" si="9"/>
        <v>1254.287902294976</v>
      </c>
      <c r="H146" s="360">
        <f>-SUM(E146:G146)*$H$21</f>
        <v>-1577.5553763750895</v>
      </c>
      <c r="I146" s="356">
        <f t="shared" si="10"/>
        <v>-175.28393070834326</v>
      </c>
      <c r="J146" s="356">
        <f t="shared" si="11"/>
        <v>173531.09140125982</v>
      </c>
      <c r="M146" s="358"/>
      <c r="N146" s="356"/>
    </row>
    <row r="147" spans="1:14" x14ac:dyDescent="0.25">
      <c r="A147" s="356">
        <f t="shared" si="12"/>
        <v>124</v>
      </c>
      <c r="B147" s="357">
        <f t="shared" si="14"/>
        <v>10</v>
      </c>
      <c r="C147" s="357">
        <f t="shared" si="15"/>
        <v>4</v>
      </c>
      <c r="D147" s="357">
        <f t="shared" si="16"/>
        <v>39</v>
      </c>
      <c r="E147" s="356">
        <f t="shared" si="13"/>
        <v>173531.09140125982</v>
      </c>
      <c r="G147" s="356">
        <f t="shared" si="9"/>
        <v>1250.6946811309515</v>
      </c>
      <c r="H147" s="356">
        <v>0</v>
      </c>
      <c r="I147" s="356">
        <f t="shared" si="10"/>
        <v>-174.7817860823908</v>
      </c>
      <c r="J147" s="356">
        <f t="shared" si="11"/>
        <v>174607.00429630838</v>
      </c>
      <c r="M147" s="358"/>
      <c r="N147" s="356"/>
    </row>
    <row r="148" spans="1:14" x14ac:dyDescent="0.25">
      <c r="A148" s="356">
        <f t="shared" si="12"/>
        <v>125</v>
      </c>
      <c r="B148" s="357">
        <f t="shared" si="14"/>
        <v>10</v>
      </c>
      <c r="C148" s="357">
        <f t="shared" si="15"/>
        <v>5</v>
      </c>
      <c r="D148" s="357">
        <f t="shared" si="16"/>
        <v>39</v>
      </c>
      <c r="E148" s="356">
        <f t="shared" si="13"/>
        <v>174607.00429630838</v>
      </c>
      <c r="G148" s="356">
        <f t="shared" si="9"/>
        <v>1258.449133225567</v>
      </c>
      <c r="H148" s="356">
        <v>0</v>
      </c>
      <c r="I148" s="356">
        <f t="shared" si="10"/>
        <v>-175.86545342953397</v>
      </c>
      <c r="J148" s="356">
        <f t="shared" si="11"/>
        <v>175689.58797610443</v>
      </c>
      <c r="M148" s="358"/>
      <c r="N148" s="356"/>
    </row>
    <row r="149" spans="1:14" x14ac:dyDescent="0.25">
      <c r="A149" s="356">
        <f t="shared" si="12"/>
        <v>126</v>
      </c>
      <c r="B149" s="357">
        <f t="shared" si="14"/>
        <v>10</v>
      </c>
      <c r="C149" s="357">
        <f t="shared" si="15"/>
        <v>6</v>
      </c>
      <c r="D149" s="357">
        <f t="shared" si="16"/>
        <v>39</v>
      </c>
      <c r="E149" s="356">
        <f t="shared" si="13"/>
        <v>175689.58797610443</v>
      </c>
      <c r="G149" s="356">
        <f t="shared" si="9"/>
        <v>1266.2516638226302</v>
      </c>
      <c r="H149" s="360">
        <f>-SUM(E149:G149)*$H$21</f>
        <v>-1592.6025567593438</v>
      </c>
      <c r="I149" s="356">
        <f t="shared" si="10"/>
        <v>-176.95583963992706</v>
      </c>
      <c r="J149" s="356">
        <f t="shared" si="11"/>
        <v>175186.28124352777</v>
      </c>
      <c r="M149" s="358"/>
      <c r="N149" s="356"/>
    </row>
    <row r="150" spans="1:14" x14ac:dyDescent="0.25">
      <c r="A150" s="356">
        <f t="shared" si="12"/>
        <v>127</v>
      </c>
      <c r="B150" s="357">
        <f t="shared" si="14"/>
        <v>10</v>
      </c>
      <c r="C150" s="357">
        <f t="shared" si="15"/>
        <v>7</v>
      </c>
      <c r="D150" s="357">
        <f t="shared" si="16"/>
        <v>39</v>
      </c>
      <c r="E150" s="356">
        <f t="shared" si="13"/>
        <v>175186.28124352777</v>
      </c>
      <c r="G150" s="356">
        <f t="shared" si="9"/>
        <v>1262.6241694737619</v>
      </c>
      <c r="H150" s="356">
        <v>0</v>
      </c>
      <c r="I150" s="356">
        <f t="shared" si="10"/>
        <v>-176.44890541300154</v>
      </c>
      <c r="J150" s="356">
        <f t="shared" si="11"/>
        <v>176272.45650758853</v>
      </c>
      <c r="M150" s="358"/>
      <c r="N150" s="356"/>
    </row>
    <row r="151" spans="1:14" x14ac:dyDescent="0.25">
      <c r="A151" s="356">
        <f t="shared" si="12"/>
        <v>128</v>
      </c>
      <c r="B151" s="357">
        <f t="shared" si="14"/>
        <v>10</v>
      </c>
      <c r="C151" s="357">
        <f t="shared" si="15"/>
        <v>8</v>
      </c>
      <c r="D151" s="357">
        <f t="shared" si="16"/>
        <v>39</v>
      </c>
      <c r="E151" s="356">
        <f t="shared" si="13"/>
        <v>176272.45650758853</v>
      </c>
      <c r="G151" s="356">
        <f t="shared" si="9"/>
        <v>1270.452585779838</v>
      </c>
      <c r="H151" s="356">
        <v>0</v>
      </c>
      <c r="I151" s="356">
        <f t="shared" si="10"/>
        <v>-177.54290909336837</v>
      </c>
      <c r="J151" s="356">
        <f t="shared" si="11"/>
        <v>177365.366184275</v>
      </c>
      <c r="M151" s="358"/>
      <c r="N151" s="356"/>
    </row>
    <row r="152" spans="1:14" x14ac:dyDescent="0.25">
      <c r="A152" s="356">
        <f t="shared" si="12"/>
        <v>129</v>
      </c>
      <c r="B152" s="357">
        <f t="shared" si="14"/>
        <v>10</v>
      </c>
      <c r="C152" s="357">
        <f t="shared" si="15"/>
        <v>9</v>
      </c>
      <c r="D152" s="357">
        <f t="shared" si="16"/>
        <v>39</v>
      </c>
      <c r="E152" s="356">
        <f t="shared" si="13"/>
        <v>177365.366184275</v>
      </c>
      <c r="G152" s="356">
        <f t="shared" ref="G152:G215" si="17">SUM(E152:F152)*$F$8</f>
        <v>1278.3295391750517</v>
      </c>
      <c r="H152" s="360">
        <f>-SUM(E152:G152)*$H$21</f>
        <v>-1607.7932615110506</v>
      </c>
      <c r="I152" s="356">
        <f t="shared" ref="I152:I215" si="18">-SUM(E152:G152)*0.1%</f>
        <v>-178.64369572345004</v>
      </c>
      <c r="J152" s="356">
        <f t="shared" ref="J152:J215" si="19">SUM(E152:I152)</f>
        <v>176857.25876621556</v>
      </c>
      <c r="M152" s="358"/>
      <c r="N152" s="356"/>
    </row>
    <row r="153" spans="1:14" x14ac:dyDescent="0.25">
      <c r="A153" s="356">
        <f t="shared" ref="A153:A216" si="20">+A152+1</f>
        <v>130</v>
      </c>
      <c r="B153" s="357">
        <f t="shared" si="14"/>
        <v>10</v>
      </c>
      <c r="C153" s="357">
        <f t="shared" si="15"/>
        <v>10</v>
      </c>
      <c r="D153" s="357">
        <f t="shared" si="16"/>
        <v>39</v>
      </c>
      <c r="E153" s="356">
        <f t="shared" ref="E153:E216" si="21">J152</f>
        <v>176857.25876621556</v>
      </c>
      <c r="G153" s="356">
        <f t="shared" si="17"/>
        <v>1274.66744473377</v>
      </c>
      <c r="H153" s="356">
        <v>0</v>
      </c>
      <c r="I153" s="356">
        <f t="shared" si="18"/>
        <v>-178.13192621094933</v>
      </c>
      <c r="J153" s="356">
        <f t="shared" si="19"/>
        <v>177953.79428473837</v>
      </c>
      <c r="M153" s="358"/>
      <c r="N153" s="356"/>
    </row>
    <row r="154" spans="1:14" x14ac:dyDescent="0.25">
      <c r="A154" s="356">
        <f t="shared" si="20"/>
        <v>131</v>
      </c>
      <c r="B154" s="357">
        <f t="shared" si="14"/>
        <v>10</v>
      </c>
      <c r="C154" s="357">
        <f t="shared" si="15"/>
        <v>11</v>
      </c>
      <c r="D154" s="357">
        <f t="shared" si="16"/>
        <v>39</v>
      </c>
      <c r="E154" s="356">
        <f t="shared" si="21"/>
        <v>177953.79428473837</v>
      </c>
      <c r="G154" s="356">
        <f t="shared" si="17"/>
        <v>1282.5705307433914</v>
      </c>
      <c r="H154" s="356">
        <v>0</v>
      </c>
      <c r="I154" s="356">
        <f t="shared" si="18"/>
        <v>-179.23636481548178</v>
      </c>
      <c r="J154" s="356">
        <f t="shared" si="19"/>
        <v>179057.1284506663</v>
      </c>
      <c r="M154" s="358"/>
      <c r="N154" s="356"/>
    </row>
    <row r="155" spans="1:14" x14ac:dyDescent="0.25">
      <c r="A155" s="356">
        <f t="shared" si="20"/>
        <v>132</v>
      </c>
      <c r="B155" s="357">
        <f t="shared" si="14"/>
        <v>10</v>
      </c>
      <c r="C155" s="357">
        <f t="shared" si="15"/>
        <v>12</v>
      </c>
      <c r="D155" s="357">
        <f t="shared" si="16"/>
        <v>39</v>
      </c>
      <c r="E155" s="356">
        <f t="shared" si="21"/>
        <v>179057.1284506663</v>
      </c>
      <c r="G155" s="356">
        <f t="shared" si="17"/>
        <v>1290.522616802974</v>
      </c>
      <c r="H155" s="360">
        <f>-SUM(E155:G155)*$H$21</f>
        <v>-1623.1288596072236</v>
      </c>
      <c r="I155" s="356">
        <f t="shared" si="18"/>
        <v>-180.3476510674693</v>
      </c>
      <c r="J155" s="356">
        <f t="shared" si="19"/>
        <v>178544.17455679458</v>
      </c>
      <c r="M155" s="358"/>
      <c r="N155" s="356"/>
    </row>
    <row r="156" spans="1:14" x14ac:dyDescent="0.25">
      <c r="A156" s="356">
        <f t="shared" si="20"/>
        <v>133</v>
      </c>
      <c r="B156" s="357">
        <f t="shared" si="14"/>
        <v>11</v>
      </c>
      <c r="C156" s="357">
        <f t="shared" si="15"/>
        <v>1</v>
      </c>
      <c r="D156" s="357">
        <f t="shared" si="16"/>
        <v>40</v>
      </c>
      <c r="E156" s="356">
        <f t="shared" si="21"/>
        <v>178544.17455679458</v>
      </c>
      <c r="G156" s="356">
        <f t="shared" si="17"/>
        <v>1286.8255922435692</v>
      </c>
      <c r="H156" s="356">
        <v>0</v>
      </c>
      <c r="I156" s="356">
        <f t="shared" si="18"/>
        <v>-179.83100014903815</v>
      </c>
      <c r="J156" s="356">
        <f t="shared" si="19"/>
        <v>179651.1691488891</v>
      </c>
      <c r="M156" s="358"/>
      <c r="N156" s="356"/>
    </row>
    <row r="157" spans="1:14" x14ac:dyDescent="0.25">
      <c r="A157" s="356">
        <f t="shared" si="20"/>
        <v>134</v>
      </c>
      <c r="B157" s="357">
        <f t="shared" si="14"/>
        <v>11</v>
      </c>
      <c r="C157" s="357">
        <f t="shared" si="15"/>
        <v>2</v>
      </c>
      <c r="D157" s="357">
        <f t="shared" si="16"/>
        <v>40</v>
      </c>
      <c r="E157" s="356">
        <f t="shared" si="21"/>
        <v>179651.1691488891</v>
      </c>
      <c r="G157" s="356">
        <f t="shared" si="17"/>
        <v>1294.8040601780094</v>
      </c>
      <c r="H157" s="356">
        <v>0</v>
      </c>
      <c r="I157" s="356">
        <f t="shared" si="18"/>
        <v>-180.94597320906715</v>
      </c>
      <c r="J157" s="356">
        <f t="shared" si="19"/>
        <v>180765.02723585806</v>
      </c>
      <c r="M157" s="358"/>
      <c r="N157" s="356"/>
    </row>
    <row r="158" spans="1:14" x14ac:dyDescent="0.25">
      <c r="A158" s="356">
        <f t="shared" si="20"/>
        <v>135</v>
      </c>
      <c r="B158" s="357">
        <f t="shared" si="14"/>
        <v>11</v>
      </c>
      <c r="C158" s="357">
        <f t="shared" si="15"/>
        <v>3</v>
      </c>
      <c r="D158" s="357">
        <f t="shared" si="16"/>
        <v>40</v>
      </c>
      <c r="E158" s="356">
        <f t="shared" si="21"/>
        <v>180765.02723585806</v>
      </c>
      <c r="G158" s="356">
        <f t="shared" si="17"/>
        <v>1302.8319955390882</v>
      </c>
      <c r="H158" s="360">
        <f>-SUM(E158:G158)*$H$21</f>
        <v>-1638.6107330825744</v>
      </c>
      <c r="I158" s="356">
        <f t="shared" si="18"/>
        <v>-182.06785923139714</v>
      </c>
      <c r="J158" s="356">
        <f t="shared" si="19"/>
        <v>180247.18063908315</v>
      </c>
      <c r="M158" s="358"/>
      <c r="N158" s="356"/>
    </row>
    <row r="159" spans="1:14" x14ac:dyDescent="0.25">
      <c r="A159" s="356">
        <f t="shared" si="20"/>
        <v>136</v>
      </c>
      <c r="B159" s="357">
        <f t="shared" si="14"/>
        <v>11</v>
      </c>
      <c r="C159" s="357">
        <f t="shared" si="15"/>
        <v>4</v>
      </c>
      <c r="D159" s="357">
        <f t="shared" si="16"/>
        <v>40</v>
      </c>
      <c r="E159" s="356">
        <f t="shared" si="21"/>
        <v>180247.18063908315</v>
      </c>
      <c r="G159" s="356">
        <f t="shared" si="17"/>
        <v>1299.0997076879703</v>
      </c>
      <c r="H159" s="356">
        <v>0</v>
      </c>
      <c r="I159" s="356">
        <f t="shared" si="18"/>
        <v>-181.5462803467711</v>
      </c>
      <c r="J159" s="356">
        <f t="shared" si="19"/>
        <v>181364.73406642434</v>
      </c>
      <c r="M159" s="358"/>
      <c r="N159" s="356"/>
    </row>
    <row r="160" spans="1:14" x14ac:dyDescent="0.25">
      <c r="A160" s="356">
        <f t="shared" si="20"/>
        <v>137</v>
      </c>
      <c r="B160" s="357">
        <f t="shared" si="14"/>
        <v>11</v>
      </c>
      <c r="C160" s="357">
        <f t="shared" si="15"/>
        <v>5</v>
      </c>
      <c r="D160" s="357">
        <f t="shared" si="16"/>
        <v>40</v>
      </c>
      <c r="E160" s="356">
        <f t="shared" si="21"/>
        <v>181364.73406642434</v>
      </c>
      <c r="G160" s="356">
        <f t="shared" si="17"/>
        <v>1307.1542765618751</v>
      </c>
      <c r="H160" s="356">
        <v>0</v>
      </c>
      <c r="I160" s="356">
        <f t="shared" si="18"/>
        <v>-182.6718883429862</v>
      </c>
      <c r="J160" s="356">
        <f t="shared" si="19"/>
        <v>182489.2164546432</v>
      </c>
      <c r="M160" s="358"/>
      <c r="N160" s="356"/>
    </row>
    <row r="161" spans="1:14" x14ac:dyDescent="0.25">
      <c r="A161" s="356">
        <f t="shared" si="20"/>
        <v>138</v>
      </c>
      <c r="B161" s="357">
        <f t="shared" si="14"/>
        <v>11</v>
      </c>
      <c r="C161" s="357">
        <f t="shared" si="15"/>
        <v>6</v>
      </c>
      <c r="D161" s="357">
        <f t="shared" si="16"/>
        <v>40</v>
      </c>
      <c r="E161" s="356">
        <f t="shared" si="21"/>
        <v>182489.2164546432</v>
      </c>
      <c r="G161" s="356">
        <f t="shared" si="17"/>
        <v>1315.25878469707</v>
      </c>
      <c r="H161" s="360">
        <f>-SUM(E161:G161)*$H$21</f>
        <v>-1654.2402771540626</v>
      </c>
      <c r="I161" s="356">
        <f t="shared" si="18"/>
        <v>-183.8044752393403</v>
      </c>
      <c r="J161" s="356">
        <f t="shared" si="19"/>
        <v>181966.4304869469</v>
      </c>
      <c r="M161" s="358"/>
      <c r="N161" s="356"/>
    </row>
    <row r="162" spans="1:14" x14ac:dyDescent="0.25">
      <c r="A162" s="356">
        <f t="shared" si="20"/>
        <v>139</v>
      </c>
      <c r="B162" s="357">
        <f t="shared" si="14"/>
        <v>11</v>
      </c>
      <c r="C162" s="357">
        <f t="shared" si="15"/>
        <v>7</v>
      </c>
      <c r="D162" s="357">
        <f t="shared" si="16"/>
        <v>40</v>
      </c>
      <c r="E162" s="356">
        <f t="shared" si="21"/>
        <v>181966.4304869469</v>
      </c>
      <c r="G162" s="356">
        <f t="shared" si="17"/>
        <v>1311.490897202743</v>
      </c>
      <c r="H162" s="356">
        <v>0</v>
      </c>
      <c r="I162" s="356">
        <f t="shared" si="18"/>
        <v>-183.27792138414964</v>
      </c>
      <c r="J162" s="356">
        <f t="shared" si="19"/>
        <v>183094.6434627655</v>
      </c>
      <c r="M162" s="358"/>
      <c r="N162" s="356"/>
    </row>
    <row r="163" spans="1:14" x14ac:dyDescent="0.25">
      <c r="A163" s="356">
        <f t="shared" si="20"/>
        <v>140</v>
      </c>
      <c r="B163" s="357">
        <f t="shared" si="14"/>
        <v>11</v>
      </c>
      <c r="C163" s="357">
        <f t="shared" si="15"/>
        <v>8</v>
      </c>
      <c r="D163" s="357">
        <f t="shared" si="16"/>
        <v>40</v>
      </c>
      <c r="E163" s="356">
        <f t="shared" si="21"/>
        <v>183094.6434627655</v>
      </c>
      <c r="G163" s="356">
        <f t="shared" si="17"/>
        <v>1319.6222928889285</v>
      </c>
      <c r="H163" s="356">
        <v>0</v>
      </c>
      <c r="I163" s="356">
        <f t="shared" si="18"/>
        <v>-184.41426575565444</v>
      </c>
      <c r="J163" s="356">
        <f t="shared" si="19"/>
        <v>184229.85148989878</v>
      </c>
      <c r="M163" s="358"/>
      <c r="N163" s="356"/>
    </row>
    <row r="164" spans="1:14" x14ac:dyDescent="0.25">
      <c r="A164" s="356">
        <f t="shared" si="20"/>
        <v>141</v>
      </c>
      <c r="B164" s="357">
        <f t="shared" ref="B164:B227" si="22">B152+1</f>
        <v>11</v>
      </c>
      <c r="C164" s="357">
        <f t="shared" ref="C164:C227" si="23">C152</f>
        <v>9</v>
      </c>
      <c r="D164" s="357">
        <f t="shared" ref="D164:D227" si="24">D152+1</f>
        <v>40</v>
      </c>
      <c r="E164" s="356">
        <f t="shared" si="21"/>
        <v>184229.85148989878</v>
      </c>
      <c r="G164" s="356">
        <f t="shared" si="17"/>
        <v>1327.804104171552</v>
      </c>
      <c r="H164" s="360">
        <f>-SUM(E164:G164)*$H$21</f>
        <v>-1670.018900346633</v>
      </c>
      <c r="I164" s="356">
        <f t="shared" si="18"/>
        <v>-185.55765559407033</v>
      </c>
      <c r="J164" s="356">
        <f t="shared" si="19"/>
        <v>183702.07903812962</v>
      </c>
      <c r="M164" s="358"/>
      <c r="N164" s="356"/>
    </row>
    <row r="165" spans="1:14" x14ac:dyDescent="0.25">
      <c r="A165" s="356">
        <f t="shared" si="20"/>
        <v>142</v>
      </c>
      <c r="B165" s="357">
        <f t="shared" si="22"/>
        <v>11</v>
      </c>
      <c r="C165" s="357">
        <f t="shared" si="23"/>
        <v>10</v>
      </c>
      <c r="D165" s="357">
        <f t="shared" si="24"/>
        <v>40</v>
      </c>
      <c r="E165" s="356">
        <f t="shared" si="21"/>
        <v>183702.07903812962</v>
      </c>
      <c r="G165" s="356">
        <f t="shared" si="17"/>
        <v>1324.0002774743014</v>
      </c>
      <c r="H165" s="356">
        <v>0</v>
      </c>
      <c r="I165" s="356">
        <f t="shared" si="18"/>
        <v>-185.0260793156039</v>
      </c>
      <c r="J165" s="356">
        <f t="shared" si="19"/>
        <v>184841.0532362883</v>
      </c>
      <c r="M165" s="358"/>
      <c r="N165" s="356"/>
    </row>
    <row r="166" spans="1:14" x14ac:dyDescent="0.25">
      <c r="A166" s="356">
        <f t="shared" si="20"/>
        <v>143</v>
      </c>
      <c r="B166" s="357">
        <f t="shared" si="22"/>
        <v>11</v>
      </c>
      <c r="C166" s="357">
        <f t="shared" si="23"/>
        <v>11</v>
      </c>
      <c r="D166" s="357">
        <f t="shared" si="24"/>
        <v>40</v>
      </c>
      <c r="E166" s="356">
        <f t="shared" si="21"/>
        <v>184841.0532362883</v>
      </c>
      <c r="G166" s="356">
        <f t="shared" si="17"/>
        <v>1332.2092327691687</v>
      </c>
      <c r="H166" s="356">
        <v>0</v>
      </c>
      <c r="I166" s="356">
        <f t="shared" si="18"/>
        <v>-186.1732624690575</v>
      </c>
      <c r="J166" s="356">
        <f t="shared" si="19"/>
        <v>185987.08920658843</v>
      </c>
      <c r="M166" s="358"/>
      <c r="N166" s="356"/>
    </row>
    <row r="167" spans="1:14" x14ac:dyDescent="0.25">
      <c r="A167" s="356">
        <f t="shared" si="20"/>
        <v>144</v>
      </c>
      <c r="B167" s="357">
        <f t="shared" si="22"/>
        <v>11</v>
      </c>
      <c r="C167" s="357">
        <f t="shared" si="23"/>
        <v>12</v>
      </c>
      <c r="D167" s="357">
        <f t="shared" si="24"/>
        <v>40</v>
      </c>
      <c r="E167" s="356">
        <f t="shared" si="21"/>
        <v>185987.08920658843</v>
      </c>
      <c r="G167" s="356">
        <f t="shared" si="17"/>
        <v>1340.469084539044</v>
      </c>
      <c r="H167" s="360">
        <f>-SUM(E167:G167)*$H$21</f>
        <v>-1685.9480246201474</v>
      </c>
      <c r="I167" s="356">
        <f t="shared" si="18"/>
        <v>-187.32755829112747</v>
      </c>
      <c r="J167" s="356">
        <f t="shared" si="19"/>
        <v>185454.2827082162</v>
      </c>
      <c r="M167" s="358"/>
      <c r="N167" s="356"/>
    </row>
    <row r="168" spans="1:14" x14ac:dyDescent="0.25">
      <c r="A168" s="356">
        <f t="shared" si="20"/>
        <v>145</v>
      </c>
      <c r="B168" s="357">
        <f t="shared" si="22"/>
        <v>12</v>
      </c>
      <c r="C168" s="357">
        <f t="shared" si="23"/>
        <v>1</v>
      </c>
      <c r="D168" s="357">
        <f t="shared" si="24"/>
        <v>41</v>
      </c>
      <c r="E168" s="356">
        <f t="shared" si="21"/>
        <v>185454.2827082162</v>
      </c>
      <c r="G168" s="356">
        <f t="shared" si="17"/>
        <v>1336.6289758403368</v>
      </c>
      <c r="H168" s="356">
        <v>0</v>
      </c>
      <c r="I168" s="356">
        <f t="shared" si="18"/>
        <v>-186.79091168405654</v>
      </c>
      <c r="J168" s="356">
        <f t="shared" si="19"/>
        <v>186604.1207723725</v>
      </c>
      <c r="M168" s="358"/>
      <c r="N168" s="356"/>
    </row>
    <row r="169" spans="1:14" x14ac:dyDescent="0.25">
      <c r="A169" s="356">
        <f t="shared" si="20"/>
        <v>146</v>
      </c>
      <c r="B169" s="357">
        <f t="shared" si="22"/>
        <v>12</v>
      </c>
      <c r="C169" s="357">
        <f t="shared" si="23"/>
        <v>2</v>
      </c>
      <c r="D169" s="357">
        <f t="shared" si="24"/>
        <v>41</v>
      </c>
      <c r="E169" s="356">
        <f t="shared" si="21"/>
        <v>186604.1207723725</v>
      </c>
      <c r="G169" s="356">
        <f t="shared" si="17"/>
        <v>1344.916230529912</v>
      </c>
      <c r="H169" s="356">
        <v>0</v>
      </c>
      <c r="I169" s="356">
        <f t="shared" si="18"/>
        <v>-187.94903700290243</v>
      </c>
      <c r="J169" s="356">
        <f t="shared" si="19"/>
        <v>187761.08796589953</v>
      </c>
      <c r="M169" s="358"/>
      <c r="N169" s="356"/>
    </row>
    <row r="170" spans="1:14" x14ac:dyDescent="0.25">
      <c r="A170" s="356">
        <f t="shared" si="20"/>
        <v>147</v>
      </c>
      <c r="B170" s="357">
        <f t="shared" si="22"/>
        <v>12</v>
      </c>
      <c r="C170" s="357">
        <f t="shared" si="23"/>
        <v>3</v>
      </c>
      <c r="D170" s="357">
        <f t="shared" si="24"/>
        <v>41</v>
      </c>
      <c r="E170" s="356">
        <f t="shared" si="21"/>
        <v>187761.08796589953</v>
      </c>
      <c r="G170" s="356">
        <f t="shared" si="17"/>
        <v>1353.2548671598245</v>
      </c>
      <c r="H170" s="360">
        <f>-SUM(E170:G170)*$H$21</f>
        <v>-1702.0290854975342</v>
      </c>
      <c r="I170" s="356">
        <f t="shared" si="18"/>
        <v>-189.11434283305934</v>
      </c>
      <c r="J170" s="356">
        <f t="shared" si="19"/>
        <v>187223.19940472874</v>
      </c>
      <c r="M170" s="358"/>
      <c r="N170" s="356"/>
    </row>
    <row r="171" spans="1:14" x14ac:dyDescent="0.25">
      <c r="A171" s="356">
        <f t="shared" si="20"/>
        <v>148</v>
      </c>
      <c r="B171" s="357">
        <f t="shared" si="22"/>
        <v>12</v>
      </c>
      <c r="C171" s="357">
        <f t="shared" si="23"/>
        <v>4</v>
      </c>
      <c r="D171" s="357">
        <f t="shared" si="24"/>
        <v>41</v>
      </c>
      <c r="E171" s="356">
        <f t="shared" si="21"/>
        <v>187223.19940472874</v>
      </c>
      <c r="G171" s="356">
        <f t="shared" si="17"/>
        <v>1349.3781303914152</v>
      </c>
      <c r="H171" s="356">
        <v>0</v>
      </c>
      <c r="I171" s="356">
        <f t="shared" si="18"/>
        <v>-188.57257753512016</v>
      </c>
      <c r="J171" s="356">
        <f t="shared" si="19"/>
        <v>188384.00495758504</v>
      </c>
      <c r="M171" s="358"/>
      <c r="N171" s="356"/>
    </row>
    <row r="172" spans="1:14" x14ac:dyDescent="0.25">
      <c r="A172" s="356">
        <f t="shared" si="20"/>
        <v>149</v>
      </c>
      <c r="B172" s="357">
        <f t="shared" si="22"/>
        <v>12</v>
      </c>
      <c r="C172" s="357">
        <f t="shared" si="23"/>
        <v>5</v>
      </c>
      <c r="D172" s="357">
        <f t="shared" si="24"/>
        <v>41</v>
      </c>
      <c r="E172" s="356">
        <f t="shared" si="21"/>
        <v>188384.00495758504</v>
      </c>
      <c r="G172" s="356">
        <f t="shared" si="17"/>
        <v>1357.7444313180174</v>
      </c>
      <c r="H172" s="356">
        <v>0</v>
      </c>
      <c r="I172" s="356">
        <f t="shared" si="18"/>
        <v>-189.74174938890306</v>
      </c>
      <c r="J172" s="356">
        <f t="shared" si="19"/>
        <v>189552.00763951417</v>
      </c>
      <c r="M172" s="358"/>
      <c r="N172" s="356"/>
    </row>
    <row r="173" spans="1:14" x14ac:dyDescent="0.25">
      <c r="A173" s="356">
        <f t="shared" si="20"/>
        <v>150</v>
      </c>
      <c r="B173" s="357">
        <f t="shared" si="22"/>
        <v>12</v>
      </c>
      <c r="C173" s="357">
        <f t="shared" si="23"/>
        <v>6</v>
      </c>
      <c r="D173" s="357">
        <f t="shared" si="24"/>
        <v>41</v>
      </c>
      <c r="E173" s="356">
        <f t="shared" si="21"/>
        <v>189552.00763951417</v>
      </c>
      <c r="G173" s="356">
        <f t="shared" si="17"/>
        <v>1366.1626042807952</v>
      </c>
      <c r="H173" s="360">
        <f>-SUM(E173:G173)*$H$21</f>
        <v>-1718.263532194155</v>
      </c>
      <c r="I173" s="356">
        <f t="shared" si="18"/>
        <v>-190.91817024379498</v>
      </c>
      <c r="J173" s="356">
        <f t="shared" si="19"/>
        <v>189008.98854135702</v>
      </c>
      <c r="M173" s="358"/>
      <c r="N173" s="356"/>
    </row>
    <row r="174" spans="1:14" x14ac:dyDescent="0.25">
      <c r="A174" s="356">
        <f t="shared" si="20"/>
        <v>151</v>
      </c>
      <c r="B174" s="357">
        <f t="shared" si="22"/>
        <v>12</v>
      </c>
      <c r="C174" s="357">
        <f t="shared" si="23"/>
        <v>7</v>
      </c>
      <c r="D174" s="357">
        <f t="shared" si="24"/>
        <v>41</v>
      </c>
      <c r="E174" s="356">
        <f t="shared" si="21"/>
        <v>189008.98854135702</v>
      </c>
      <c r="G174" s="356">
        <f t="shared" si="17"/>
        <v>1362.2488900735398</v>
      </c>
      <c r="H174" s="356">
        <v>0</v>
      </c>
      <c r="I174" s="356">
        <f t="shared" si="18"/>
        <v>-190.37123743143056</v>
      </c>
      <c r="J174" s="356">
        <f t="shared" si="19"/>
        <v>190180.86619399913</v>
      </c>
      <c r="M174" s="358"/>
      <c r="N174" s="356"/>
    </row>
    <row r="175" spans="1:14" x14ac:dyDescent="0.25">
      <c r="A175" s="356">
        <f t="shared" si="20"/>
        <v>152</v>
      </c>
      <c r="B175" s="357">
        <f t="shared" si="22"/>
        <v>12</v>
      </c>
      <c r="C175" s="357">
        <f t="shared" si="23"/>
        <v>8</v>
      </c>
      <c r="D175" s="357">
        <f t="shared" si="24"/>
        <v>41</v>
      </c>
      <c r="E175" s="356">
        <f t="shared" si="21"/>
        <v>190180.86619399913</v>
      </c>
      <c r="G175" s="356">
        <f t="shared" si="17"/>
        <v>1370.6949912030868</v>
      </c>
      <c r="H175" s="356">
        <v>0</v>
      </c>
      <c r="I175" s="356">
        <f t="shared" si="18"/>
        <v>-191.55156118520222</v>
      </c>
      <c r="J175" s="356">
        <f t="shared" si="19"/>
        <v>191360.00962401702</v>
      </c>
      <c r="M175" s="358"/>
      <c r="N175" s="356"/>
    </row>
    <row r="176" spans="1:14" x14ac:dyDescent="0.25">
      <c r="A176" s="356">
        <f t="shared" si="20"/>
        <v>153</v>
      </c>
      <c r="B176" s="357">
        <f t="shared" si="22"/>
        <v>12</v>
      </c>
      <c r="C176" s="357">
        <f t="shared" si="23"/>
        <v>9</v>
      </c>
      <c r="D176" s="357">
        <f t="shared" si="24"/>
        <v>41</v>
      </c>
      <c r="E176" s="356">
        <f t="shared" si="21"/>
        <v>191360.00962401702</v>
      </c>
      <c r="G176" s="356">
        <f t="shared" si="17"/>
        <v>1379.1934591393242</v>
      </c>
      <c r="H176" s="360">
        <f>-SUM(E176:G176)*$H$21</f>
        <v>-1734.6528277484074</v>
      </c>
      <c r="I176" s="356">
        <f t="shared" si="18"/>
        <v>-192.73920308315635</v>
      </c>
      <c r="J176" s="356">
        <f t="shared" si="19"/>
        <v>190811.81105232477</v>
      </c>
      <c r="M176" s="358"/>
      <c r="N176" s="356"/>
    </row>
    <row r="177" spans="1:14" x14ac:dyDescent="0.25">
      <c r="A177" s="356">
        <f t="shared" si="20"/>
        <v>154</v>
      </c>
      <c r="B177" s="357">
        <f t="shared" si="22"/>
        <v>12</v>
      </c>
      <c r="C177" s="357">
        <f t="shared" si="23"/>
        <v>10</v>
      </c>
      <c r="D177" s="357">
        <f t="shared" si="24"/>
        <v>41</v>
      </c>
      <c r="E177" s="356">
        <f t="shared" si="21"/>
        <v>190811.81105232477</v>
      </c>
      <c r="G177" s="356">
        <f t="shared" si="17"/>
        <v>1375.2424147916938</v>
      </c>
      <c r="H177" s="356">
        <v>0</v>
      </c>
      <c r="I177" s="356">
        <f t="shared" si="18"/>
        <v>-192.18705346711647</v>
      </c>
      <c r="J177" s="356">
        <f t="shared" si="19"/>
        <v>191994.86641364935</v>
      </c>
      <c r="M177" s="358"/>
      <c r="N177" s="356"/>
    </row>
    <row r="178" spans="1:14" x14ac:dyDescent="0.25">
      <c r="A178" s="356">
        <f t="shared" si="20"/>
        <v>155</v>
      </c>
      <c r="B178" s="357">
        <f t="shared" si="22"/>
        <v>12</v>
      </c>
      <c r="C178" s="357">
        <f t="shared" si="23"/>
        <v>11</v>
      </c>
      <c r="D178" s="357">
        <f t="shared" si="24"/>
        <v>41</v>
      </c>
      <c r="E178" s="356">
        <f t="shared" si="21"/>
        <v>191994.86641364935</v>
      </c>
      <c r="G178" s="356">
        <f t="shared" si="17"/>
        <v>1383.7690772816488</v>
      </c>
      <c r="H178" s="356">
        <v>0</v>
      </c>
      <c r="I178" s="356">
        <f t="shared" si="18"/>
        <v>-193.378635490931</v>
      </c>
      <c r="J178" s="356">
        <f t="shared" si="19"/>
        <v>193185.25685544006</v>
      </c>
      <c r="M178" s="358"/>
      <c r="N178" s="356"/>
    </row>
    <row r="179" spans="1:14" x14ac:dyDescent="0.25">
      <c r="A179" s="356">
        <f t="shared" si="20"/>
        <v>156</v>
      </c>
      <c r="B179" s="357">
        <f t="shared" si="22"/>
        <v>12</v>
      </c>
      <c r="C179" s="357">
        <f t="shared" si="23"/>
        <v>12</v>
      </c>
      <c r="D179" s="357">
        <f t="shared" si="24"/>
        <v>41</v>
      </c>
      <c r="E179" s="356">
        <f t="shared" si="21"/>
        <v>193185.25685544006</v>
      </c>
      <c r="G179" s="356">
        <f t="shared" si="17"/>
        <v>1392.3486060680734</v>
      </c>
      <c r="H179" s="360">
        <f>-SUM(E179:G179)*$H$21</f>
        <v>-1751.1984491535736</v>
      </c>
      <c r="I179" s="356">
        <f t="shared" si="18"/>
        <v>-194.57760546150814</v>
      </c>
      <c r="J179" s="356">
        <f t="shared" si="19"/>
        <v>192631.82940689308</v>
      </c>
      <c r="M179" s="358"/>
      <c r="N179" s="356"/>
    </row>
    <row r="180" spans="1:14" x14ac:dyDescent="0.25">
      <c r="A180" s="356">
        <f t="shared" si="20"/>
        <v>157</v>
      </c>
      <c r="B180" s="357">
        <f t="shared" si="22"/>
        <v>13</v>
      </c>
      <c r="C180" s="357">
        <f t="shared" si="23"/>
        <v>1</v>
      </c>
      <c r="D180" s="357">
        <f t="shared" si="24"/>
        <v>42</v>
      </c>
      <c r="E180" s="356">
        <f t="shared" si="21"/>
        <v>192631.82940689308</v>
      </c>
      <c r="G180" s="356">
        <f t="shared" si="17"/>
        <v>1388.3598755143707</v>
      </c>
      <c r="H180" s="356">
        <v>0</v>
      </c>
      <c r="I180" s="356">
        <f t="shared" si="18"/>
        <v>-194.02018928240747</v>
      </c>
      <c r="J180" s="356">
        <f t="shared" si="19"/>
        <v>193826.16909312506</v>
      </c>
      <c r="M180" s="358"/>
      <c r="N180" s="356"/>
    </row>
    <row r="181" spans="1:14" x14ac:dyDescent="0.25">
      <c r="A181" s="356">
        <f t="shared" si="20"/>
        <v>158</v>
      </c>
      <c r="B181" s="357">
        <f t="shared" si="22"/>
        <v>13</v>
      </c>
      <c r="C181" s="357">
        <f t="shared" si="23"/>
        <v>2</v>
      </c>
      <c r="D181" s="357">
        <f t="shared" si="24"/>
        <v>42</v>
      </c>
      <c r="E181" s="356">
        <f t="shared" si="21"/>
        <v>193826.16909312506</v>
      </c>
      <c r="G181" s="356">
        <f t="shared" si="17"/>
        <v>1396.9678677823379</v>
      </c>
      <c r="H181" s="356">
        <v>0</v>
      </c>
      <c r="I181" s="356">
        <f t="shared" si="18"/>
        <v>-195.2231369609074</v>
      </c>
      <c r="J181" s="356">
        <f t="shared" si="19"/>
        <v>195027.9138239465</v>
      </c>
      <c r="M181" s="358"/>
      <c r="N181" s="356"/>
    </row>
    <row r="182" spans="1:14" x14ac:dyDescent="0.25">
      <c r="A182" s="356">
        <f t="shared" si="20"/>
        <v>159</v>
      </c>
      <c r="B182" s="357">
        <f t="shared" si="22"/>
        <v>13</v>
      </c>
      <c r="C182" s="357">
        <f t="shared" si="23"/>
        <v>3</v>
      </c>
      <c r="D182" s="357">
        <f t="shared" si="24"/>
        <v>42</v>
      </c>
      <c r="E182" s="356">
        <f t="shared" si="21"/>
        <v>195027.9138239465</v>
      </c>
      <c r="G182" s="356">
        <f t="shared" si="17"/>
        <v>1405.6292306008318</v>
      </c>
      <c r="H182" s="360">
        <f>-SUM(E182:G182)*$H$21</f>
        <v>-1767.9018874909261</v>
      </c>
      <c r="I182" s="356">
        <f t="shared" si="18"/>
        <v>-196.43354305454733</v>
      </c>
      <c r="J182" s="356">
        <f t="shared" si="19"/>
        <v>194469.20762400184</v>
      </c>
      <c r="M182" s="358"/>
      <c r="N182" s="356"/>
    </row>
    <row r="183" spans="1:14" x14ac:dyDescent="0.25">
      <c r="A183" s="356">
        <f t="shared" si="20"/>
        <v>160</v>
      </c>
      <c r="B183" s="357">
        <f t="shared" si="22"/>
        <v>13</v>
      </c>
      <c r="C183" s="357">
        <f t="shared" si="23"/>
        <v>4</v>
      </c>
      <c r="D183" s="357">
        <f t="shared" si="24"/>
        <v>42</v>
      </c>
      <c r="E183" s="356">
        <f t="shared" si="21"/>
        <v>194469.20762400184</v>
      </c>
      <c r="G183" s="356">
        <f t="shared" si="17"/>
        <v>1401.6024543791004</v>
      </c>
      <c r="H183" s="356">
        <v>0</v>
      </c>
      <c r="I183" s="356">
        <f t="shared" si="18"/>
        <v>-195.87081007838094</v>
      </c>
      <c r="J183" s="356">
        <f t="shared" si="19"/>
        <v>195674.93926830258</v>
      </c>
      <c r="M183" s="358"/>
      <c r="N183" s="356"/>
    </row>
    <row r="184" spans="1:14" x14ac:dyDescent="0.25">
      <c r="A184" s="356">
        <f t="shared" si="20"/>
        <v>161</v>
      </c>
      <c r="B184" s="357">
        <f t="shared" si="22"/>
        <v>13</v>
      </c>
      <c r="C184" s="357">
        <f t="shared" si="23"/>
        <v>5</v>
      </c>
      <c r="D184" s="357">
        <f t="shared" si="24"/>
        <v>42</v>
      </c>
      <c r="E184" s="356">
        <f t="shared" si="21"/>
        <v>195674.93926830258</v>
      </c>
      <c r="G184" s="356">
        <f t="shared" si="17"/>
        <v>1410.2925521720729</v>
      </c>
      <c r="H184" s="356">
        <v>0</v>
      </c>
      <c r="I184" s="356">
        <f t="shared" si="18"/>
        <v>-197.08523182047463</v>
      </c>
      <c r="J184" s="356">
        <f t="shared" si="19"/>
        <v>196888.14658865417</v>
      </c>
      <c r="M184" s="358"/>
      <c r="N184" s="356"/>
    </row>
    <row r="185" spans="1:14" x14ac:dyDescent="0.25">
      <c r="A185" s="356">
        <f t="shared" si="20"/>
        <v>162</v>
      </c>
      <c r="B185" s="357">
        <f t="shared" si="22"/>
        <v>13</v>
      </c>
      <c r="C185" s="357">
        <f t="shared" si="23"/>
        <v>6</v>
      </c>
      <c r="D185" s="357">
        <f t="shared" si="24"/>
        <v>42</v>
      </c>
      <c r="E185" s="356">
        <f t="shared" si="21"/>
        <v>196888.14658865417</v>
      </c>
      <c r="G185" s="356">
        <f t="shared" si="17"/>
        <v>1419.0365295793508</v>
      </c>
      <c r="H185" s="360">
        <f>-SUM(E185:G185)*$H$21</f>
        <v>-1784.764648064102</v>
      </c>
      <c r="I185" s="356">
        <f t="shared" si="18"/>
        <v>-198.30718311823352</v>
      </c>
      <c r="J185" s="356">
        <f t="shared" si="19"/>
        <v>196324.11128705117</v>
      </c>
      <c r="M185" s="358"/>
      <c r="N185" s="356"/>
    </row>
    <row r="186" spans="1:14" x14ac:dyDescent="0.25">
      <c r="A186" s="356">
        <f t="shared" si="20"/>
        <v>163</v>
      </c>
      <c r="B186" s="357">
        <f t="shared" si="22"/>
        <v>13</v>
      </c>
      <c r="C186" s="357">
        <f t="shared" si="23"/>
        <v>7</v>
      </c>
      <c r="D186" s="357">
        <f t="shared" si="24"/>
        <v>42</v>
      </c>
      <c r="E186" s="356">
        <f t="shared" si="21"/>
        <v>196324.11128705117</v>
      </c>
      <c r="G186" s="356">
        <f t="shared" si="17"/>
        <v>1414.9713447989832</v>
      </c>
      <c r="H186" s="356">
        <v>0</v>
      </c>
      <c r="I186" s="356">
        <f t="shared" si="18"/>
        <v>-197.73908263185015</v>
      </c>
      <c r="J186" s="356">
        <f t="shared" si="19"/>
        <v>197541.3435492183</v>
      </c>
      <c r="M186" s="358"/>
      <c r="N186" s="356"/>
    </row>
    <row r="187" spans="1:14" x14ac:dyDescent="0.25">
      <c r="A187" s="356">
        <f t="shared" si="20"/>
        <v>164</v>
      </c>
      <c r="B187" s="357">
        <f t="shared" si="22"/>
        <v>13</v>
      </c>
      <c r="C187" s="357">
        <f t="shared" si="23"/>
        <v>8</v>
      </c>
      <c r="D187" s="357">
        <f t="shared" si="24"/>
        <v>42</v>
      </c>
      <c r="E187" s="356">
        <f t="shared" si="21"/>
        <v>197541.3435492183</v>
      </c>
      <c r="G187" s="356">
        <f t="shared" si="17"/>
        <v>1423.7443312632543</v>
      </c>
      <c r="H187" s="356">
        <v>0</v>
      </c>
      <c r="I187" s="356">
        <f t="shared" si="18"/>
        <v>-198.96508788048158</v>
      </c>
      <c r="J187" s="356">
        <f t="shared" si="19"/>
        <v>198766.1227926011</v>
      </c>
      <c r="M187" s="358"/>
      <c r="N187" s="356"/>
    </row>
    <row r="188" spans="1:14" x14ac:dyDescent="0.25">
      <c r="A188" s="356">
        <f t="shared" si="20"/>
        <v>165</v>
      </c>
      <c r="B188" s="357">
        <f t="shared" si="22"/>
        <v>13</v>
      </c>
      <c r="C188" s="357">
        <f t="shared" si="23"/>
        <v>9</v>
      </c>
      <c r="D188" s="357">
        <f t="shared" si="24"/>
        <v>42</v>
      </c>
      <c r="E188" s="356">
        <f t="shared" si="21"/>
        <v>198766.1227926011</v>
      </c>
      <c r="G188" s="356">
        <f t="shared" si="17"/>
        <v>1432.5717112612074</v>
      </c>
      <c r="H188" s="360">
        <f>-SUM(E188:G188)*$H$21</f>
        <v>-1801.788250534761</v>
      </c>
      <c r="I188" s="356">
        <f t="shared" si="18"/>
        <v>-200.1986945038623</v>
      </c>
      <c r="J188" s="356">
        <f t="shared" si="19"/>
        <v>198196.70755882366</v>
      </c>
      <c r="M188" s="358"/>
      <c r="N188" s="356"/>
    </row>
    <row r="189" spans="1:14" x14ac:dyDescent="0.25">
      <c r="A189" s="356">
        <f t="shared" si="20"/>
        <v>166</v>
      </c>
      <c r="B189" s="357">
        <f t="shared" si="22"/>
        <v>13</v>
      </c>
      <c r="C189" s="357">
        <f t="shared" si="23"/>
        <v>10</v>
      </c>
      <c r="D189" s="357">
        <f t="shared" si="24"/>
        <v>42</v>
      </c>
      <c r="E189" s="356">
        <f t="shared" si="21"/>
        <v>198196.70755882366</v>
      </c>
      <c r="G189" s="356">
        <f t="shared" si="17"/>
        <v>1428.46775157024</v>
      </c>
      <c r="H189" s="356">
        <v>0</v>
      </c>
      <c r="I189" s="356">
        <f t="shared" si="18"/>
        <v>-199.62517531039393</v>
      </c>
      <c r="J189" s="356">
        <f t="shared" si="19"/>
        <v>199425.55013508353</v>
      </c>
      <c r="M189" s="358"/>
      <c r="N189" s="356"/>
    </row>
    <row r="190" spans="1:14" x14ac:dyDescent="0.25">
      <c r="A190" s="356">
        <f t="shared" si="20"/>
        <v>167</v>
      </c>
      <c r="B190" s="357">
        <f t="shared" si="22"/>
        <v>13</v>
      </c>
      <c r="C190" s="357">
        <f t="shared" si="23"/>
        <v>11</v>
      </c>
      <c r="D190" s="357">
        <f t="shared" si="24"/>
        <v>42</v>
      </c>
      <c r="E190" s="356">
        <f t="shared" si="21"/>
        <v>199425.55013508353</v>
      </c>
      <c r="G190" s="356">
        <f t="shared" si="17"/>
        <v>1437.3244173219791</v>
      </c>
      <c r="H190" s="356">
        <v>0</v>
      </c>
      <c r="I190" s="356">
        <f t="shared" si="18"/>
        <v>-200.86287455240551</v>
      </c>
      <c r="J190" s="356">
        <f t="shared" si="19"/>
        <v>200662.0116778531</v>
      </c>
      <c r="M190" s="358"/>
      <c r="N190" s="356"/>
    </row>
    <row r="191" spans="1:14" x14ac:dyDescent="0.25">
      <c r="A191" s="356">
        <f t="shared" si="20"/>
        <v>168</v>
      </c>
      <c r="B191" s="357">
        <f t="shared" si="22"/>
        <v>13</v>
      </c>
      <c r="C191" s="357">
        <f t="shared" si="23"/>
        <v>12</v>
      </c>
      <c r="D191" s="357">
        <f t="shared" si="24"/>
        <v>42</v>
      </c>
      <c r="E191" s="356">
        <f t="shared" si="21"/>
        <v>200662.0116778531</v>
      </c>
      <c r="G191" s="356">
        <f t="shared" si="17"/>
        <v>1446.2359954286885</v>
      </c>
      <c r="H191" s="360">
        <f>-SUM(E191:G191)*$H$21</f>
        <v>-1818.9742290595364</v>
      </c>
      <c r="I191" s="356">
        <f t="shared" si="18"/>
        <v>-202.1082476732818</v>
      </c>
      <c r="J191" s="356">
        <f t="shared" si="19"/>
        <v>200087.16519654897</v>
      </c>
      <c r="M191" s="358"/>
      <c r="N191" s="356"/>
    </row>
    <row r="192" spans="1:14" x14ac:dyDescent="0.25">
      <c r="A192" s="356">
        <f t="shared" si="20"/>
        <v>169</v>
      </c>
      <c r="B192" s="357">
        <f t="shared" si="22"/>
        <v>14</v>
      </c>
      <c r="C192" s="357">
        <f t="shared" si="23"/>
        <v>1</v>
      </c>
      <c r="D192" s="357">
        <f t="shared" si="24"/>
        <v>43</v>
      </c>
      <c r="E192" s="356">
        <f t="shared" si="21"/>
        <v>200087.16519654897</v>
      </c>
      <c r="G192" s="356">
        <f t="shared" si="17"/>
        <v>1442.0928909807863</v>
      </c>
      <c r="H192" s="356">
        <v>0</v>
      </c>
      <c r="I192" s="356">
        <f t="shared" si="18"/>
        <v>-201.52925808752977</v>
      </c>
      <c r="J192" s="356">
        <f t="shared" si="19"/>
        <v>201327.72882944223</v>
      </c>
      <c r="M192" s="358"/>
      <c r="N192" s="356"/>
    </row>
    <row r="193" spans="1:14" x14ac:dyDescent="0.25">
      <c r="A193" s="356">
        <f t="shared" si="20"/>
        <v>170</v>
      </c>
      <c r="B193" s="357">
        <f t="shared" si="22"/>
        <v>14</v>
      </c>
      <c r="C193" s="357">
        <f t="shared" si="23"/>
        <v>2</v>
      </c>
      <c r="D193" s="357">
        <f t="shared" si="24"/>
        <v>43</v>
      </c>
      <c r="E193" s="356">
        <f t="shared" si="21"/>
        <v>201327.72882944223</v>
      </c>
      <c r="G193" s="356">
        <f t="shared" si="17"/>
        <v>1451.034034177289</v>
      </c>
      <c r="H193" s="356">
        <v>0</v>
      </c>
      <c r="I193" s="356">
        <f t="shared" si="18"/>
        <v>-202.7787628636195</v>
      </c>
      <c r="J193" s="356">
        <f t="shared" si="19"/>
        <v>202575.9841007559</v>
      </c>
      <c r="M193" s="358"/>
      <c r="N193" s="356"/>
    </row>
    <row r="194" spans="1:14" x14ac:dyDescent="0.25">
      <c r="A194" s="356">
        <f t="shared" si="20"/>
        <v>171</v>
      </c>
      <c r="B194" s="357">
        <f t="shared" si="22"/>
        <v>14</v>
      </c>
      <c r="C194" s="357">
        <f t="shared" si="23"/>
        <v>3</v>
      </c>
      <c r="D194" s="357">
        <f t="shared" si="24"/>
        <v>43</v>
      </c>
      <c r="E194" s="356">
        <f t="shared" si="21"/>
        <v>202575.9841007559</v>
      </c>
      <c r="G194" s="356">
        <f t="shared" si="17"/>
        <v>1460.0306134987186</v>
      </c>
      <c r="H194" s="360">
        <f>-SUM(E194:G194)*$H$21</f>
        <v>-1836.3241324282915</v>
      </c>
      <c r="I194" s="356">
        <f t="shared" si="18"/>
        <v>-204.0360147142546</v>
      </c>
      <c r="J194" s="356">
        <f t="shared" si="19"/>
        <v>201995.65456711204</v>
      </c>
      <c r="M194" s="358"/>
      <c r="N194" s="356"/>
    </row>
    <row r="195" spans="1:14" x14ac:dyDescent="0.25">
      <c r="A195" s="356">
        <f t="shared" si="20"/>
        <v>172</v>
      </c>
      <c r="B195" s="357">
        <f t="shared" si="22"/>
        <v>14</v>
      </c>
      <c r="C195" s="357">
        <f t="shared" si="23"/>
        <v>4</v>
      </c>
      <c r="D195" s="357">
        <f t="shared" si="24"/>
        <v>43</v>
      </c>
      <c r="E195" s="356">
        <f t="shared" si="21"/>
        <v>201995.65456711204</v>
      </c>
      <c r="G195" s="356">
        <f t="shared" si="17"/>
        <v>1455.8479909198445</v>
      </c>
      <c r="H195" s="356">
        <v>0</v>
      </c>
      <c r="I195" s="356">
        <f t="shared" si="18"/>
        <v>-203.45150255803188</v>
      </c>
      <c r="J195" s="356">
        <f t="shared" si="19"/>
        <v>203248.05105547386</v>
      </c>
      <c r="M195" s="358"/>
      <c r="N195" s="356"/>
    </row>
    <row r="196" spans="1:14" x14ac:dyDescent="0.25">
      <c r="A196" s="356">
        <f t="shared" si="20"/>
        <v>173</v>
      </c>
      <c r="B196" s="357">
        <f t="shared" si="22"/>
        <v>14</v>
      </c>
      <c r="C196" s="357">
        <f t="shared" si="23"/>
        <v>5</v>
      </c>
      <c r="D196" s="357">
        <f t="shared" si="24"/>
        <v>43</v>
      </c>
      <c r="E196" s="356">
        <f t="shared" si="21"/>
        <v>203248.05105547386</v>
      </c>
      <c r="G196" s="356">
        <f t="shared" si="17"/>
        <v>1464.8744173314624</v>
      </c>
      <c r="H196" s="356">
        <v>0</v>
      </c>
      <c r="I196" s="356">
        <f t="shared" si="18"/>
        <v>-204.71292547280532</v>
      </c>
      <c r="J196" s="356">
        <f t="shared" si="19"/>
        <v>204508.2125473325</v>
      </c>
      <c r="M196" s="358"/>
      <c r="N196" s="356"/>
    </row>
    <row r="197" spans="1:14" x14ac:dyDescent="0.25">
      <c r="A197" s="356">
        <f t="shared" si="20"/>
        <v>174</v>
      </c>
      <c r="B197" s="357">
        <f t="shared" si="22"/>
        <v>14</v>
      </c>
      <c r="C197" s="357">
        <f t="shared" si="23"/>
        <v>6</v>
      </c>
      <c r="D197" s="357">
        <f t="shared" si="24"/>
        <v>43</v>
      </c>
      <c r="E197" s="356">
        <f t="shared" si="21"/>
        <v>204508.2125473325</v>
      </c>
      <c r="G197" s="356">
        <f t="shared" si="17"/>
        <v>1473.956808633833</v>
      </c>
      <c r="H197" s="360">
        <f>-SUM(E197:G197)*$H$21</f>
        <v>-1853.8395242036975</v>
      </c>
      <c r="I197" s="356">
        <f t="shared" si="18"/>
        <v>-205.98216935596636</v>
      </c>
      <c r="J197" s="356">
        <f t="shared" si="19"/>
        <v>203922.34766240668</v>
      </c>
      <c r="M197" s="358"/>
      <c r="N197" s="356"/>
    </row>
    <row r="198" spans="1:14" x14ac:dyDescent="0.25">
      <c r="A198" s="356">
        <f t="shared" si="20"/>
        <v>175</v>
      </c>
      <c r="B198" s="357">
        <f t="shared" si="22"/>
        <v>14</v>
      </c>
      <c r="C198" s="357">
        <f t="shared" si="23"/>
        <v>7</v>
      </c>
      <c r="D198" s="357">
        <f t="shared" si="24"/>
        <v>43</v>
      </c>
      <c r="E198" s="356">
        <f t="shared" si="21"/>
        <v>203922.34766240668</v>
      </c>
      <c r="G198" s="356">
        <f t="shared" si="17"/>
        <v>1469.734290988601</v>
      </c>
      <c r="H198" s="356">
        <v>0</v>
      </c>
      <c r="I198" s="356">
        <f t="shared" si="18"/>
        <v>-205.3920819533953</v>
      </c>
      <c r="J198" s="356">
        <f t="shared" si="19"/>
        <v>205186.6898714419</v>
      </c>
      <c r="M198" s="358"/>
      <c r="N198" s="356"/>
    </row>
    <row r="199" spans="1:14" x14ac:dyDescent="0.25">
      <c r="A199" s="356">
        <f t="shared" si="20"/>
        <v>176</v>
      </c>
      <c r="B199" s="357">
        <f t="shared" si="22"/>
        <v>14</v>
      </c>
      <c r="C199" s="357">
        <f t="shared" si="23"/>
        <v>8</v>
      </c>
      <c r="D199" s="357">
        <f t="shared" si="24"/>
        <v>43</v>
      </c>
      <c r="E199" s="356">
        <f t="shared" si="21"/>
        <v>205186.6898714419</v>
      </c>
      <c r="G199" s="356">
        <f t="shared" si="17"/>
        <v>1478.8468140713564</v>
      </c>
      <c r="H199" s="356">
        <v>0</v>
      </c>
      <c r="I199" s="356">
        <f t="shared" si="18"/>
        <v>-206.66553668551325</v>
      </c>
      <c r="J199" s="356">
        <f t="shared" si="19"/>
        <v>206458.87114882772</v>
      </c>
      <c r="M199" s="358"/>
      <c r="N199" s="356"/>
    </row>
    <row r="200" spans="1:14" x14ac:dyDescent="0.25">
      <c r="A200" s="356">
        <f t="shared" si="20"/>
        <v>177</v>
      </c>
      <c r="B200" s="357">
        <f t="shared" si="22"/>
        <v>14</v>
      </c>
      <c r="C200" s="357">
        <f t="shared" si="23"/>
        <v>9</v>
      </c>
      <c r="D200" s="357">
        <f t="shared" si="24"/>
        <v>43</v>
      </c>
      <c r="E200" s="356">
        <f t="shared" si="21"/>
        <v>206458.87114882772</v>
      </c>
      <c r="G200" s="356">
        <f t="shared" si="17"/>
        <v>1488.015835854212</v>
      </c>
      <c r="H200" s="360">
        <f>-SUM(E200:G200)*$H$21</f>
        <v>-1871.5219828621377</v>
      </c>
      <c r="I200" s="356">
        <f t="shared" si="18"/>
        <v>-207.94688698468195</v>
      </c>
      <c r="J200" s="356">
        <f t="shared" si="19"/>
        <v>205867.4181148351</v>
      </c>
      <c r="M200" s="358"/>
      <c r="N200" s="356"/>
    </row>
    <row r="201" spans="1:14" x14ac:dyDescent="0.25">
      <c r="A201" s="356">
        <f t="shared" si="20"/>
        <v>178</v>
      </c>
      <c r="B201" s="357">
        <f t="shared" si="22"/>
        <v>14</v>
      </c>
      <c r="C201" s="357">
        <f t="shared" si="23"/>
        <v>10</v>
      </c>
      <c r="D201" s="357">
        <f t="shared" si="24"/>
        <v>43</v>
      </c>
      <c r="E201" s="356">
        <f t="shared" si="21"/>
        <v>205867.4181148351</v>
      </c>
      <c r="G201" s="356">
        <f t="shared" si="17"/>
        <v>1483.7530426119172</v>
      </c>
      <c r="H201" s="356">
        <v>0</v>
      </c>
      <c r="I201" s="356">
        <f t="shared" si="18"/>
        <v>-207.35117115744703</v>
      </c>
      <c r="J201" s="356">
        <f t="shared" si="19"/>
        <v>207143.81998628957</v>
      </c>
      <c r="M201" s="358"/>
      <c r="N201" s="356"/>
    </row>
    <row r="202" spans="1:14" x14ac:dyDescent="0.25">
      <c r="A202" s="356">
        <f t="shared" si="20"/>
        <v>179</v>
      </c>
      <c r="B202" s="357">
        <f t="shared" si="22"/>
        <v>14</v>
      </c>
      <c r="C202" s="357">
        <f t="shared" si="23"/>
        <v>11</v>
      </c>
      <c r="D202" s="357">
        <f t="shared" si="24"/>
        <v>43</v>
      </c>
      <c r="E202" s="356">
        <f t="shared" si="21"/>
        <v>207143.81998628957</v>
      </c>
      <c r="G202" s="356">
        <f t="shared" si="17"/>
        <v>1492.9524835808115</v>
      </c>
      <c r="H202" s="356">
        <v>0</v>
      </c>
      <c r="I202" s="356">
        <f t="shared" si="18"/>
        <v>-208.6367724698704</v>
      </c>
      <c r="J202" s="356">
        <f t="shared" si="19"/>
        <v>208428.13569740052</v>
      </c>
      <c r="M202" s="358"/>
      <c r="N202" s="356"/>
    </row>
    <row r="203" spans="1:14" x14ac:dyDescent="0.25">
      <c r="A203" s="356">
        <f t="shared" si="20"/>
        <v>180</v>
      </c>
      <c r="B203" s="357">
        <f t="shared" si="22"/>
        <v>14</v>
      </c>
      <c r="C203" s="357">
        <f t="shared" si="23"/>
        <v>12</v>
      </c>
      <c r="D203" s="357">
        <f t="shared" si="24"/>
        <v>43</v>
      </c>
      <c r="E203" s="356">
        <f t="shared" si="21"/>
        <v>208428.13569740052</v>
      </c>
      <c r="G203" s="356">
        <f t="shared" si="17"/>
        <v>1502.208962150782</v>
      </c>
      <c r="H203" s="360">
        <f>-SUM(E203:G203)*$H$21</f>
        <v>-1889.373101935962</v>
      </c>
      <c r="I203" s="356">
        <f t="shared" si="18"/>
        <v>-209.9303446595513</v>
      </c>
      <c r="J203" s="356">
        <f t="shared" si="19"/>
        <v>207831.0412129558</v>
      </c>
      <c r="M203" s="358"/>
      <c r="N203" s="356"/>
    </row>
    <row r="204" spans="1:14" x14ac:dyDescent="0.25">
      <c r="A204" s="356">
        <f t="shared" si="20"/>
        <v>181</v>
      </c>
      <c r="B204" s="357">
        <f t="shared" si="22"/>
        <v>15</v>
      </c>
      <c r="C204" s="357">
        <f t="shared" si="23"/>
        <v>1</v>
      </c>
      <c r="D204" s="357">
        <f t="shared" si="24"/>
        <v>44</v>
      </c>
      <c r="E204" s="356">
        <f t="shared" si="21"/>
        <v>207831.0412129558</v>
      </c>
      <c r="G204" s="356">
        <f t="shared" si="17"/>
        <v>1497.905509151107</v>
      </c>
      <c r="H204" s="356">
        <v>0</v>
      </c>
      <c r="I204" s="356">
        <f t="shared" si="18"/>
        <v>-209.32894672210693</v>
      </c>
      <c r="J204" s="356">
        <f t="shared" si="19"/>
        <v>209119.6177753848</v>
      </c>
      <c r="M204" s="358"/>
      <c r="N204" s="356"/>
    </row>
    <row r="205" spans="1:14" x14ac:dyDescent="0.25">
      <c r="A205" s="356">
        <f t="shared" si="20"/>
        <v>182</v>
      </c>
      <c r="B205" s="357">
        <f t="shared" si="22"/>
        <v>15</v>
      </c>
      <c r="C205" s="357">
        <f t="shared" si="23"/>
        <v>2</v>
      </c>
      <c r="D205" s="357">
        <f t="shared" si="24"/>
        <v>44</v>
      </c>
      <c r="E205" s="356">
        <f t="shared" si="21"/>
        <v>209119.6177753848</v>
      </c>
      <c r="G205" s="356">
        <f t="shared" si="17"/>
        <v>1507.1926970541288</v>
      </c>
      <c r="H205" s="356">
        <v>0</v>
      </c>
      <c r="I205" s="356">
        <f t="shared" si="18"/>
        <v>-210.62681047243893</v>
      </c>
      <c r="J205" s="356">
        <f t="shared" si="19"/>
        <v>210416.1836619665</v>
      </c>
      <c r="M205" s="358"/>
      <c r="N205" s="356"/>
    </row>
    <row r="206" spans="1:14" x14ac:dyDescent="0.25">
      <c r="A206" s="356">
        <f t="shared" si="20"/>
        <v>183</v>
      </c>
      <c r="B206" s="357">
        <f t="shared" si="22"/>
        <v>15</v>
      </c>
      <c r="C206" s="357">
        <f t="shared" si="23"/>
        <v>3</v>
      </c>
      <c r="D206" s="357">
        <f t="shared" si="24"/>
        <v>44</v>
      </c>
      <c r="E206" s="356">
        <f t="shared" si="21"/>
        <v>210416.1836619665</v>
      </c>
      <c r="G206" s="356">
        <f t="shared" si="17"/>
        <v>1516.5374665993966</v>
      </c>
      <c r="H206" s="360">
        <f>-SUM(E206:G206)*$H$21</f>
        <v>-1907.3944901570933</v>
      </c>
      <c r="I206" s="356">
        <f t="shared" si="18"/>
        <v>-211.9327211285659</v>
      </c>
      <c r="J206" s="356">
        <f t="shared" si="19"/>
        <v>209813.39391728025</v>
      </c>
      <c r="M206" s="358"/>
      <c r="N206" s="356"/>
    </row>
    <row r="207" spans="1:14" x14ac:dyDescent="0.25">
      <c r="A207" s="356">
        <f t="shared" si="20"/>
        <v>184</v>
      </c>
      <c r="B207" s="357">
        <f t="shared" si="22"/>
        <v>15</v>
      </c>
      <c r="C207" s="357">
        <f t="shared" si="23"/>
        <v>4</v>
      </c>
      <c r="D207" s="357">
        <f t="shared" si="24"/>
        <v>44</v>
      </c>
      <c r="E207" s="356">
        <f t="shared" si="21"/>
        <v>209813.39391728025</v>
      </c>
      <c r="G207" s="356">
        <f t="shared" si="17"/>
        <v>1512.1929660177914</v>
      </c>
      <c r="H207" s="356">
        <v>0</v>
      </c>
      <c r="I207" s="356">
        <f t="shared" si="18"/>
        <v>-211.32558688329803</v>
      </c>
      <c r="J207" s="356">
        <f t="shared" si="19"/>
        <v>211114.26129641474</v>
      </c>
      <c r="M207" s="358"/>
      <c r="N207" s="356"/>
    </row>
    <row r="208" spans="1:14" x14ac:dyDescent="0.25">
      <c r="A208" s="356">
        <f t="shared" si="20"/>
        <v>185</v>
      </c>
      <c r="B208" s="357">
        <f t="shared" si="22"/>
        <v>15</v>
      </c>
      <c r="C208" s="357">
        <f t="shared" si="23"/>
        <v>5</v>
      </c>
      <c r="D208" s="357">
        <f t="shared" si="24"/>
        <v>44</v>
      </c>
      <c r="E208" s="356">
        <f t="shared" si="21"/>
        <v>211114.26129641474</v>
      </c>
      <c r="G208" s="356">
        <f t="shared" si="17"/>
        <v>1521.568737810629</v>
      </c>
      <c r="H208" s="356">
        <v>0</v>
      </c>
      <c r="I208" s="356">
        <f t="shared" si="18"/>
        <v>-212.63583003422536</v>
      </c>
      <c r="J208" s="356">
        <f t="shared" si="19"/>
        <v>212423.19420419115</v>
      </c>
      <c r="M208" s="358"/>
      <c r="N208" s="356"/>
    </row>
    <row r="209" spans="1:14" x14ac:dyDescent="0.25">
      <c r="A209" s="356">
        <f t="shared" si="20"/>
        <v>186</v>
      </c>
      <c r="B209" s="357">
        <f t="shared" si="22"/>
        <v>15</v>
      </c>
      <c r="C209" s="357">
        <f t="shared" si="23"/>
        <v>6</v>
      </c>
      <c r="D209" s="357">
        <f t="shared" si="24"/>
        <v>44</v>
      </c>
      <c r="E209" s="356">
        <f t="shared" si="21"/>
        <v>212423.19420419115</v>
      </c>
      <c r="G209" s="356">
        <f t="shared" si="17"/>
        <v>1531.0026404761045</v>
      </c>
      <c r="H209" s="360">
        <f>-SUM(E209:G209)*$H$21</f>
        <v>-1925.5877716020054</v>
      </c>
      <c r="I209" s="356">
        <f t="shared" si="18"/>
        <v>-213.95419684466725</v>
      </c>
      <c r="J209" s="356">
        <f t="shared" si="19"/>
        <v>211814.6548762206</v>
      </c>
      <c r="M209" s="358"/>
      <c r="N209" s="356"/>
    </row>
    <row r="210" spans="1:14" x14ac:dyDescent="0.25">
      <c r="A210" s="356">
        <f t="shared" si="20"/>
        <v>187</v>
      </c>
      <c r="B210" s="357">
        <f t="shared" si="22"/>
        <v>15</v>
      </c>
      <c r="C210" s="357">
        <f t="shared" si="23"/>
        <v>7</v>
      </c>
      <c r="D210" s="357">
        <f t="shared" si="24"/>
        <v>44</v>
      </c>
      <c r="E210" s="356">
        <f t="shared" si="21"/>
        <v>211814.6548762206</v>
      </c>
      <c r="G210" s="356">
        <f t="shared" si="17"/>
        <v>1526.6167007888362</v>
      </c>
      <c r="H210" s="356">
        <v>0</v>
      </c>
      <c r="I210" s="356">
        <f t="shared" si="18"/>
        <v>-213.34127157700945</v>
      </c>
      <c r="J210" s="356">
        <f t="shared" si="19"/>
        <v>213127.93030543244</v>
      </c>
      <c r="M210" s="358"/>
      <c r="N210" s="356"/>
    </row>
    <row r="211" spans="1:14" x14ac:dyDescent="0.25">
      <c r="A211" s="356">
        <f t="shared" si="20"/>
        <v>188</v>
      </c>
      <c r="B211" s="357">
        <f t="shared" si="22"/>
        <v>15</v>
      </c>
      <c r="C211" s="357">
        <f t="shared" si="23"/>
        <v>8</v>
      </c>
      <c r="D211" s="357">
        <f t="shared" si="24"/>
        <v>44</v>
      </c>
      <c r="E211" s="356">
        <f t="shared" si="21"/>
        <v>213127.93030543244</v>
      </c>
      <c r="G211" s="356">
        <f t="shared" si="17"/>
        <v>1536.0819014103042</v>
      </c>
      <c r="H211" s="356">
        <v>0</v>
      </c>
      <c r="I211" s="356">
        <f t="shared" si="18"/>
        <v>-214.66401220684276</v>
      </c>
      <c r="J211" s="356">
        <f t="shared" si="19"/>
        <v>214449.3481946359</v>
      </c>
      <c r="M211" s="358"/>
      <c r="N211" s="356"/>
    </row>
    <row r="212" spans="1:14" x14ac:dyDescent="0.25">
      <c r="A212" s="356">
        <f t="shared" si="20"/>
        <v>189</v>
      </c>
      <c r="B212" s="357">
        <f t="shared" si="22"/>
        <v>15</v>
      </c>
      <c r="C212" s="357">
        <f t="shared" si="23"/>
        <v>9</v>
      </c>
      <c r="D212" s="357">
        <f t="shared" si="24"/>
        <v>44</v>
      </c>
      <c r="E212" s="356">
        <f t="shared" si="21"/>
        <v>214449.3481946359</v>
      </c>
      <c r="G212" s="356">
        <f t="shared" si="17"/>
        <v>1545.6057873735206</v>
      </c>
      <c r="H212" s="360">
        <f>-SUM(E212:G212)*$H$21</f>
        <v>-1943.9545858380852</v>
      </c>
      <c r="I212" s="356">
        <f t="shared" si="18"/>
        <v>-215.99495398200943</v>
      </c>
      <c r="J212" s="356">
        <f t="shared" si="19"/>
        <v>213835.00444218935</v>
      </c>
      <c r="M212" s="358"/>
      <c r="N212" s="356"/>
    </row>
    <row r="213" spans="1:14" x14ac:dyDescent="0.25">
      <c r="A213" s="356">
        <f t="shared" si="20"/>
        <v>190</v>
      </c>
      <c r="B213" s="357">
        <f t="shared" si="22"/>
        <v>15</v>
      </c>
      <c r="C213" s="357">
        <f t="shared" si="23"/>
        <v>10</v>
      </c>
      <c r="D213" s="357">
        <f t="shared" si="24"/>
        <v>44</v>
      </c>
      <c r="E213" s="356">
        <f t="shared" si="21"/>
        <v>213835.00444218935</v>
      </c>
      <c r="G213" s="356">
        <f t="shared" si="17"/>
        <v>1541.1780133223895</v>
      </c>
      <c r="H213" s="356">
        <v>0</v>
      </c>
      <c r="I213" s="356">
        <f t="shared" si="18"/>
        <v>-215.37618245551175</v>
      </c>
      <c r="J213" s="356">
        <f t="shared" si="19"/>
        <v>215160.80627305622</v>
      </c>
      <c r="M213" s="358"/>
      <c r="N213" s="356"/>
    </row>
    <row r="214" spans="1:14" x14ac:dyDescent="0.25">
      <c r="A214" s="356">
        <f t="shared" si="20"/>
        <v>191</v>
      </c>
      <c r="B214" s="357">
        <f t="shared" si="22"/>
        <v>15</v>
      </c>
      <c r="C214" s="357">
        <f t="shared" si="23"/>
        <v>11</v>
      </c>
      <c r="D214" s="357">
        <f t="shared" si="24"/>
        <v>44</v>
      </c>
      <c r="E214" s="356">
        <f t="shared" si="21"/>
        <v>215160.80627305622</v>
      </c>
      <c r="G214" s="356">
        <f t="shared" si="17"/>
        <v>1550.733495770573</v>
      </c>
      <c r="H214" s="356">
        <v>0</v>
      </c>
      <c r="I214" s="356">
        <f t="shared" si="18"/>
        <v>-216.7115397688268</v>
      </c>
      <c r="J214" s="356">
        <f t="shared" si="19"/>
        <v>216494.82822905798</v>
      </c>
      <c r="M214" s="358"/>
      <c r="N214" s="356"/>
    </row>
    <row r="215" spans="1:14" x14ac:dyDescent="0.25">
      <c r="A215" s="356">
        <f t="shared" si="20"/>
        <v>192</v>
      </c>
      <c r="B215" s="357">
        <f t="shared" si="22"/>
        <v>15</v>
      </c>
      <c r="C215" s="357">
        <f t="shared" si="23"/>
        <v>12</v>
      </c>
      <c r="D215" s="357">
        <f t="shared" si="24"/>
        <v>44</v>
      </c>
      <c r="E215" s="356">
        <f t="shared" si="21"/>
        <v>216494.82822905798</v>
      </c>
      <c r="G215" s="356">
        <f t="shared" si="17"/>
        <v>1560.3482233183029</v>
      </c>
      <c r="H215" s="360">
        <f>-SUM(E215:G215)*$H$21</f>
        <v>-1962.496588071387</v>
      </c>
      <c r="I215" s="356">
        <f t="shared" si="18"/>
        <v>-218.05517645237632</v>
      </c>
      <c r="J215" s="356">
        <f t="shared" si="19"/>
        <v>215874.6246878525</v>
      </c>
      <c r="M215" s="358"/>
      <c r="N215" s="356"/>
    </row>
    <row r="216" spans="1:14" x14ac:dyDescent="0.25">
      <c r="A216" s="356">
        <f t="shared" si="20"/>
        <v>193</v>
      </c>
      <c r="B216" s="357">
        <f t="shared" si="22"/>
        <v>16</v>
      </c>
      <c r="C216" s="357">
        <f t="shared" si="23"/>
        <v>1</v>
      </c>
      <c r="D216" s="357">
        <f t="shared" si="24"/>
        <v>45</v>
      </c>
      <c r="E216" s="356">
        <f t="shared" si="21"/>
        <v>215874.6246878525</v>
      </c>
      <c r="G216" s="356">
        <f t="shared" ref="G216:G279" si="25">SUM(E216:F216)*$F$8</f>
        <v>1555.878215875022</v>
      </c>
      <c r="H216" s="356">
        <v>0</v>
      </c>
      <c r="I216" s="356">
        <f t="shared" ref="I216:I279" si="26">-SUM(E216:G216)*0.1%</f>
        <v>-217.43050290372753</v>
      </c>
      <c r="J216" s="356">
        <f t="shared" ref="J216:J279" si="27">SUM(E216:I216)</f>
        <v>217213.0724008238</v>
      </c>
      <c r="M216" s="358"/>
      <c r="N216" s="356"/>
    </row>
    <row r="217" spans="1:14" x14ac:dyDescent="0.25">
      <c r="A217" s="356">
        <f t="shared" ref="A217:A280" si="28">+A216+1</f>
        <v>194</v>
      </c>
      <c r="B217" s="357">
        <f t="shared" si="22"/>
        <v>16</v>
      </c>
      <c r="C217" s="357">
        <f t="shared" si="23"/>
        <v>2</v>
      </c>
      <c r="D217" s="357">
        <f t="shared" si="24"/>
        <v>45</v>
      </c>
      <c r="E217" s="356">
        <f t="shared" ref="E217:E280" si="29">J216</f>
        <v>217213.0724008238</v>
      </c>
      <c r="G217" s="356">
        <f t="shared" si="25"/>
        <v>1565.5248412841497</v>
      </c>
      <c r="H217" s="356">
        <v>0</v>
      </c>
      <c r="I217" s="356">
        <f t="shared" si="26"/>
        <v>-218.77859724210794</v>
      </c>
      <c r="J217" s="356">
        <f t="shared" si="27"/>
        <v>218559.81864486582</v>
      </c>
      <c r="M217" s="358"/>
      <c r="N217" s="356"/>
    </row>
    <row r="218" spans="1:14" x14ac:dyDescent="0.25">
      <c r="A218" s="356">
        <f t="shared" si="28"/>
        <v>195</v>
      </c>
      <c r="B218" s="357">
        <f t="shared" si="22"/>
        <v>16</v>
      </c>
      <c r="C218" s="357">
        <f t="shared" si="23"/>
        <v>3</v>
      </c>
      <c r="D218" s="357">
        <f t="shared" si="24"/>
        <v>45</v>
      </c>
      <c r="E218" s="356">
        <f t="shared" si="29"/>
        <v>218559.81864486582</v>
      </c>
      <c r="G218" s="356">
        <f t="shared" si="25"/>
        <v>1575.2312768897534</v>
      </c>
      <c r="H218" s="360">
        <f>-SUM(E218:G218)*$H$21</f>
        <v>-1981.2154492958002</v>
      </c>
      <c r="I218" s="356">
        <f t="shared" si="26"/>
        <v>-220.13504992175558</v>
      </c>
      <c r="J218" s="356">
        <f t="shared" si="27"/>
        <v>217933.69942253802</v>
      </c>
      <c r="M218" s="358"/>
      <c r="N218" s="356"/>
    </row>
    <row r="219" spans="1:14" x14ac:dyDescent="0.25">
      <c r="A219" s="356">
        <f t="shared" si="28"/>
        <v>196</v>
      </c>
      <c r="B219" s="357">
        <f t="shared" si="22"/>
        <v>16</v>
      </c>
      <c r="C219" s="357">
        <f t="shared" si="23"/>
        <v>4</v>
      </c>
      <c r="D219" s="357">
        <f t="shared" si="24"/>
        <v>45</v>
      </c>
      <c r="E219" s="356">
        <f t="shared" si="29"/>
        <v>217933.69942253802</v>
      </c>
      <c r="G219" s="356">
        <f t="shared" si="25"/>
        <v>1570.718633219989</v>
      </c>
      <c r="H219" s="356">
        <v>0</v>
      </c>
      <c r="I219" s="356">
        <f t="shared" si="26"/>
        <v>-219.504418055758</v>
      </c>
      <c r="J219" s="356">
        <f t="shared" si="27"/>
        <v>219284.91363770224</v>
      </c>
      <c r="M219" s="358"/>
      <c r="N219" s="356"/>
    </row>
    <row r="220" spans="1:14" x14ac:dyDescent="0.25">
      <c r="A220" s="356">
        <f t="shared" si="28"/>
        <v>197</v>
      </c>
      <c r="B220" s="357">
        <f t="shared" si="22"/>
        <v>16</v>
      </c>
      <c r="C220" s="357">
        <f t="shared" si="23"/>
        <v>5</v>
      </c>
      <c r="D220" s="357">
        <f t="shared" si="24"/>
        <v>45</v>
      </c>
      <c r="E220" s="356">
        <f t="shared" si="29"/>
        <v>219284.91363770224</v>
      </c>
      <c r="G220" s="356">
        <f t="shared" si="25"/>
        <v>1580.4572709380375</v>
      </c>
      <c r="H220" s="356">
        <v>0</v>
      </c>
      <c r="I220" s="356">
        <f t="shared" si="26"/>
        <v>-220.86537090864027</v>
      </c>
      <c r="J220" s="356">
        <f t="shared" si="27"/>
        <v>220644.50553773163</v>
      </c>
      <c r="M220" s="358"/>
      <c r="N220" s="356"/>
    </row>
    <row r="221" spans="1:14" x14ac:dyDescent="0.25">
      <c r="A221" s="356">
        <f t="shared" si="28"/>
        <v>198</v>
      </c>
      <c r="B221" s="357">
        <f t="shared" si="22"/>
        <v>16</v>
      </c>
      <c r="C221" s="357">
        <f t="shared" si="23"/>
        <v>6</v>
      </c>
      <c r="D221" s="357">
        <f t="shared" si="24"/>
        <v>45</v>
      </c>
      <c r="E221" s="356">
        <f t="shared" si="29"/>
        <v>220644.50553773163</v>
      </c>
      <c r="G221" s="356">
        <f t="shared" si="25"/>
        <v>1590.2562893395498</v>
      </c>
      <c r="H221" s="360">
        <f>-SUM(E221:G221)*$H$21</f>
        <v>-2000.1128564436408</v>
      </c>
      <c r="I221" s="356">
        <f t="shared" si="26"/>
        <v>-222.23476182707117</v>
      </c>
      <c r="J221" s="356">
        <f t="shared" si="27"/>
        <v>220012.41420880044</v>
      </c>
      <c r="M221" s="358"/>
      <c r="N221" s="356"/>
    </row>
    <row r="222" spans="1:14" x14ac:dyDescent="0.25">
      <c r="A222" s="356">
        <f t="shared" si="28"/>
        <v>199</v>
      </c>
      <c r="B222" s="357">
        <f t="shared" si="22"/>
        <v>16</v>
      </c>
      <c r="C222" s="357">
        <f t="shared" si="23"/>
        <v>7</v>
      </c>
      <c r="D222" s="357">
        <f t="shared" si="24"/>
        <v>45</v>
      </c>
      <c r="E222" s="356">
        <f t="shared" si="29"/>
        <v>220012.41420880044</v>
      </c>
      <c r="G222" s="356">
        <f t="shared" si="25"/>
        <v>1585.7006027666162</v>
      </c>
      <c r="H222" s="356">
        <v>0</v>
      </c>
      <c r="I222" s="356">
        <f t="shared" si="26"/>
        <v>-221.59811481156706</v>
      </c>
      <c r="J222" s="356">
        <f t="shared" si="27"/>
        <v>221376.5166967555</v>
      </c>
      <c r="M222" s="358"/>
      <c r="N222" s="356"/>
    </row>
    <row r="223" spans="1:14" x14ac:dyDescent="0.25">
      <c r="A223" s="356">
        <f t="shared" si="28"/>
        <v>200</v>
      </c>
      <c r="B223" s="357">
        <f t="shared" si="22"/>
        <v>16</v>
      </c>
      <c r="C223" s="357">
        <f t="shared" si="23"/>
        <v>8</v>
      </c>
      <c r="D223" s="357">
        <f t="shared" si="24"/>
        <v>45</v>
      </c>
      <c r="E223" s="356">
        <f t="shared" si="29"/>
        <v>221376.5166967555</v>
      </c>
      <c r="G223" s="356">
        <f t="shared" si="25"/>
        <v>1595.5321304336549</v>
      </c>
      <c r="H223" s="356">
        <v>0</v>
      </c>
      <c r="I223" s="356">
        <f t="shared" si="26"/>
        <v>-222.97204882718918</v>
      </c>
      <c r="J223" s="356">
        <f t="shared" si="27"/>
        <v>222749.07677836198</v>
      </c>
      <c r="M223" s="358"/>
      <c r="N223" s="356"/>
    </row>
    <row r="224" spans="1:14" x14ac:dyDescent="0.25">
      <c r="A224" s="356">
        <f t="shared" si="28"/>
        <v>201</v>
      </c>
      <c r="B224" s="357">
        <f t="shared" si="22"/>
        <v>16</v>
      </c>
      <c r="C224" s="357">
        <f t="shared" si="23"/>
        <v>9</v>
      </c>
      <c r="D224" s="357">
        <f t="shared" si="24"/>
        <v>45</v>
      </c>
      <c r="E224" s="356">
        <f t="shared" si="29"/>
        <v>222749.07677836198</v>
      </c>
      <c r="G224" s="356">
        <f t="shared" si="25"/>
        <v>1605.4246147126157</v>
      </c>
      <c r="H224" s="360">
        <f>-SUM(E224:G224)*$H$21</f>
        <v>-2019.1905125376718</v>
      </c>
      <c r="I224" s="356">
        <f t="shared" si="26"/>
        <v>-224.3545013930746</v>
      </c>
      <c r="J224" s="356">
        <f t="shared" si="27"/>
        <v>222110.95637914387</v>
      </c>
      <c r="M224" s="358"/>
      <c r="N224" s="356"/>
    </row>
    <row r="225" spans="1:14" x14ac:dyDescent="0.25">
      <c r="A225" s="356">
        <f t="shared" si="28"/>
        <v>202</v>
      </c>
      <c r="B225" s="357">
        <f t="shared" si="22"/>
        <v>16</v>
      </c>
      <c r="C225" s="357">
        <f t="shared" si="23"/>
        <v>10</v>
      </c>
      <c r="D225" s="357">
        <f t="shared" si="24"/>
        <v>45</v>
      </c>
      <c r="E225" s="356">
        <f t="shared" si="29"/>
        <v>222110.95637914387</v>
      </c>
      <c r="G225" s="356">
        <f t="shared" si="25"/>
        <v>1600.8254746808286</v>
      </c>
      <c r="H225" s="356">
        <v>0</v>
      </c>
      <c r="I225" s="356">
        <f t="shared" si="26"/>
        <v>-223.7117818538247</v>
      </c>
      <c r="J225" s="356">
        <f t="shared" si="27"/>
        <v>223488.07007197087</v>
      </c>
      <c r="M225" s="358"/>
      <c r="N225" s="356"/>
    </row>
    <row r="226" spans="1:14" x14ac:dyDescent="0.25">
      <c r="A226" s="356">
        <f t="shared" si="28"/>
        <v>203</v>
      </c>
      <c r="B226" s="357">
        <f t="shared" si="22"/>
        <v>16</v>
      </c>
      <c r="C226" s="357">
        <f t="shared" si="23"/>
        <v>11</v>
      </c>
      <c r="D226" s="357">
        <f t="shared" si="24"/>
        <v>45</v>
      </c>
      <c r="E226" s="356">
        <f t="shared" si="29"/>
        <v>223488.07007197087</v>
      </c>
      <c r="G226" s="356">
        <f t="shared" si="25"/>
        <v>1610.7507783081116</v>
      </c>
      <c r="H226" s="356">
        <v>0</v>
      </c>
      <c r="I226" s="356">
        <f t="shared" si="26"/>
        <v>-225.098820850279</v>
      </c>
      <c r="J226" s="356">
        <f t="shared" si="27"/>
        <v>224873.7220294287</v>
      </c>
      <c r="M226" s="358"/>
      <c r="N226" s="356"/>
    </row>
    <row r="227" spans="1:14" x14ac:dyDescent="0.25">
      <c r="A227" s="356">
        <f t="shared" si="28"/>
        <v>204</v>
      </c>
      <c r="B227" s="357">
        <f t="shared" si="22"/>
        <v>16</v>
      </c>
      <c r="C227" s="357">
        <f t="shared" si="23"/>
        <v>12</v>
      </c>
      <c r="D227" s="357">
        <f t="shared" si="24"/>
        <v>45</v>
      </c>
      <c r="E227" s="356">
        <f t="shared" si="29"/>
        <v>224873.7220294287</v>
      </c>
      <c r="G227" s="356">
        <f t="shared" si="25"/>
        <v>1620.737619969148</v>
      </c>
      <c r="H227" s="360">
        <f>-SUM(E227:G227)*$H$21</f>
        <v>-2038.4501368445808</v>
      </c>
      <c r="I227" s="356">
        <f t="shared" si="26"/>
        <v>-226.49445964939784</v>
      </c>
      <c r="J227" s="356">
        <f t="shared" si="27"/>
        <v>224229.51505290385</v>
      </c>
      <c r="M227" s="358"/>
      <c r="N227" s="356"/>
    </row>
    <row r="228" spans="1:14" x14ac:dyDescent="0.25">
      <c r="A228" s="356">
        <f t="shared" si="28"/>
        <v>205</v>
      </c>
      <c r="B228" s="357">
        <f t="shared" ref="B228:B291" si="30">B216+1</f>
        <v>17</v>
      </c>
      <c r="C228" s="357">
        <f t="shared" ref="C228:C291" si="31">C216</f>
        <v>1</v>
      </c>
      <c r="D228" s="357">
        <f t="shared" ref="D228:D291" si="32">D216+1</f>
        <v>46</v>
      </c>
      <c r="E228" s="356">
        <f t="shared" si="29"/>
        <v>224229.51505290385</v>
      </c>
      <c r="G228" s="356">
        <f t="shared" si="25"/>
        <v>1616.0946120068227</v>
      </c>
      <c r="H228" s="356">
        <v>0</v>
      </c>
      <c r="I228" s="356">
        <f t="shared" si="26"/>
        <v>-225.84560966491068</v>
      </c>
      <c r="J228" s="356">
        <f t="shared" si="27"/>
        <v>225619.76405524576</v>
      </c>
      <c r="M228" s="358"/>
      <c r="N228" s="356"/>
    </row>
    <row r="229" spans="1:14" x14ac:dyDescent="0.25">
      <c r="A229" s="356">
        <f t="shared" si="28"/>
        <v>206</v>
      </c>
      <c r="B229" s="357">
        <f t="shared" si="30"/>
        <v>17</v>
      </c>
      <c r="C229" s="357">
        <f t="shared" si="31"/>
        <v>2</v>
      </c>
      <c r="D229" s="357">
        <f t="shared" si="32"/>
        <v>46</v>
      </c>
      <c r="E229" s="356">
        <f t="shared" si="29"/>
        <v>225619.76405524576</v>
      </c>
      <c r="G229" s="356">
        <f t="shared" si="25"/>
        <v>1626.114586056637</v>
      </c>
      <c r="H229" s="356">
        <v>0</v>
      </c>
      <c r="I229" s="356">
        <f t="shared" si="26"/>
        <v>-227.2458786413024</v>
      </c>
      <c r="J229" s="356">
        <f t="shared" si="27"/>
        <v>227018.63276266112</v>
      </c>
      <c r="M229" s="358"/>
      <c r="N229" s="356"/>
    </row>
    <row r="230" spans="1:14" x14ac:dyDescent="0.25">
      <c r="A230" s="356">
        <f t="shared" si="28"/>
        <v>207</v>
      </c>
      <c r="B230" s="357">
        <f t="shared" si="30"/>
        <v>17</v>
      </c>
      <c r="C230" s="357">
        <f t="shared" si="31"/>
        <v>3</v>
      </c>
      <c r="D230" s="357">
        <f t="shared" si="32"/>
        <v>46</v>
      </c>
      <c r="E230" s="356">
        <f t="shared" si="29"/>
        <v>227018.63276266112</v>
      </c>
      <c r="G230" s="356">
        <f t="shared" si="25"/>
        <v>1636.196685107806</v>
      </c>
      <c r="H230" s="360">
        <f>-SUM(E230:G230)*$H$21</f>
        <v>-2057.8934650299207</v>
      </c>
      <c r="I230" s="356">
        <f t="shared" si="26"/>
        <v>-228.65482944776892</v>
      </c>
      <c r="J230" s="356">
        <f t="shared" si="27"/>
        <v>226368.28115329123</v>
      </c>
      <c r="M230" s="358"/>
      <c r="N230" s="356"/>
    </row>
    <row r="231" spans="1:14" x14ac:dyDescent="0.25">
      <c r="A231" s="356">
        <f t="shared" si="28"/>
        <v>208</v>
      </c>
      <c r="B231" s="357">
        <f t="shared" si="30"/>
        <v>17</v>
      </c>
      <c r="C231" s="357">
        <f t="shared" si="31"/>
        <v>4</v>
      </c>
      <c r="D231" s="357">
        <f t="shared" si="32"/>
        <v>46</v>
      </c>
      <c r="E231" s="356">
        <f t="shared" si="29"/>
        <v>226368.28115329123</v>
      </c>
      <c r="G231" s="356">
        <f t="shared" si="25"/>
        <v>1631.5093907899072</v>
      </c>
      <c r="H231" s="356">
        <v>0</v>
      </c>
      <c r="I231" s="356">
        <f t="shared" si="26"/>
        <v>-227.99979054408112</v>
      </c>
      <c r="J231" s="356">
        <f t="shared" si="27"/>
        <v>227771.79075353706</v>
      </c>
      <c r="M231" s="358"/>
      <c r="N231" s="356"/>
    </row>
    <row r="232" spans="1:14" x14ac:dyDescent="0.25">
      <c r="A232" s="356">
        <f t="shared" si="28"/>
        <v>209</v>
      </c>
      <c r="B232" s="357">
        <f t="shared" si="30"/>
        <v>17</v>
      </c>
      <c r="C232" s="357">
        <f t="shared" si="31"/>
        <v>5</v>
      </c>
      <c r="D232" s="357">
        <f t="shared" si="32"/>
        <v>46</v>
      </c>
      <c r="E232" s="356">
        <f t="shared" si="29"/>
        <v>227771.79075353706</v>
      </c>
      <c r="G232" s="356">
        <f t="shared" si="25"/>
        <v>1641.624938256181</v>
      </c>
      <c r="H232" s="356">
        <v>0</v>
      </c>
      <c r="I232" s="356">
        <f t="shared" si="26"/>
        <v>-229.41341569179326</v>
      </c>
      <c r="J232" s="356">
        <f t="shared" si="27"/>
        <v>229184.00227610147</v>
      </c>
      <c r="M232" s="358"/>
      <c r="N232" s="356"/>
    </row>
    <row r="233" spans="1:14" x14ac:dyDescent="0.25">
      <c r="A233" s="356">
        <f t="shared" si="28"/>
        <v>210</v>
      </c>
      <c r="B233" s="357">
        <f t="shared" si="30"/>
        <v>17</v>
      </c>
      <c r="C233" s="357">
        <f t="shared" si="31"/>
        <v>6</v>
      </c>
      <c r="D233" s="357">
        <f t="shared" si="32"/>
        <v>46</v>
      </c>
      <c r="E233" s="356">
        <f t="shared" si="29"/>
        <v>229184.00227610147</v>
      </c>
      <c r="G233" s="356">
        <f t="shared" si="25"/>
        <v>1651.8032032900762</v>
      </c>
      <c r="H233" s="360">
        <f>-SUM(E233:G233)*$H$21</f>
        <v>-2077.5222493145243</v>
      </c>
      <c r="I233" s="356">
        <f t="shared" si="26"/>
        <v>-230.83580547939155</v>
      </c>
      <c r="J233" s="356">
        <f t="shared" si="27"/>
        <v>228527.44742459763</v>
      </c>
      <c r="M233" s="358"/>
      <c r="N233" s="356"/>
    </row>
    <row r="234" spans="1:14" x14ac:dyDescent="0.25">
      <c r="A234" s="356">
        <f t="shared" si="28"/>
        <v>211</v>
      </c>
      <c r="B234" s="357">
        <f t="shared" si="30"/>
        <v>17</v>
      </c>
      <c r="C234" s="357">
        <f t="shared" si="31"/>
        <v>7</v>
      </c>
      <c r="D234" s="357">
        <f t="shared" si="32"/>
        <v>46</v>
      </c>
      <c r="E234" s="356">
        <f t="shared" si="29"/>
        <v>228527.44742459763</v>
      </c>
      <c r="G234" s="356">
        <f t="shared" si="25"/>
        <v>1647.07120020051</v>
      </c>
      <c r="H234" s="356">
        <v>0</v>
      </c>
      <c r="I234" s="356">
        <f t="shared" si="26"/>
        <v>-230.17451862479814</v>
      </c>
      <c r="J234" s="356">
        <f t="shared" si="27"/>
        <v>229944.34410617335</v>
      </c>
      <c r="M234" s="358"/>
      <c r="N234" s="356"/>
    </row>
    <row r="235" spans="1:14" x14ac:dyDescent="0.25">
      <c r="A235" s="356">
        <f t="shared" si="28"/>
        <v>212</v>
      </c>
      <c r="B235" s="357">
        <f t="shared" si="30"/>
        <v>17</v>
      </c>
      <c r="C235" s="357">
        <f t="shared" si="31"/>
        <v>8</v>
      </c>
      <c r="D235" s="357">
        <f t="shared" si="32"/>
        <v>46</v>
      </c>
      <c r="E235" s="356">
        <f t="shared" si="29"/>
        <v>229944.34410617335</v>
      </c>
      <c r="G235" s="356">
        <f t="shared" si="25"/>
        <v>1657.2832326901873</v>
      </c>
      <c r="H235" s="356">
        <v>0</v>
      </c>
      <c r="I235" s="356">
        <f t="shared" si="26"/>
        <v>-231.60162733886352</v>
      </c>
      <c r="J235" s="356">
        <f t="shared" si="27"/>
        <v>231370.02571152468</v>
      </c>
      <c r="M235" s="358"/>
      <c r="N235" s="356"/>
    </row>
    <row r="236" spans="1:14" x14ac:dyDescent="0.25">
      <c r="A236" s="356">
        <f t="shared" si="28"/>
        <v>213</v>
      </c>
      <c r="B236" s="357">
        <f t="shared" si="30"/>
        <v>17</v>
      </c>
      <c r="C236" s="357">
        <f t="shared" si="31"/>
        <v>9</v>
      </c>
      <c r="D236" s="357">
        <f t="shared" si="32"/>
        <v>46</v>
      </c>
      <c r="E236" s="356">
        <f t="shared" si="29"/>
        <v>231370.02571152468</v>
      </c>
      <c r="G236" s="356">
        <f t="shared" si="25"/>
        <v>1667.5585809658232</v>
      </c>
      <c r="H236" s="360">
        <f>-SUM(E236:G236)*$H$21</f>
        <v>-2097.3382586324146</v>
      </c>
      <c r="I236" s="356">
        <f t="shared" si="26"/>
        <v>-233.0375842924905</v>
      </c>
      <c r="J236" s="356">
        <f t="shared" si="27"/>
        <v>230707.2084495656</v>
      </c>
      <c r="M236" s="358"/>
      <c r="N236" s="356"/>
    </row>
    <row r="237" spans="1:14" x14ac:dyDescent="0.25">
      <c r="A237" s="356">
        <f t="shared" si="28"/>
        <v>214</v>
      </c>
      <c r="B237" s="357">
        <f t="shared" si="30"/>
        <v>17</v>
      </c>
      <c r="C237" s="357">
        <f t="shared" si="31"/>
        <v>10</v>
      </c>
      <c r="D237" s="357">
        <f t="shared" si="32"/>
        <v>46</v>
      </c>
      <c r="E237" s="356">
        <f t="shared" si="29"/>
        <v>230707.2084495656</v>
      </c>
      <c r="G237" s="356">
        <f t="shared" si="25"/>
        <v>1662.7814426593677</v>
      </c>
      <c r="H237" s="356">
        <v>0</v>
      </c>
      <c r="I237" s="356">
        <f t="shared" si="26"/>
        <v>-232.36998989222496</v>
      </c>
      <c r="J237" s="356">
        <f t="shared" si="27"/>
        <v>232137.61990233272</v>
      </c>
      <c r="M237" s="358"/>
      <c r="N237" s="356"/>
    </row>
    <row r="238" spans="1:14" x14ac:dyDescent="0.25">
      <c r="A238" s="356">
        <f t="shared" si="28"/>
        <v>215</v>
      </c>
      <c r="B238" s="357">
        <f t="shared" si="30"/>
        <v>17</v>
      </c>
      <c r="C238" s="357">
        <f t="shared" si="31"/>
        <v>11</v>
      </c>
      <c r="D238" s="357">
        <f t="shared" si="32"/>
        <v>46</v>
      </c>
      <c r="E238" s="356">
        <f t="shared" si="29"/>
        <v>232137.61990233272</v>
      </c>
      <c r="G238" s="356">
        <f t="shared" si="25"/>
        <v>1673.0908804745652</v>
      </c>
      <c r="H238" s="356">
        <v>0</v>
      </c>
      <c r="I238" s="356">
        <f t="shared" si="26"/>
        <v>-233.8107107828073</v>
      </c>
      <c r="J238" s="356">
        <f t="shared" si="27"/>
        <v>233576.9000720245</v>
      </c>
      <c r="M238" s="358"/>
      <c r="N238" s="356"/>
    </row>
    <row r="239" spans="1:14" x14ac:dyDescent="0.25">
      <c r="A239" s="356">
        <f t="shared" si="28"/>
        <v>216</v>
      </c>
      <c r="B239" s="357">
        <f t="shared" si="30"/>
        <v>17</v>
      </c>
      <c r="C239" s="357">
        <f t="shared" si="31"/>
        <v>12</v>
      </c>
      <c r="D239" s="357">
        <f t="shared" si="32"/>
        <v>46</v>
      </c>
      <c r="E239" s="356">
        <f t="shared" si="29"/>
        <v>233576.9000720245</v>
      </c>
      <c r="G239" s="356">
        <f t="shared" si="25"/>
        <v>1683.4642380000378</v>
      </c>
      <c r="H239" s="360">
        <f>-SUM(E239:G239)*$H$21</f>
        <v>-2117.343278790221</v>
      </c>
      <c r="I239" s="356">
        <f t="shared" si="26"/>
        <v>-235.26036431002456</v>
      </c>
      <c r="J239" s="356">
        <f t="shared" si="27"/>
        <v>232907.7606669243</v>
      </c>
      <c r="M239" s="358"/>
      <c r="N239" s="356"/>
    </row>
    <row r="240" spans="1:14" x14ac:dyDescent="0.25">
      <c r="A240" s="356">
        <f t="shared" si="28"/>
        <v>217</v>
      </c>
      <c r="B240" s="357">
        <f t="shared" si="30"/>
        <v>18</v>
      </c>
      <c r="C240" s="357">
        <f t="shared" si="31"/>
        <v>1</v>
      </c>
      <c r="D240" s="357">
        <f t="shared" si="32"/>
        <v>47</v>
      </c>
      <c r="E240" s="356">
        <f t="shared" si="29"/>
        <v>232907.7606669243</v>
      </c>
      <c r="G240" s="356">
        <f t="shared" si="25"/>
        <v>1678.6415339639134</v>
      </c>
      <c r="H240" s="356">
        <v>0</v>
      </c>
      <c r="I240" s="356">
        <f t="shared" si="26"/>
        <v>-234.58640220088822</v>
      </c>
      <c r="J240" s="356">
        <f t="shared" si="27"/>
        <v>234351.8157986873</v>
      </c>
      <c r="M240" s="358"/>
      <c r="N240" s="356"/>
    </row>
    <row r="241" spans="1:14" x14ac:dyDescent="0.25">
      <c r="A241" s="356">
        <f t="shared" si="28"/>
        <v>218</v>
      </c>
      <c r="B241" s="357">
        <f t="shared" si="30"/>
        <v>18</v>
      </c>
      <c r="C241" s="357">
        <f t="shared" si="31"/>
        <v>2</v>
      </c>
      <c r="D241" s="357">
        <f t="shared" si="32"/>
        <v>47</v>
      </c>
      <c r="E241" s="356">
        <f t="shared" si="29"/>
        <v>234351.8157986873</v>
      </c>
      <c r="G241" s="356">
        <f t="shared" si="25"/>
        <v>1689.0493061848558</v>
      </c>
      <c r="H241" s="356">
        <v>0</v>
      </c>
      <c r="I241" s="356">
        <f t="shared" si="26"/>
        <v>-236.04086510487218</v>
      </c>
      <c r="J241" s="356">
        <f t="shared" si="27"/>
        <v>235804.8242397673</v>
      </c>
      <c r="M241" s="358"/>
      <c r="N241" s="356"/>
    </row>
    <row r="242" spans="1:14" x14ac:dyDescent="0.25">
      <c r="A242" s="356">
        <f t="shared" si="28"/>
        <v>219</v>
      </c>
      <c r="B242" s="357">
        <f t="shared" si="30"/>
        <v>18</v>
      </c>
      <c r="C242" s="357">
        <f t="shared" si="31"/>
        <v>3</v>
      </c>
      <c r="D242" s="357">
        <f t="shared" si="32"/>
        <v>47</v>
      </c>
      <c r="E242" s="356">
        <f t="shared" si="29"/>
        <v>235804.8242397673</v>
      </c>
      <c r="G242" s="356">
        <f t="shared" si="25"/>
        <v>1699.521607800795</v>
      </c>
      <c r="H242" s="360">
        <f>-SUM(E242:G242)*$H$21</f>
        <v>-2137.5391126281133</v>
      </c>
      <c r="I242" s="356">
        <f t="shared" si="26"/>
        <v>-237.5043458475681</v>
      </c>
      <c r="J242" s="356">
        <f t="shared" si="27"/>
        <v>235129.30238909242</v>
      </c>
      <c r="M242" s="358"/>
      <c r="N242" s="356"/>
    </row>
    <row r="243" spans="1:14" x14ac:dyDescent="0.25">
      <c r="A243" s="356">
        <f t="shared" si="28"/>
        <v>220</v>
      </c>
      <c r="B243" s="357">
        <f t="shared" si="30"/>
        <v>18</v>
      </c>
      <c r="C243" s="357">
        <f t="shared" si="31"/>
        <v>4</v>
      </c>
      <c r="D243" s="357">
        <f t="shared" si="32"/>
        <v>47</v>
      </c>
      <c r="E243" s="356">
        <f t="shared" si="29"/>
        <v>235129.30238909242</v>
      </c>
      <c r="G243" s="356">
        <f t="shared" si="25"/>
        <v>1694.6529034158661</v>
      </c>
      <c r="H243" s="356">
        <v>0</v>
      </c>
      <c r="I243" s="356">
        <f t="shared" si="26"/>
        <v>-236.82395529250832</v>
      </c>
      <c r="J243" s="356">
        <f t="shared" si="27"/>
        <v>236587.13133721577</v>
      </c>
      <c r="M243" s="358"/>
      <c r="N243" s="356"/>
    </row>
    <row r="244" spans="1:14" x14ac:dyDescent="0.25">
      <c r="A244" s="356">
        <f t="shared" si="28"/>
        <v>221</v>
      </c>
      <c r="B244" s="357">
        <f t="shared" si="30"/>
        <v>18</v>
      </c>
      <c r="C244" s="357">
        <f t="shared" si="31"/>
        <v>5</v>
      </c>
      <c r="D244" s="357">
        <f t="shared" si="32"/>
        <v>47</v>
      </c>
      <c r="E244" s="356">
        <f t="shared" si="29"/>
        <v>236587.13133721577</v>
      </c>
      <c r="G244" s="356">
        <f t="shared" si="25"/>
        <v>1705.1599479846147</v>
      </c>
      <c r="H244" s="356">
        <v>0</v>
      </c>
      <c r="I244" s="356">
        <f t="shared" si="26"/>
        <v>-238.2922912852004</v>
      </c>
      <c r="J244" s="356">
        <f t="shared" si="27"/>
        <v>238053.9989939152</v>
      </c>
      <c r="M244" s="358"/>
      <c r="N244" s="356"/>
    </row>
    <row r="245" spans="1:14" x14ac:dyDescent="0.25">
      <c r="A245" s="356">
        <f t="shared" si="28"/>
        <v>222</v>
      </c>
      <c r="B245" s="357">
        <f t="shared" si="30"/>
        <v>18</v>
      </c>
      <c r="C245" s="357">
        <f t="shared" si="31"/>
        <v>6</v>
      </c>
      <c r="D245" s="357">
        <f t="shared" si="32"/>
        <v>47</v>
      </c>
      <c r="E245" s="356">
        <f t="shared" si="29"/>
        <v>238053.9989939152</v>
      </c>
      <c r="G245" s="356">
        <f t="shared" si="25"/>
        <v>1715.732137448431</v>
      </c>
      <c r="H245" s="360">
        <f>-SUM(E245:G245)*$H$21</f>
        <v>-2157.927580182273</v>
      </c>
      <c r="I245" s="356">
        <f t="shared" si="26"/>
        <v>-239.76973113136364</v>
      </c>
      <c r="J245" s="356">
        <f t="shared" si="27"/>
        <v>237372.03382005</v>
      </c>
      <c r="M245" s="358"/>
      <c r="N245" s="356"/>
    </row>
    <row r="246" spans="1:14" x14ac:dyDescent="0.25">
      <c r="A246" s="356">
        <f t="shared" si="28"/>
        <v>223</v>
      </c>
      <c r="B246" s="357">
        <f t="shared" si="30"/>
        <v>18</v>
      </c>
      <c r="C246" s="357">
        <f t="shared" si="31"/>
        <v>7</v>
      </c>
      <c r="D246" s="357">
        <f t="shared" si="32"/>
        <v>47</v>
      </c>
      <c r="E246" s="356">
        <f t="shared" si="29"/>
        <v>237372.03382005</v>
      </c>
      <c r="G246" s="356">
        <f t="shared" si="25"/>
        <v>1710.8169939500394</v>
      </c>
      <c r="H246" s="356">
        <v>0</v>
      </c>
      <c r="I246" s="356">
        <f t="shared" si="26"/>
        <v>-239.08285081400007</v>
      </c>
      <c r="J246" s="356">
        <f t="shared" si="27"/>
        <v>238843.76796318605</v>
      </c>
      <c r="M246" s="358"/>
      <c r="N246" s="356"/>
    </row>
    <row r="247" spans="1:14" x14ac:dyDescent="0.25">
      <c r="A247" s="356">
        <f t="shared" si="28"/>
        <v>224</v>
      </c>
      <c r="B247" s="357">
        <f t="shared" si="30"/>
        <v>18</v>
      </c>
      <c r="C247" s="357">
        <f t="shared" si="31"/>
        <v>8</v>
      </c>
      <c r="D247" s="357">
        <f t="shared" si="32"/>
        <v>47</v>
      </c>
      <c r="E247" s="356">
        <f t="shared" si="29"/>
        <v>238843.76796318605</v>
      </c>
      <c r="G247" s="356">
        <f t="shared" si="25"/>
        <v>1721.4242577550183</v>
      </c>
      <c r="H247" s="356">
        <v>0</v>
      </c>
      <c r="I247" s="356">
        <f t="shared" si="26"/>
        <v>-240.56519222094107</v>
      </c>
      <c r="J247" s="356">
        <f t="shared" si="27"/>
        <v>240324.62702872013</v>
      </c>
      <c r="M247" s="358"/>
      <c r="N247" s="356"/>
    </row>
    <row r="248" spans="1:14" x14ac:dyDescent="0.25">
      <c r="A248" s="356">
        <f t="shared" si="28"/>
        <v>225</v>
      </c>
      <c r="B248" s="357">
        <f t="shared" si="30"/>
        <v>18</v>
      </c>
      <c r="C248" s="357">
        <f t="shared" si="31"/>
        <v>9</v>
      </c>
      <c r="D248" s="357">
        <f t="shared" si="32"/>
        <v>47</v>
      </c>
      <c r="E248" s="356">
        <f t="shared" si="29"/>
        <v>240324.62702872013</v>
      </c>
      <c r="G248" s="356">
        <f t="shared" si="25"/>
        <v>1732.0972878259545</v>
      </c>
      <c r="H248" s="360">
        <f>-SUM(E248:G248)*$H$21</f>
        <v>-2178.510518848915</v>
      </c>
      <c r="I248" s="356">
        <f t="shared" si="26"/>
        <v>-242.05672431654608</v>
      </c>
      <c r="J248" s="356">
        <f t="shared" si="27"/>
        <v>239636.1570733806</v>
      </c>
      <c r="M248" s="358"/>
      <c r="N248" s="356"/>
    </row>
    <row r="249" spans="1:14" x14ac:dyDescent="0.25">
      <c r="A249" s="356">
        <f t="shared" si="28"/>
        <v>226</v>
      </c>
      <c r="B249" s="357">
        <f t="shared" si="30"/>
        <v>18</v>
      </c>
      <c r="C249" s="357">
        <f t="shared" si="31"/>
        <v>10</v>
      </c>
      <c r="D249" s="357">
        <f t="shared" si="32"/>
        <v>47</v>
      </c>
      <c r="E249" s="356">
        <f t="shared" si="29"/>
        <v>239636.1570733806</v>
      </c>
      <c r="G249" s="356">
        <f t="shared" si="25"/>
        <v>1727.1352622643763</v>
      </c>
      <c r="H249" s="356">
        <v>0</v>
      </c>
      <c r="I249" s="356">
        <f t="shared" si="26"/>
        <v>-241.36329233564499</v>
      </c>
      <c r="J249" s="356">
        <f t="shared" si="27"/>
        <v>241121.92904330933</v>
      </c>
      <c r="M249" s="358"/>
      <c r="N249" s="356"/>
    </row>
    <row r="250" spans="1:14" x14ac:dyDescent="0.25">
      <c r="A250" s="356">
        <f t="shared" si="28"/>
        <v>227</v>
      </c>
      <c r="B250" s="357">
        <f t="shared" si="30"/>
        <v>18</v>
      </c>
      <c r="C250" s="357">
        <f t="shared" si="31"/>
        <v>11</v>
      </c>
      <c r="D250" s="357">
        <f t="shared" si="32"/>
        <v>47</v>
      </c>
      <c r="E250" s="356">
        <f t="shared" si="29"/>
        <v>241121.92904330933</v>
      </c>
      <c r="G250" s="356">
        <f t="shared" si="25"/>
        <v>1737.8437012257061</v>
      </c>
      <c r="H250" s="356">
        <v>0</v>
      </c>
      <c r="I250" s="356">
        <f t="shared" si="26"/>
        <v>-242.85977274453504</v>
      </c>
      <c r="J250" s="356">
        <f t="shared" si="27"/>
        <v>242616.9129717905</v>
      </c>
      <c r="M250" s="358"/>
      <c r="N250" s="356"/>
    </row>
    <row r="251" spans="1:14" x14ac:dyDescent="0.25">
      <c r="A251" s="356">
        <f t="shared" si="28"/>
        <v>228</v>
      </c>
      <c r="B251" s="357">
        <f t="shared" si="30"/>
        <v>18</v>
      </c>
      <c r="C251" s="357">
        <f t="shared" si="31"/>
        <v>12</v>
      </c>
      <c r="D251" s="357">
        <f t="shared" si="32"/>
        <v>47</v>
      </c>
      <c r="E251" s="356">
        <f t="shared" si="29"/>
        <v>242616.9129717905</v>
      </c>
      <c r="G251" s="356">
        <f t="shared" si="25"/>
        <v>1748.6185337506981</v>
      </c>
      <c r="H251" s="360">
        <f>-SUM(E251:G251)*$H$21</f>
        <v>-2199.289783549871</v>
      </c>
      <c r="I251" s="356">
        <f t="shared" si="26"/>
        <v>-244.3655315055412</v>
      </c>
      <c r="J251" s="356">
        <f t="shared" si="27"/>
        <v>241921.87619048578</v>
      </c>
      <c r="M251" s="358"/>
      <c r="N251" s="356"/>
    </row>
    <row r="252" spans="1:14" x14ac:dyDescent="0.25">
      <c r="A252" s="356">
        <f t="shared" si="28"/>
        <v>229</v>
      </c>
      <c r="B252" s="357">
        <f t="shared" si="30"/>
        <v>19</v>
      </c>
      <c r="C252" s="357">
        <f t="shared" si="31"/>
        <v>1</v>
      </c>
      <c r="D252" s="357">
        <f t="shared" si="32"/>
        <v>48</v>
      </c>
      <c r="E252" s="356">
        <f t="shared" si="29"/>
        <v>241921.87619048578</v>
      </c>
      <c r="G252" s="356">
        <f t="shared" si="25"/>
        <v>1743.609178951228</v>
      </c>
      <c r="H252" s="356">
        <v>0</v>
      </c>
      <c r="I252" s="356">
        <f t="shared" si="26"/>
        <v>-243.665485369437</v>
      </c>
      <c r="J252" s="356">
        <f t="shared" si="27"/>
        <v>243421.81988406755</v>
      </c>
      <c r="M252" s="358"/>
      <c r="N252" s="356"/>
    </row>
    <row r="253" spans="1:14" x14ac:dyDescent="0.25">
      <c r="A253" s="356">
        <f t="shared" si="28"/>
        <v>230</v>
      </c>
      <c r="B253" s="357">
        <f t="shared" si="30"/>
        <v>19</v>
      </c>
      <c r="C253" s="357">
        <f t="shared" si="31"/>
        <v>2</v>
      </c>
      <c r="D253" s="357">
        <f t="shared" si="32"/>
        <v>48</v>
      </c>
      <c r="E253" s="356">
        <f t="shared" si="29"/>
        <v>243421.81988406755</v>
      </c>
      <c r="G253" s="356">
        <f t="shared" si="25"/>
        <v>1754.419758106872</v>
      </c>
      <c r="H253" s="356">
        <v>0</v>
      </c>
      <c r="I253" s="356">
        <f t="shared" si="26"/>
        <v>-245.17623964217444</v>
      </c>
      <c r="J253" s="356">
        <f t="shared" si="27"/>
        <v>244931.06340253225</v>
      </c>
      <c r="M253" s="358"/>
      <c r="N253" s="356"/>
    </row>
    <row r="254" spans="1:14" x14ac:dyDescent="0.25">
      <c r="A254" s="356">
        <f t="shared" si="28"/>
        <v>231</v>
      </c>
      <c r="B254" s="357">
        <f t="shared" si="30"/>
        <v>19</v>
      </c>
      <c r="C254" s="357">
        <f t="shared" si="31"/>
        <v>3</v>
      </c>
      <c r="D254" s="357">
        <f t="shared" si="32"/>
        <v>48</v>
      </c>
      <c r="E254" s="356">
        <f t="shared" si="29"/>
        <v>244931.06340253225</v>
      </c>
      <c r="G254" s="356">
        <f t="shared" si="25"/>
        <v>1765.2973641072308</v>
      </c>
      <c r="H254" s="360">
        <f>-SUM(E254:G254)*$H$21</f>
        <v>-2220.2672468997553</v>
      </c>
      <c r="I254" s="356">
        <f t="shared" si="26"/>
        <v>-246.6963607666395</v>
      </c>
      <c r="J254" s="356">
        <f t="shared" si="27"/>
        <v>244229.3971589731</v>
      </c>
      <c r="M254" s="358"/>
      <c r="N254" s="356"/>
    </row>
    <row r="255" spans="1:14" x14ac:dyDescent="0.25">
      <c r="A255" s="356">
        <f t="shared" si="28"/>
        <v>232</v>
      </c>
      <c r="B255" s="357">
        <f t="shared" si="30"/>
        <v>19</v>
      </c>
      <c r="C255" s="357">
        <f t="shared" si="31"/>
        <v>4</v>
      </c>
      <c r="D255" s="357">
        <f t="shared" si="32"/>
        <v>48</v>
      </c>
      <c r="E255" s="356">
        <f t="shared" si="29"/>
        <v>244229.3971589731</v>
      </c>
      <c r="G255" s="356">
        <f t="shared" si="25"/>
        <v>1760.240228629881</v>
      </c>
      <c r="H255" s="356">
        <v>0</v>
      </c>
      <c r="I255" s="356">
        <f t="shared" si="26"/>
        <v>-245.98963738760298</v>
      </c>
      <c r="J255" s="356">
        <f t="shared" si="27"/>
        <v>245743.64775021537</v>
      </c>
      <c r="M255" s="358"/>
      <c r="N255" s="356"/>
    </row>
    <row r="256" spans="1:14" x14ac:dyDescent="0.25">
      <c r="A256" s="356">
        <f t="shared" si="28"/>
        <v>233</v>
      </c>
      <c r="B256" s="357">
        <f t="shared" si="30"/>
        <v>19</v>
      </c>
      <c r="C256" s="357">
        <f t="shared" si="31"/>
        <v>5</v>
      </c>
      <c r="D256" s="357">
        <f t="shared" si="32"/>
        <v>48</v>
      </c>
      <c r="E256" s="356">
        <f t="shared" si="29"/>
        <v>245743.64775021537</v>
      </c>
      <c r="G256" s="356">
        <f t="shared" si="25"/>
        <v>1771.1539222226152</v>
      </c>
      <c r="H256" s="356">
        <v>0</v>
      </c>
      <c r="I256" s="356">
        <f t="shared" si="26"/>
        <v>-247.51480167243798</v>
      </c>
      <c r="J256" s="356">
        <f t="shared" si="27"/>
        <v>247267.28687076556</v>
      </c>
      <c r="M256" s="358"/>
      <c r="N256" s="356"/>
    </row>
    <row r="257" spans="1:14" x14ac:dyDescent="0.25">
      <c r="A257" s="356">
        <f t="shared" si="28"/>
        <v>234</v>
      </c>
      <c r="B257" s="357">
        <f t="shared" si="30"/>
        <v>19</v>
      </c>
      <c r="C257" s="357">
        <f t="shared" si="31"/>
        <v>6</v>
      </c>
      <c r="D257" s="357">
        <f t="shared" si="32"/>
        <v>48</v>
      </c>
      <c r="E257" s="356">
        <f t="shared" si="29"/>
        <v>247267.28687076556</v>
      </c>
      <c r="G257" s="356">
        <f t="shared" si="25"/>
        <v>1782.1352819815345</v>
      </c>
      <c r="H257" s="360">
        <f>-SUM(E257:G257)*$H$21</f>
        <v>-2241.444799374724</v>
      </c>
      <c r="I257" s="356">
        <f t="shared" si="26"/>
        <v>-249.0494221527471</v>
      </c>
      <c r="J257" s="356">
        <f t="shared" si="27"/>
        <v>246558.9279312196</v>
      </c>
      <c r="M257" s="358"/>
      <c r="N257" s="356"/>
    </row>
    <row r="258" spans="1:14" x14ac:dyDescent="0.25">
      <c r="A258" s="356">
        <f t="shared" si="28"/>
        <v>235</v>
      </c>
      <c r="B258" s="357">
        <f t="shared" si="30"/>
        <v>19</v>
      </c>
      <c r="C258" s="357">
        <f t="shared" si="31"/>
        <v>7</v>
      </c>
      <c r="D258" s="357">
        <f t="shared" si="32"/>
        <v>48</v>
      </c>
      <c r="E258" s="356">
        <f t="shared" si="29"/>
        <v>246558.9279312196</v>
      </c>
      <c r="G258" s="356">
        <f t="shared" si="25"/>
        <v>1777.029910080351</v>
      </c>
      <c r="H258" s="356">
        <v>0</v>
      </c>
      <c r="I258" s="356">
        <f t="shared" si="26"/>
        <v>-248.33595784129994</v>
      </c>
      <c r="J258" s="356">
        <f t="shared" si="27"/>
        <v>248087.62188345863</v>
      </c>
      <c r="M258" s="358"/>
      <c r="N258" s="356"/>
    </row>
    <row r="259" spans="1:14" x14ac:dyDescent="0.25">
      <c r="A259" s="356">
        <f t="shared" si="28"/>
        <v>236</v>
      </c>
      <c r="B259" s="357">
        <f t="shared" si="30"/>
        <v>19</v>
      </c>
      <c r="C259" s="357">
        <f t="shared" si="31"/>
        <v>8</v>
      </c>
      <c r="D259" s="357">
        <f t="shared" si="32"/>
        <v>48</v>
      </c>
      <c r="E259" s="356">
        <f t="shared" si="29"/>
        <v>248087.62188345863</v>
      </c>
      <c r="G259" s="356">
        <f t="shared" si="25"/>
        <v>1788.0477016455607</v>
      </c>
      <c r="H259" s="356">
        <v>0</v>
      </c>
      <c r="I259" s="356">
        <f t="shared" si="26"/>
        <v>-249.8756695851042</v>
      </c>
      <c r="J259" s="356">
        <f t="shared" si="27"/>
        <v>249625.79391551908</v>
      </c>
      <c r="M259" s="358"/>
      <c r="N259" s="356"/>
    </row>
    <row r="260" spans="1:14" x14ac:dyDescent="0.25">
      <c r="A260" s="356">
        <f t="shared" si="28"/>
        <v>237</v>
      </c>
      <c r="B260" s="357">
        <f t="shared" si="30"/>
        <v>19</v>
      </c>
      <c r="C260" s="357">
        <f t="shared" si="31"/>
        <v>9</v>
      </c>
      <c r="D260" s="357">
        <f t="shared" si="32"/>
        <v>48</v>
      </c>
      <c r="E260" s="356">
        <f t="shared" si="29"/>
        <v>249625.79391551908</v>
      </c>
      <c r="G260" s="356">
        <f t="shared" si="25"/>
        <v>1799.1338047964593</v>
      </c>
      <c r="H260" s="360">
        <f>-SUM(E260:G260)*$H$21</f>
        <v>-2262.8243494828403</v>
      </c>
      <c r="I260" s="356">
        <f t="shared" si="26"/>
        <v>-251.42492772031557</v>
      </c>
      <c r="J260" s="356">
        <f t="shared" si="27"/>
        <v>248910.6784431124</v>
      </c>
      <c r="M260" s="358"/>
      <c r="N260" s="356"/>
    </row>
    <row r="261" spans="1:14" x14ac:dyDescent="0.25">
      <c r="A261" s="356">
        <f t="shared" si="28"/>
        <v>238</v>
      </c>
      <c r="B261" s="357">
        <f t="shared" si="30"/>
        <v>19</v>
      </c>
      <c r="C261" s="357">
        <f t="shared" si="31"/>
        <v>10</v>
      </c>
      <c r="D261" s="357">
        <f t="shared" si="32"/>
        <v>48</v>
      </c>
      <c r="E261" s="356">
        <f t="shared" si="29"/>
        <v>248910.6784431124</v>
      </c>
      <c r="G261" s="356">
        <f t="shared" si="25"/>
        <v>1793.9797363784526</v>
      </c>
      <c r="H261" s="356">
        <v>0</v>
      </c>
      <c r="I261" s="356">
        <f t="shared" si="26"/>
        <v>-250.70465817949085</v>
      </c>
      <c r="J261" s="356">
        <f t="shared" si="27"/>
        <v>250453.95352131137</v>
      </c>
      <c r="M261" s="358"/>
      <c r="N261" s="356"/>
    </row>
    <row r="262" spans="1:14" x14ac:dyDescent="0.25">
      <c r="A262" s="356">
        <f t="shared" si="28"/>
        <v>239</v>
      </c>
      <c r="B262" s="357">
        <f t="shared" si="30"/>
        <v>19</v>
      </c>
      <c r="C262" s="357">
        <f t="shared" si="31"/>
        <v>11</v>
      </c>
      <c r="D262" s="357">
        <f t="shared" si="32"/>
        <v>48</v>
      </c>
      <c r="E262" s="356">
        <f t="shared" si="29"/>
        <v>250453.95352131137</v>
      </c>
      <c r="G262" s="356">
        <f t="shared" si="25"/>
        <v>1805.1026188327687</v>
      </c>
      <c r="H262" s="356">
        <v>0</v>
      </c>
      <c r="I262" s="356">
        <f t="shared" si="26"/>
        <v>-252.25905614014417</v>
      </c>
      <c r="J262" s="356">
        <f t="shared" si="27"/>
        <v>252006.797084004</v>
      </c>
      <c r="M262" s="358"/>
      <c r="N262" s="356"/>
    </row>
    <row r="263" spans="1:14" x14ac:dyDescent="0.25">
      <c r="A263" s="356">
        <f t="shared" si="28"/>
        <v>240</v>
      </c>
      <c r="B263" s="357">
        <f t="shared" si="30"/>
        <v>19</v>
      </c>
      <c r="C263" s="357">
        <f t="shared" si="31"/>
        <v>12</v>
      </c>
      <c r="D263" s="357">
        <f t="shared" si="32"/>
        <v>48</v>
      </c>
      <c r="E263" s="356">
        <f t="shared" si="29"/>
        <v>252006.797084004</v>
      </c>
      <c r="G263" s="356">
        <f t="shared" si="25"/>
        <v>1816.2944644484762</v>
      </c>
      <c r="H263" s="360">
        <f>-SUM(E263:G263)*$H$21</f>
        <v>-2284.4078239360724</v>
      </c>
      <c r="I263" s="356">
        <f t="shared" si="26"/>
        <v>-253.82309154845248</v>
      </c>
      <c r="J263" s="356">
        <f t="shared" si="27"/>
        <v>251284.86063296793</v>
      </c>
      <c r="M263" s="358"/>
      <c r="N263" s="356"/>
    </row>
    <row r="264" spans="1:14" x14ac:dyDescent="0.25">
      <c r="A264" s="356">
        <f t="shared" si="28"/>
        <v>241</v>
      </c>
      <c r="B264" s="357">
        <f t="shared" si="30"/>
        <v>20</v>
      </c>
      <c r="C264" s="357">
        <f t="shared" si="31"/>
        <v>1</v>
      </c>
      <c r="D264" s="357">
        <f t="shared" si="32"/>
        <v>49</v>
      </c>
      <c r="E264" s="356">
        <f t="shared" si="29"/>
        <v>251284.86063296793</v>
      </c>
      <c r="G264" s="356">
        <f t="shared" si="25"/>
        <v>1811.0912350321548</v>
      </c>
      <c r="H264" s="356">
        <v>0</v>
      </c>
      <c r="I264" s="356">
        <f t="shared" si="26"/>
        <v>-253.0959518680001</v>
      </c>
      <c r="J264" s="356">
        <f t="shared" si="27"/>
        <v>252842.8559161321</v>
      </c>
      <c r="M264" s="358"/>
      <c r="N264" s="356"/>
    </row>
    <row r="265" spans="1:14" x14ac:dyDescent="0.25">
      <c r="A265" s="356">
        <f t="shared" si="28"/>
        <v>242</v>
      </c>
      <c r="B265" s="357">
        <f t="shared" si="30"/>
        <v>20</v>
      </c>
      <c r="C265" s="357">
        <f t="shared" si="31"/>
        <v>2</v>
      </c>
      <c r="D265" s="357">
        <f t="shared" si="32"/>
        <v>49</v>
      </c>
      <c r="E265" s="356">
        <f t="shared" si="29"/>
        <v>252842.8559161321</v>
      </c>
      <c r="G265" s="356">
        <f t="shared" si="25"/>
        <v>1822.320210762935</v>
      </c>
      <c r="H265" s="356">
        <v>0</v>
      </c>
      <c r="I265" s="356">
        <f t="shared" si="26"/>
        <v>-254.66517612689503</v>
      </c>
      <c r="J265" s="356">
        <f t="shared" si="27"/>
        <v>254410.51095076813</v>
      </c>
      <c r="M265" s="358"/>
      <c r="N265" s="356"/>
    </row>
    <row r="266" spans="1:14" x14ac:dyDescent="0.25">
      <c r="A266" s="356">
        <f t="shared" si="28"/>
        <v>243</v>
      </c>
      <c r="B266" s="357">
        <f t="shared" si="30"/>
        <v>20</v>
      </c>
      <c r="C266" s="357">
        <f t="shared" si="31"/>
        <v>3</v>
      </c>
      <c r="D266" s="357">
        <f t="shared" si="32"/>
        <v>49</v>
      </c>
      <c r="E266" s="356">
        <f t="shared" si="29"/>
        <v>254410.51095076813</v>
      </c>
      <c r="G266" s="356">
        <f t="shared" si="25"/>
        <v>1833.6188074457264</v>
      </c>
      <c r="H266" s="360">
        <f>-SUM(E266:G266)*$H$21</f>
        <v>-2306.1971678239247</v>
      </c>
      <c r="I266" s="356">
        <f t="shared" si="26"/>
        <v>-256.24412975821383</v>
      </c>
      <c r="J266" s="356">
        <f t="shared" si="27"/>
        <v>253681.6884606317</v>
      </c>
      <c r="M266" s="358"/>
      <c r="N266" s="356"/>
    </row>
    <row r="267" spans="1:14" x14ac:dyDescent="0.25">
      <c r="A267" s="356">
        <f t="shared" si="28"/>
        <v>244</v>
      </c>
      <c r="B267" s="357">
        <f t="shared" si="30"/>
        <v>20</v>
      </c>
      <c r="C267" s="357">
        <f t="shared" si="31"/>
        <v>4</v>
      </c>
      <c r="D267" s="357">
        <f t="shared" si="32"/>
        <v>49</v>
      </c>
      <c r="E267" s="356">
        <f t="shared" si="29"/>
        <v>253681.6884606317</v>
      </c>
      <c r="G267" s="356">
        <f t="shared" si="25"/>
        <v>1828.3659481192412</v>
      </c>
      <c r="H267" s="356">
        <v>0</v>
      </c>
      <c r="I267" s="356">
        <f t="shared" si="26"/>
        <v>-255.51005440875093</v>
      </c>
      <c r="J267" s="356">
        <f t="shared" si="27"/>
        <v>255254.5443543422</v>
      </c>
      <c r="M267" s="358"/>
      <c r="N267" s="356"/>
    </row>
    <row r="268" spans="1:14" x14ac:dyDescent="0.25">
      <c r="A268" s="356">
        <f t="shared" si="28"/>
        <v>245</v>
      </c>
      <c r="B268" s="357">
        <f t="shared" si="30"/>
        <v>20</v>
      </c>
      <c r="C268" s="357">
        <f t="shared" si="31"/>
        <v>5</v>
      </c>
      <c r="D268" s="357">
        <f t="shared" si="32"/>
        <v>49</v>
      </c>
      <c r="E268" s="356">
        <f t="shared" si="29"/>
        <v>255254.5443543422</v>
      </c>
      <c r="G268" s="356">
        <f t="shared" si="25"/>
        <v>1839.702029074904</v>
      </c>
      <c r="H268" s="356">
        <v>0</v>
      </c>
      <c r="I268" s="356">
        <f t="shared" si="26"/>
        <v>-257.0942463834171</v>
      </c>
      <c r="J268" s="356">
        <f t="shared" si="27"/>
        <v>256837.15213703367</v>
      </c>
      <c r="M268" s="358"/>
      <c r="N268" s="356"/>
    </row>
    <row r="269" spans="1:14" x14ac:dyDescent="0.25">
      <c r="A269" s="356">
        <f t="shared" si="28"/>
        <v>246</v>
      </c>
      <c r="B269" s="357">
        <f t="shared" si="30"/>
        <v>20</v>
      </c>
      <c r="C269" s="357">
        <f t="shared" si="31"/>
        <v>6</v>
      </c>
      <c r="D269" s="357">
        <f t="shared" si="32"/>
        <v>49</v>
      </c>
      <c r="E269" s="356">
        <f t="shared" si="29"/>
        <v>256837.15213703367</v>
      </c>
      <c r="G269" s="356">
        <f t="shared" si="25"/>
        <v>1851.1083950473956</v>
      </c>
      <c r="H269" s="360">
        <f>-SUM(E269:G269)*$H$21</f>
        <v>-2328.1943447887297</v>
      </c>
      <c r="I269" s="356">
        <f t="shared" si="26"/>
        <v>-258.6882605320811</v>
      </c>
      <c r="J269" s="356">
        <f t="shared" si="27"/>
        <v>256101.37792676027</v>
      </c>
      <c r="M269" s="358"/>
      <c r="N269" s="356"/>
    </row>
    <row r="270" spans="1:14" x14ac:dyDescent="0.25">
      <c r="A270" s="356">
        <f t="shared" si="28"/>
        <v>247</v>
      </c>
      <c r="B270" s="357">
        <f t="shared" si="30"/>
        <v>20</v>
      </c>
      <c r="C270" s="357">
        <f t="shared" si="31"/>
        <v>7</v>
      </c>
      <c r="D270" s="357">
        <f t="shared" si="32"/>
        <v>49</v>
      </c>
      <c r="E270" s="356">
        <f t="shared" si="29"/>
        <v>256101.37792676027</v>
      </c>
      <c r="G270" s="356">
        <f t="shared" si="25"/>
        <v>1845.80543242628</v>
      </c>
      <c r="H270" s="356">
        <v>0</v>
      </c>
      <c r="I270" s="356">
        <f t="shared" si="26"/>
        <v>-257.94718335918657</v>
      </c>
      <c r="J270" s="356">
        <f t="shared" si="27"/>
        <v>257689.23617582736</v>
      </c>
      <c r="M270" s="358"/>
      <c r="N270" s="356"/>
    </row>
    <row r="271" spans="1:14" x14ac:dyDescent="0.25">
      <c r="A271" s="356">
        <f t="shared" si="28"/>
        <v>248</v>
      </c>
      <c r="B271" s="357">
        <f t="shared" si="30"/>
        <v>20</v>
      </c>
      <c r="C271" s="357">
        <f t="shared" si="31"/>
        <v>8</v>
      </c>
      <c r="D271" s="357">
        <f t="shared" si="32"/>
        <v>49</v>
      </c>
      <c r="E271" s="356">
        <f t="shared" si="29"/>
        <v>257689.23617582736</v>
      </c>
      <c r="G271" s="356">
        <f t="shared" si="25"/>
        <v>1857.2496402075014</v>
      </c>
      <c r="H271" s="356">
        <v>0</v>
      </c>
      <c r="I271" s="356">
        <f t="shared" si="26"/>
        <v>-259.5464858160349</v>
      </c>
      <c r="J271" s="356">
        <f t="shared" si="27"/>
        <v>259286.93933021883</v>
      </c>
      <c r="M271" s="358"/>
      <c r="N271" s="356"/>
    </row>
    <row r="272" spans="1:14" x14ac:dyDescent="0.25">
      <c r="A272" s="356">
        <f t="shared" si="28"/>
        <v>249</v>
      </c>
      <c r="B272" s="357">
        <f t="shared" si="30"/>
        <v>20</v>
      </c>
      <c r="C272" s="357">
        <f t="shared" si="31"/>
        <v>9</v>
      </c>
      <c r="D272" s="357">
        <f t="shared" si="32"/>
        <v>49</v>
      </c>
      <c r="E272" s="356">
        <f t="shared" si="29"/>
        <v>259286.93933021883</v>
      </c>
      <c r="G272" s="356">
        <f t="shared" si="25"/>
        <v>1868.764803404412</v>
      </c>
      <c r="H272" s="360">
        <f>-SUM(E272:G272)*$H$21</f>
        <v>-2350.4013372026097</v>
      </c>
      <c r="I272" s="356">
        <f t="shared" si="26"/>
        <v>-261.15570413362326</v>
      </c>
      <c r="J272" s="356">
        <f t="shared" si="27"/>
        <v>258544.14709228702</v>
      </c>
      <c r="M272" s="358"/>
      <c r="N272" s="356"/>
    </row>
    <row r="273" spans="1:14" x14ac:dyDescent="0.25">
      <c r="A273" s="356">
        <f t="shared" si="28"/>
        <v>250</v>
      </c>
      <c r="B273" s="357">
        <f t="shared" si="30"/>
        <v>20</v>
      </c>
      <c r="C273" s="357">
        <f t="shared" si="31"/>
        <v>10</v>
      </c>
      <c r="D273" s="357">
        <f t="shared" si="32"/>
        <v>49</v>
      </c>
      <c r="E273" s="356">
        <f t="shared" si="29"/>
        <v>258544.14709228702</v>
      </c>
      <c r="G273" s="356">
        <f t="shared" si="25"/>
        <v>1863.411259588921</v>
      </c>
      <c r="H273" s="356">
        <v>0</v>
      </c>
      <c r="I273" s="356">
        <f t="shared" si="26"/>
        <v>-260.40755835187593</v>
      </c>
      <c r="J273" s="356">
        <f t="shared" si="27"/>
        <v>260147.15079352408</v>
      </c>
      <c r="M273" s="358"/>
      <c r="N273" s="356"/>
    </row>
    <row r="274" spans="1:14" x14ac:dyDescent="0.25">
      <c r="A274" s="356">
        <f t="shared" si="28"/>
        <v>251</v>
      </c>
      <c r="B274" s="357">
        <f t="shared" si="30"/>
        <v>20</v>
      </c>
      <c r="C274" s="357">
        <f t="shared" si="31"/>
        <v>11</v>
      </c>
      <c r="D274" s="357">
        <f t="shared" si="32"/>
        <v>49</v>
      </c>
      <c r="E274" s="356">
        <f t="shared" si="29"/>
        <v>260147.15079352408</v>
      </c>
      <c r="G274" s="356">
        <f t="shared" si="25"/>
        <v>1874.9646255407001</v>
      </c>
      <c r="H274" s="356">
        <v>0</v>
      </c>
      <c r="I274" s="356">
        <f t="shared" si="26"/>
        <v>-262.0221154190648</v>
      </c>
      <c r="J274" s="356">
        <f t="shared" si="27"/>
        <v>261760.09330364573</v>
      </c>
      <c r="M274" s="358"/>
      <c r="N274" s="356"/>
    </row>
    <row r="275" spans="1:14" x14ac:dyDescent="0.25">
      <c r="A275" s="356">
        <f t="shared" si="28"/>
        <v>252</v>
      </c>
      <c r="B275" s="357">
        <f t="shared" si="30"/>
        <v>20</v>
      </c>
      <c r="C275" s="357">
        <f t="shared" si="31"/>
        <v>12</v>
      </c>
      <c r="D275" s="357">
        <f t="shared" si="32"/>
        <v>49</v>
      </c>
      <c r="E275" s="356">
        <f t="shared" si="29"/>
        <v>261760.09330364573</v>
      </c>
      <c r="G275" s="356">
        <f t="shared" si="25"/>
        <v>1886.589623701488</v>
      </c>
      <c r="H275" s="360">
        <f>-SUM(E275:G275)*$H$21</f>
        <v>-2372.820146346125</v>
      </c>
      <c r="I275" s="356">
        <f t="shared" si="26"/>
        <v>-263.64668292734723</v>
      </c>
      <c r="J275" s="356">
        <f t="shared" si="27"/>
        <v>261010.21609807372</v>
      </c>
      <c r="M275" s="358"/>
      <c r="N275" s="356"/>
    </row>
    <row r="276" spans="1:14" x14ac:dyDescent="0.25">
      <c r="A276" s="356">
        <f t="shared" si="28"/>
        <v>253</v>
      </c>
      <c r="B276" s="357">
        <f t="shared" si="30"/>
        <v>21</v>
      </c>
      <c r="C276" s="357">
        <f t="shared" si="31"/>
        <v>1</v>
      </c>
      <c r="D276" s="357">
        <f t="shared" si="32"/>
        <v>50</v>
      </c>
      <c r="E276" s="356">
        <f t="shared" si="29"/>
        <v>261010.21609807372</v>
      </c>
      <c r="G276" s="356">
        <f t="shared" si="25"/>
        <v>1881.1850162335295</v>
      </c>
      <c r="H276" s="356">
        <v>0</v>
      </c>
      <c r="I276" s="356">
        <f t="shared" si="26"/>
        <v>-262.89140111430726</v>
      </c>
      <c r="J276" s="356">
        <f t="shared" si="27"/>
        <v>262628.50971319294</v>
      </c>
      <c r="M276" s="358"/>
      <c r="N276" s="356"/>
    </row>
    <row r="277" spans="1:14" x14ac:dyDescent="0.25">
      <c r="A277" s="356">
        <f t="shared" si="28"/>
        <v>254</v>
      </c>
      <c r="B277" s="357">
        <f t="shared" si="30"/>
        <v>21</v>
      </c>
      <c r="C277" s="357">
        <f t="shared" si="31"/>
        <v>2</v>
      </c>
      <c r="D277" s="357">
        <f t="shared" si="32"/>
        <v>50</v>
      </c>
      <c r="E277" s="356">
        <f t="shared" si="29"/>
        <v>262628.50971319294</v>
      </c>
      <c r="G277" s="356">
        <f t="shared" si="25"/>
        <v>1892.8485815381334</v>
      </c>
      <c r="H277" s="356">
        <v>0</v>
      </c>
      <c r="I277" s="356">
        <f t="shared" si="26"/>
        <v>-264.52135829473104</v>
      </c>
      <c r="J277" s="356">
        <f t="shared" si="27"/>
        <v>264256.83693643636</v>
      </c>
      <c r="M277" s="358"/>
      <c r="N277" s="356"/>
    </row>
    <row r="278" spans="1:14" x14ac:dyDescent="0.25">
      <c r="A278" s="356">
        <f t="shared" si="28"/>
        <v>255</v>
      </c>
      <c r="B278" s="357">
        <f t="shared" si="30"/>
        <v>21</v>
      </c>
      <c r="C278" s="357">
        <f t="shared" si="31"/>
        <v>3</v>
      </c>
      <c r="D278" s="357">
        <f t="shared" si="32"/>
        <v>50</v>
      </c>
      <c r="E278" s="356">
        <f t="shared" si="29"/>
        <v>264256.83693643636</v>
      </c>
      <c r="G278" s="356">
        <f t="shared" si="25"/>
        <v>1904.5844623005157</v>
      </c>
      <c r="H278" s="360">
        <f>-SUM(E278:G278)*$H$21</f>
        <v>-2395.4527925886323</v>
      </c>
      <c r="I278" s="356">
        <f t="shared" si="26"/>
        <v>-266.1614213987369</v>
      </c>
      <c r="J278" s="356">
        <f t="shared" si="27"/>
        <v>263499.8071847495</v>
      </c>
      <c r="M278" s="358"/>
      <c r="N278" s="356"/>
    </row>
    <row r="279" spans="1:14" x14ac:dyDescent="0.25">
      <c r="A279" s="356">
        <f t="shared" si="28"/>
        <v>256</v>
      </c>
      <c r="B279" s="357">
        <f t="shared" si="30"/>
        <v>21</v>
      </c>
      <c r="C279" s="357">
        <f t="shared" si="31"/>
        <v>4</v>
      </c>
      <c r="D279" s="357">
        <f t="shared" si="32"/>
        <v>50</v>
      </c>
      <c r="E279" s="356">
        <f t="shared" si="29"/>
        <v>263499.8071847495</v>
      </c>
      <c r="G279" s="356">
        <f t="shared" si="25"/>
        <v>1899.128304120174</v>
      </c>
      <c r="H279" s="356">
        <v>0</v>
      </c>
      <c r="I279" s="356">
        <f t="shared" si="26"/>
        <v>-265.39893548886965</v>
      </c>
      <c r="J279" s="356">
        <f t="shared" si="27"/>
        <v>265133.5365533808</v>
      </c>
      <c r="M279" s="358"/>
      <c r="N279" s="356"/>
    </row>
    <row r="280" spans="1:14" x14ac:dyDescent="0.25">
      <c r="A280" s="356">
        <f t="shared" si="28"/>
        <v>257</v>
      </c>
      <c r="B280" s="357">
        <f t="shared" si="30"/>
        <v>21</v>
      </c>
      <c r="C280" s="357">
        <f t="shared" si="31"/>
        <v>5</v>
      </c>
      <c r="D280" s="357">
        <f t="shared" si="32"/>
        <v>50</v>
      </c>
      <c r="E280" s="356">
        <f t="shared" si="29"/>
        <v>265133.5365533808</v>
      </c>
      <c r="G280" s="356">
        <f t="shared" ref="G280:G343" si="33">SUM(E280:F280)*$F$8</f>
        <v>1910.9031198909674</v>
      </c>
      <c r="H280" s="356">
        <v>0</v>
      </c>
      <c r="I280" s="356">
        <f t="shared" ref="I280:I343" si="34">-SUM(E280:G280)*0.1%</f>
        <v>-267.0444396732717</v>
      </c>
      <c r="J280" s="356">
        <f t="shared" ref="J280:J343" si="35">SUM(E280:I280)</f>
        <v>266777.3952335985</v>
      </c>
      <c r="M280" s="358"/>
      <c r="N280" s="356"/>
    </row>
    <row r="281" spans="1:14" x14ac:dyDescent="0.25">
      <c r="A281" s="356">
        <f t="shared" ref="A281:A344" si="36">+A280+1</f>
        <v>258</v>
      </c>
      <c r="B281" s="357">
        <f t="shared" si="30"/>
        <v>21</v>
      </c>
      <c r="C281" s="357">
        <f t="shared" si="31"/>
        <v>6</v>
      </c>
      <c r="D281" s="357">
        <f t="shared" si="32"/>
        <v>50</v>
      </c>
      <c r="E281" s="356">
        <f t="shared" ref="E281:E344" si="37">J280</f>
        <v>266777.3952335985</v>
      </c>
      <c r="G281" s="356">
        <f t="shared" si="33"/>
        <v>1922.7509408853343</v>
      </c>
      <c r="H281" s="360">
        <f>-SUM(E281:G281)*$H$21</f>
        <v>-2418.3013155703547</v>
      </c>
      <c r="I281" s="356">
        <f t="shared" si="34"/>
        <v>-268.70014617448385</v>
      </c>
      <c r="J281" s="356">
        <f t="shared" si="35"/>
        <v>266013.144712739</v>
      </c>
      <c r="M281" s="358"/>
      <c r="N281" s="356"/>
    </row>
    <row r="282" spans="1:14" x14ac:dyDescent="0.25">
      <c r="A282" s="356">
        <f t="shared" si="36"/>
        <v>259</v>
      </c>
      <c r="B282" s="357">
        <f t="shared" si="30"/>
        <v>21</v>
      </c>
      <c r="C282" s="357">
        <f t="shared" si="31"/>
        <v>7</v>
      </c>
      <c r="D282" s="357">
        <f t="shared" si="32"/>
        <v>50</v>
      </c>
      <c r="E282" s="356">
        <f t="shared" si="37"/>
        <v>266013.144712739</v>
      </c>
      <c r="G282" s="356">
        <f t="shared" si="33"/>
        <v>1917.242740286974</v>
      </c>
      <c r="H282" s="356">
        <v>0</v>
      </c>
      <c r="I282" s="356">
        <f t="shared" si="34"/>
        <v>-267.93038745302596</v>
      </c>
      <c r="J282" s="356">
        <f t="shared" si="35"/>
        <v>267662.45706557296</v>
      </c>
      <c r="M282" s="358"/>
      <c r="N282" s="356"/>
    </row>
    <row r="283" spans="1:14" x14ac:dyDescent="0.25">
      <c r="A283" s="356">
        <f t="shared" si="36"/>
        <v>260</v>
      </c>
      <c r="B283" s="357">
        <f t="shared" si="30"/>
        <v>21</v>
      </c>
      <c r="C283" s="357">
        <f t="shared" si="31"/>
        <v>8</v>
      </c>
      <c r="D283" s="357">
        <f t="shared" si="32"/>
        <v>50</v>
      </c>
      <c r="E283" s="356">
        <f t="shared" si="37"/>
        <v>267662.45706557296</v>
      </c>
      <c r="G283" s="356">
        <f t="shared" si="33"/>
        <v>1929.1298676631466</v>
      </c>
      <c r="H283" s="356">
        <v>0</v>
      </c>
      <c r="I283" s="356">
        <f t="shared" si="34"/>
        <v>-269.5915869332361</v>
      </c>
      <c r="J283" s="356">
        <f t="shared" si="35"/>
        <v>269321.99534630287</v>
      </c>
      <c r="M283" s="358"/>
      <c r="N283" s="356"/>
    </row>
    <row r="284" spans="1:14" x14ac:dyDescent="0.25">
      <c r="A284" s="356">
        <f t="shared" si="36"/>
        <v>261</v>
      </c>
      <c r="B284" s="357">
        <f t="shared" si="30"/>
        <v>21</v>
      </c>
      <c r="C284" s="357">
        <f t="shared" si="31"/>
        <v>9</v>
      </c>
      <c r="D284" s="357">
        <f t="shared" si="32"/>
        <v>50</v>
      </c>
      <c r="E284" s="356">
        <f t="shared" si="37"/>
        <v>269321.99534630287</v>
      </c>
      <c r="G284" s="356">
        <f t="shared" si="33"/>
        <v>1941.0906966078726</v>
      </c>
      <c r="H284" s="360">
        <f>-SUM(E284:G284)*$H$21</f>
        <v>-2441.367774386197</v>
      </c>
      <c r="I284" s="356">
        <f t="shared" si="34"/>
        <v>-271.26308604291074</v>
      </c>
      <c r="J284" s="356">
        <f t="shared" si="35"/>
        <v>268550.4551824817</v>
      </c>
      <c r="M284" s="358"/>
      <c r="N284" s="356"/>
    </row>
    <row r="285" spans="1:14" x14ac:dyDescent="0.25">
      <c r="A285" s="356">
        <f t="shared" si="36"/>
        <v>262</v>
      </c>
      <c r="B285" s="357">
        <f t="shared" si="30"/>
        <v>21</v>
      </c>
      <c r="C285" s="357">
        <f t="shared" si="31"/>
        <v>10</v>
      </c>
      <c r="D285" s="357">
        <f t="shared" si="32"/>
        <v>50</v>
      </c>
      <c r="E285" s="356">
        <f t="shared" si="37"/>
        <v>268550.4551824817</v>
      </c>
      <c r="G285" s="356">
        <f t="shared" si="33"/>
        <v>1935.5299571958283</v>
      </c>
      <c r="H285" s="356">
        <v>0</v>
      </c>
      <c r="I285" s="356">
        <f t="shared" si="34"/>
        <v>-270.4859851396775</v>
      </c>
      <c r="J285" s="356">
        <f t="shared" si="35"/>
        <v>270215.4991545378</v>
      </c>
      <c r="M285" s="358"/>
      <c r="N285" s="356"/>
    </row>
    <row r="286" spans="1:14" x14ac:dyDescent="0.25">
      <c r="A286" s="356">
        <f t="shared" si="36"/>
        <v>263</v>
      </c>
      <c r="B286" s="357">
        <f t="shared" si="30"/>
        <v>21</v>
      </c>
      <c r="C286" s="357">
        <f t="shared" si="31"/>
        <v>11</v>
      </c>
      <c r="D286" s="357">
        <f t="shared" si="32"/>
        <v>50</v>
      </c>
      <c r="E286" s="356">
        <f t="shared" si="37"/>
        <v>270215.4991545378</v>
      </c>
      <c r="G286" s="356">
        <f t="shared" si="33"/>
        <v>1947.5304674380213</v>
      </c>
      <c r="H286" s="356">
        <v>0</v>
      </c>
      <c r="I286" s="356">
        <f t="shared" si="34"/>
        <v>-272.16302962197585</v>
      </c>
      <c r="J286" s="356">
        <f t="shared" si="35"/>
        <v>271890.86659235385</v>
      </c>
      <c r="M286" s="358"/>
      <c r="N286" s="356"/>
    </row>
    <row r="287" spans="1:14" x14ac:dyDescent="0.25">
      <c r="A287" s="356">
        <f t="shared" si="36"/>
        <v>264</v>
      </c>
      <c r="B287" s="357">
        <f t="shared" si="30"/>
        <v>21</v>
      </c>
      <c r="C287" s="357">
        <f t="shared" si="31"/>
        <v>12</v>
      </c>
      <c r="D287" s="357">
        <f t="shared" si="32"/>
        <v>50</v>
      </c>
      <c r="E287" s="356">
        <f t="shared" si="37"/>
        <v>271890.86659235385</v>
      </c>
      <c r="G287" s="356">
        <f t="shared" si="33"/>
        <v>1959.6053822356891</v>
      </c>
      <c r="H287" s="360">
        <f>-SUM(E287:G287)*$H$21</f>
        <v>-2464.654247771306</v>
      </c>
      <c r="I287" s="356">
        <f t="shared" si="34"/>
        <v>-273.85047197458954</v>
      </c>
      <c r="J287" s="356">
        <f t="shared" si="35"/>
        <v>271111.9672548436</v>
      </c>
      <c r="M287" s="358"/>
      <c r="N287" s="356"/>
    </row>
    <row r="288" spans="1:14" x14ac:dyDescent="0.25">
      <c r="A288" s="356">
        <f t="shared" si="36"/>
        <v>265</v>
      </c>
      <c r="B288" s="357">
        <f t="shared" si="30"/>
        <v>22</v>
      </c>
      <c r="C288" s="357">
        <f t="shared" si="31"/>
        <v>1</v>
      </c>
      <c r="D288" s="357">
        <f t="shared" si="32"/>
        <v>51</v>
      </c>
      <c r="E288" s="356">
        <f t="shared" si="37"/>
        <v>271111.9672548436</v>
      </c>
      <c r="G288" s="356">
        <f t="shared" si="33"/>
        <v>1953.9916028795283</v>
      </c>
      <c r="H288" s="356">
        <v>0</v>
      </c>
      <c r="I288" s="356">
        <f t="shared" si="34"/>
        <v>-273.06595885772316</v>
      </c>
      <c r="J288" s="356">
        <f t="shared" si="35"/>
        <v>272792.89289886545</v>
      </c>
      <c r="M288" s="358"/>
      <c r="N288" s="356"/>
    </row>
    <row r="289" spans="1:14" x14ac:dyDescent="0.25">
      <c r="A289" s="356">
        <f t="shared" si="36"/>
        <v>266</v>
      </c>
      <c r="B289" s="357">
        <f t="shared" si="30"/>
        <v>22</v>
      </c>
      <c r="C289" s="357">
        <f t="shared" si="31"/>
        <v>2</v>
      </c>
      <c r="D289" s="357">
        <f t="shared" si="32"/>
        <v>51</v>
      </c>
      <c r="E289" s="356">
        <f t="shared" si="37"/>
        <v>272792.89289886545</v>
      </c>
      <c r="G289" s="356">
        <f t="shared" si="33"/>
        <v>1966.106577466379</v>
      </c>
      <c r="H289" s="356">
        <v>0</v>
      </c>
      <c r="I289" s="356">
        <f t="shared" si="34"/>
        <v>-274.75899947633184</v>
      </c>
      <c r="J289" s="356">
        <f t="shared" si="35"/>
        <v>274484.2404768555</v>
      </c>
      <c r="M289" s="358"/>
      <c r="N289" s="356"/>
    </row>
    <row r="290" spans="1:14" x14ac:dyDescent="0.25">
      <c r="A290" s="356">
        <f t="shared" si="36"/>
        <v>267</v>
      </c>
      <c r="B290" s="357">
        <f t="shared" si="30"/>
        <v>22</v>
      </c>
      <c r="C290" s="357">
        <f t="shared" si="31"/>
        <v>3</v>
      </c>
      <c r="D290" s="357">
        <f t="shared" si="32"/>
        <v>51</v>
      </c>
      <c r="E290" s="356">
        <f t="shared" si="37"/>
        <v>274484.2404768555</v>
      </c>
      <c r="G290" s="356">
        <f t="shared" si="33"/>
        <v>1978.2966663009179</v>
      </c>
      <c r="H290" s="360">
        <f>-SUM(E290:G290)*$H$21</f>
        <v>-2488.162834288408</v>
      </c>
      <c r="I290" s="356">
        <f t="shared" si="34"/>
        <v>-276.4625371431564</v>
      </c>
      <c r="J290" s="356">
        <f t="shared" si="35"/>
        <v>273697.9117717248</v>
      </c>
      <c r="M290" s="358"/>
      <c r="N290" s="356"/>
    </row>
    <row r="291" spans="1:14" x14ac:dyDescent="0.25">
      <c r="A291" s="356">
        <f t="shared" si="36"/>
        <v>268</v>
      </c>
      <c r="B291" s="357">
        <f t="shared" si="30"/>
        <v>22</v>
      </c>
      <c r="C291" s="357">
        <f t="shared" si="31"/>
        <v>4</v>
      </c>
      <c r="D291" s="357">
        <f t="shared" si="32"/>
        <v>51</v>
      </c>
      <c r="E291" s="356">
        <f t="shared" si="37"/>
        <v>273697.9117717248</v>
      </c>
      <c r="G291" s="356">
        <f t="shared" si="33"/>
        <v>1972.629341090282</v>
      </c>
      <c r="H291" s="356">
        <v>0</v>
      </c>
      <c r="I291" s="356">
        <f t="shared" si="34"/>
        <v>-275.6705411128151</v>
      </c>
      <c r="J291" s="356">
        <f t="shared" si="35"/>
        <v>275394.87057170225</v>
      </c>
      <c r="M291" s="358"/>
      <c r="N291" s="356"/>
    </row>
    <row r="292" spans="1:14" x14ac:dyDescent="0.25">
      <c r="A292" s="356">
        <f t="shared" si="36"/>
        <v>269</v>
      </c>
      <c r="B292" s="357">
        <f t="shared" ref="B292:B355" si="38">B280+1</f>
        <v>22</v>
      </c>
      <c r="C292" s="357">
        <f t="shared" ref="C292:C355" si="39">C280</f>
        <v>5</v>
      </c>
      <c r="D292" s="357">
        <f t="shared" ref="D292:D355" si="40">D280+1</f>
        <v>51</v>
      </c>
      <c r="E292" s="356">
        <f t="shared" si="37"/>
        <v>275394.87057170225</v>
      </c>
      <c r="G292" s="356">
        <f t="shared" si="33"/>
        <v>1984.8598718158826</v>
      </c>
      <c r="H292" s="356">
        <v>0</v>
      </c>
      <c r="I292" s="356">
        <f t="shared" si="34"/>
        <v>-277.37973044351816</v>
      </c>
      <c r="J292" s="356">
        <f t="shared" si="35"/>
        <v>277102.3507130746</v>
      </c>
      <c r="M292" s="358"/>
      <c r="N292" s="356"/>
    </row>
    <row r="293" spans="1:14" x14ac:dyDescent="0.25">
      <c r="A293" s="356">
        <f t="shared" si="36"/>
        <v>270</v>
      </c>
      <c r="B293" s="357">
        <f t="shared" si="38"/>
        <v>22</v>
      </c>
      <c r="C293" s="357">
        <f t="shared" si="39"/>
        <v>6</v>
      </c>
      <c r="D293" s="357">
        <f t="shared" si="40"/>
        <v>51</v>
      </c>
      <c r="E293" s="356">
        <f t="shared" si="37"/>
        <v>277102.3507130746</v>
      </c>
      <c r="G293" s="356">
        <f t="shared" si="33"/>
        <v>1997.1662332506362</v>
      </c>
      <c r="H293" s="360">
        <f>-SUM(E293:G293)*$H$21</f>
        <v>-2511.8956525169274</v>
      </c>
      <c r="I293" s="356">
        <f t="shared" si="34"/>
        <v>-279.09951694632525</v>
      </c>
      <c r="J293" s="356">
        <f t="shared" si="35"/>
        <v>276308.52177686204</v>
      </c>
      <c r="M293" s="358"/>
      <c r="N293" s="356"/>
    </row>
    <row r="294" spans="1:14" x14ac:dyDescent="0.25">
      <c r="A294" s="356">
        <f t="shared" si="36"/>
        <v>271</v>
      </c>
      <c r="B294" s="357">
        <f t="shared" si="38"/>
        <v>22</v>
      </c>
      <c r="C294" s="357">
        <f t="shared" si="39"/>
        <v>7</v>
      </c>
      <c r="D294" s="357">
        <f t="shared" si="40"/>
        <v>51</v>
      </c>
      <c r="E294" s="356">
        <f t="shared" si="37"/>
        <v>276308.52177686204</v>
      </c>
      <c r="G294" s="356">
        <f t="shared" si="33"/>
        <v>1991.444851449647</v>
      </c>
      <c r="H294" s="356">
        <v>0</v>
      </c>
      <c r="I294" s="356">
        <f t="shared" si="34"/>
        <v>-278.29996662831167</v>
      </c>
      <c r="J294" s="356">
        <f t="shared" si="35"/>
        <v>278021.66666168335</v>
      </c>
      <c r="M294" s="358"/>
      <c r="N294" s="356"/>
    </row>
    <row r="295" spans="1:14" x14ac:dyDescent="0.25">
      <c r="A295" s="356">
        <f t="shared" si="36"/>
        <v>272</v>
      </c>
      <c r="B295" s="357">
        <f t="shared" si="38"/>
        <v>22</v>
      </c>
      <c r="C295" s="357">
        <f t="shared" si="39"/>
        <v>8</v>
      </c>
      <c r="D295" s="357">
        <f t="shared" si="40"/>
        <v>51</v>
      </c>
      <c r="E295" s="356">
        <f t="shared" si="37"/>
        <v>278021.66666168335</v>
      </c>
      <c r="G295" s="356">
        <f t="shared" si="33"/>
        <v>2003.7920405219402</v>
      </c>
      <c r="H295" s="356">
        <v>0</v>
      </c>
      <c r="I295" s="356">
        <f t="shared" si="34"/>
        <v>-280.0254587022053</v>
      </c>
      <c r="J295" s="356">
        <f t="shared" si="35"/>
        <v>279745.4332435031</v>
      </c>
      <c r="M295" s="358"/>
      <c r="N295" s="356"/>
    </row>
    <row r="296" spans="1:14" x14ac:dyDescent="0.25">
      <c r="A296" s="356">
        <f t="shared" si="36"/>
        <v>273</v>
      </c>
      <c r="B296" s="357">
        <f t="shared" si="38"/>
        <v>22</v>
      </c>
      <c r="C296" s="357">
        <f t="shared" si="39"/>
        <v>9</v>
      </c>
      <c r="D296" s="357">
        <f t="shared" si="40"/>
        <v>51</v>
      </c>
      <c r="E296" s="356">
        <f t="shared" si="37"/>
        <v>279745.4332435031</v>
      </c>
      <c r="G296" s="356">
        <f t="shared" si="33"/>
        <v>2016.215783598667</v>
      </c>
      <c r="H296" s="360">
        <f>-SUM(E296:G296)*$H$21</f>
        <v>-2535.854841243916</v>
      </c>
      <c r="I296" s="356">
        <f t="shared" si="34"/>
        <v>-281.7616490271018</v>
      </c>
      <c r="J296" s="356">
        <f t="shared" si="35"/>
        <v>278944.0325368307</v>
      </c>
      <c r="M296" s="358"/>
      <c r="N296" s="356"/>
    </row>
    <row r="297" spans="1:14" x14ac:dyDescent="0.25">
      <c r="A297" s="356">
        <f t="shared" si="36"/>
        <v>274</v>
      </c>
      <c r="B297" s="357">
        <f t="shared" si="38"/>
        <v>22</v>
      </c>
      <c r="C297" s="357">
        <f t="shared" si="39"/>
        <v>10</v>
      </c>
      <c r="D297" s="357">
        <f t="shared" si="40"/>
        <v>51</v>
      </c>
      <c r="E297" s="356">
        <f t="shared" si="37"/>
        <v>278944.0325368307</v>
      </c>
      <c r="G297" s="356">
        <f t="shared" si="33"/>
        <v>2010.4398295998985</v>
      </c>
      <c r="H297" s="356">
        <v>0</v>
      </c>
      <c r="I297" s="356">
        <f t="shared" si="34"/>
        <v>-280.95447236643065</v>
      </c>
      <c r="J297" s="356">
        <f t="shared" si="35"/>
        <v>280673.5178940642</v>
      </c>
      <c r="M297" s="358"/>
      <c r="N297" s="356"/>
    </row>
    <row r="298" spans="1:14" x14ac:dyDescent="0.25">
      <c r="A298" s="356">
        <f t="shared" si="36"/>
        <v>275</v>
      </c>
      <c r="B298" s="357">
        <f t="shared" si="38"/>
        <v>22</v>
      </c>
      <c r="C298" s="357">
        <f t="shared" si="39"/>
        <v>11</v>
      </c>
      <c r="D298" s="357">
        <f t="shared" si="40"/>
        <v>51</v>
      </c>
      <c r="E298" s="356">
        <f t="shared" si="37"/>
        <v>280673.5178940642</v>
      </c>
      <c r="G298" s="356">
        <f t="shared" si="33"/>
        <v>2022.9047897400046</v>
      </c>
      <c r="H298" s="356">
        <v>0</v>
      </c>
      <c r="I298" s="356">
        <f t="shared" si="34"/>
        <v>-282.6964226838042</v>
      </c>
      <c r="J298" s="356">
        <f t="shared" si="35"/>
        <v>282413.72626112035</v>
      </c>
      <c r="M298" s="358"/>
      <c r="N298" s="356"/>
    </row>
    <row r="299" spans="1:14" x14ac:dyDescent="0.25">
      <c r="A299" s="356">
        <f t="shared" si="36"/>
        <v>276</v>
      </c>
      <c r="B299" s="357">
        <f t="shared" si="38"/>
        <v>22</v>
      </c>
      <c r="C299" s="357">
        <f t="shared" si="39"/>
        <v>12</v>
      </c>
      <c r="D299" s="357">
        <f t="shared" si="40"/>
        <v>51</v>
      </c>
      <c r="E299" s="356">
        <f t="shared" si="37"/>
        <v>282413.72626112035</v>
      </c>
      <c r="G299" s="356">
        <f t="shared" si="33"/>
        <v>2035.4470340788246</v>
      </c>
      <c r="H299" s="360">
        <f>-SUM(E299:G299)*$H$21</f>
        <v>-2560.042559656793</v>
      </c>
      <c r="I299" s="356">
        <f t="shared" si="34"/>
        <v>-284.44917329519916</v>
      </c>
      <c r="J299" s="356">
        <f t="shared" si="35"/>
        <v>281604.6815622472</v>
      </c>
      <c r="M299" s="358"/>
      <c r="N299" s="356"/>
    </row>
    <row r="300" spans="1:14" x14ac:dyDescent="0.25">
      <c r="A300" s="356">
        <f t="shared" si="36"/>
        <v>277</v>
      </c>
      <c r="B300" s="357">
        <f t="shared" si="38"/>
        <v>23</v>
      </c>
      <c r="C300" s="357">
        <f t="shared" si="39"/>
        <v>1</v>
      </c>
      <c r="D300" s="357">
        <f t="shared" si="40"/>
        <v>52</v>
      </c>
      <c r="E300" s="356">
        <f t="shared" si="37"/>
        <v>281604.6815622472</v>
      </c>
      <c r="G300" s="356">
        <f t="shared" si="33"/>
        <v>2029.6159873568395</v>
      </c>
      <c r="H300" s="356">
        <v>0</v>
      </c>
      <c r="I300" s="356">
        <f t="shared" si="34"/>
        <v>-283.63429754960407</v>
      </c>
      <c r="J300" s="356">
        <f t="shared" si="35"/>
        <v>283350.6632520545</v>
      </c>
      <c r="M300" s="358"/>
      <c r="N300" s="356"/>
    </row>
    <row r="301" spans="1:14" x14ac:dyDescent="0.25">
      <c r="A301" s="356">
        <f t="shared" si="36"/>
        <v>278</v>
      </c>
      <c r="B301" s="357">
        <f t="shared" si="38"/>
        <v>23</v>
      </c>
      <c r="C301" s="357">
        <f t="shared" si="39"/>
        <v>2</v>
      </c>
      <c r="D301" s="357">
        <f t="shared" si="40"/>
        <v>52</v>
      </c>
      <c r="E301" s="356">
        <f t="shared" si="37"/>
        <v>283350.6632520545</v>
      </c>
      <c r="G301" s="356">
        <f t="shared" si="33"/>
        <v>2042.199841899335</v>
      </c>
      <c r="H301" s="356">
        <v>0</v>
      </c>
      <c r="I301" s="356">
        <f t="shared" si="34"/>
        <v>-285.3928630939538</v>
      </c>
      <c r="J301" s="356">
        <f t="shared" si="35"/>
        <v>285107.4702308599</v>
      </c>
      <c r="M301" s="358"/>
      <c r="N301" s="356"/>
    </row>
    <row r="302" spans="1:14" x14ac:dyDescent="0.25">
      <c r="A302" s="356">
        <f t="shared" si="36"/>
        <v>279</v>
      </c>
      <c r="B302" s="357">
        <f t="shared" si="38"/>
        <v>23</v>
      </c>
      <c r="C302" s="357">
        <f t="shared" si="39"/>
        <v>3</v>
      </c>
      <c r="D302" s="357">
        <f t="shared" si="40"/>
        <v>52</v>
      </c>
      <c r="E302" s="356">
        <f t="shared" si="37"/>
        <v>285107.4702308599</v>
      </c>
      <c r="G302" s="356">
        <f t="shared" si="33"/>
        <v>2054.861717799631</v>
      </c>
      <c r="H302" s="360">
        <f>-SUM(E302:G302)*$H$21</f>
        <v>-2584.4609875379356</v>
      </c>
      <c r="I302" s="356">
        <f t="shared" si="34"/>
        <v>-287.1623319486595</v>
      </c>
      <c r="J302" s="356">
        <f t="shared" si="35"/>
        <v>284290.70862917294</v>
      </c>
      <c r="M302" s="358"/>
      <c r="N302" s="356"/>
    </row>
    <row r="303" spans="1:14" x14ac:dyDescent="0.25">
      <c r="A303" s="356">
        <f t="shared" si="36"/>
        <v>280</v>
      </c>
      <c r="B303" s="357">
        <f t="shared" si="38"/>
        <v>23</v>
      </c>
      <c r="C303" s="357">
        <f t="shared" si="39"/>
        <v>4</v>
      </c>
      <c r="D303" s="357">
        <f t="shared" si="40"/>
        <v>52</v>
      </c>
      <c r="E303" s="356">
        <f t="shared" si="37"/>
        <v>284290.70862917294</v>
      </c>
      <c r="G303" s="356">
        <f t="shared" si="33"/>
        <v>2048.9750528640675</v>
      </c>
      <c r="H303" s="356">
        <v>0</v>
      </c>
      <c r="I303" s="356">
        <f t="shared" si="34"/>
        <v>-286.339683682037</v>
      </c>
      <c r="J303" s="356">
        <f t="shared" si="35"/>
        <v>286053.343998355</v>
      </c>
      <c r="M303" s="358"/>
      <c r="N303" s="356"/>
    </row>
    <row r="304" spans="1:14" x14ac:dyDescent="0.25">
      <c r="A304" s="356">
        <f t="shared" si="36"/>
        <v>281</v>
      </c>
      <c r="B304" s="357">
        <f t="shared" si="38"/>
        <v>23</v>
      </c>
      <c r="C304" s="357">
        <f t="shared" si="39"/>
        <v>5</v>
      </c>
      <c r="D304" s="357">
        <f t="shared" si="40"/>
        <v>52</v>
      </c>
      <c r="E304" s="356">
        <f t="shared" si="37"/>
        <v>286053.343998355</v>
      </c>
      <c r="G304" s="356">
        <f t="shared" si="33"/>
        <v>2061.6789358582205</v>
      </c>
      <c r="H304" s="356">
        <v>0</v>
      </c>
      <c r="I304" s="356">
        <f t="shared" si="34"/>
        <v>-288.11502293421324</v>
      </c>
      <c r="J304" s="356">
        <f t="shared" si="35"/>
        <v>287826.907911279</v>
      </c>
      <c r="M304" s="358"/>
      <c r="N304" s="356"/>
    </row>
    <row r="305" spans="1:14" x14ac:dyDescent="0.25">
      <c r="A305" s="356">
        <f t="shared" si="36"/>
        <v>282</v>
      </c>
      <c r="B305" s="357">
        <f t="shared" si="38"/>
        <v>23</v>
      </c>
      <c r="C305" s="357">
        <f t="shared" si="39"/>
        <v>6</v>
      </c>
      <c r="D305" s="357">
        <f t="shared" si="40"/>
        <v>52</v>
      </c>
      <c r="E305" s="356">
        <f t="shared" si="37"/>
        <v>287826.907911279</v>
      </c>
      <c r="G305" s="356">
        <f t="shared" si="33"/>
        <v>2074.4615844004966</v>
      </c>
      <c r="H305" s="360">
        <f>-SUM(E305:G305)*$H$21</f>
        <v>-2609.1123254611157</v>
      </c>
      <c r="I305" s="356">
        <f t="shared" si="34"/>
        <v>-289.9013694956795</v>
      </c>
      <c r="J305" s="356">
        <f t="shared" si="35"/>
        <v>287002.3558007227</v>
      </c>
      <c r="M305" s="358"/>
      <c r="N305" s="356"/>
    </row>
    <row r="306" spans="1:14" x14ac:dyDescent="0.25">
      <c r="A306" s="356">
        <f t="shared" si="36"/>
        <v>283</v>
      </c>
      <c r="B306" s="357">
        <f t="shared" si="38"/>
        <v>23</v>
      </c>
      <c r="C306" s="357">
        <f t="shared" si="39"/>
        <v>7</v>
      </c>
      <c r="D306" s="357">
        <f t="shared" si="40"/>
        <v>52</v>
      </c>
      <c r="E306" s="356">
        <f t="shared" si="37"/>
        <v>287002.3558007227</v>
      </c>
      <c r="G306" s="356">
        <f t="shared" si="33"/>
        <v>2068.5187707487144</v>
      </c>
      <c r="H306" s="356">
        <v>0</v>
      </c>
      <c r="I306" s="356">
        <f t="shared" si="34"/>
        <v>-289.07087457147145</v>
      </c>
      <c r="J306" s="356">
        <f t="shared" si="35"/>
        <v>288781.80369689997</v>
      </c>
      <c r="M306" s="358"/>
      <c r="N306" s="356"/>
    </row>
    <row r="307" spans="1:14" x14ac:dyDescent="0.25">
      <c r="A307" s="356">
        <f t="shared" si="36"/>
        <v>284</v>
      </c>
      <c r="B307" s="357">
        <f t="shared" si="38"/>
        <v>23</v>
      </c>
      <c r="C307" s="357">
        <f t="shared" si="39"/>
        <v>8</v>
      </c>
      <c r="D307" s="357">
        <f t="shared" si="40"/>
        <v>52</v>
      </c>
      <c r="E307" s="356">
        <f t="shared" si="37"/>
        <v>288781.80369689997</v>
      </c>
      <c r="G307" s="356">
        <f t="shared" si="33"/>
        <v>2081.343827060683</v>
      </c>
      <c r="H307" s="356">
        <v>0</v>
      </c>
      <c r="I307" s="356">
        <f t="shared" si="34"/>
        <v>-290.8631475239606</v>
      </c>
      <c r="J307" s="356">
        <f t="shared" si="35"/>
        <v>290572.28437643667</v>
      </c>
      <c r="M307" s="358"/>
      <c r="N307" s="356"/>
    </row>
    <row r="308" spans="1:14" x14ac:dyDescent="0.25">
      <c r="A308" s="356">
        <f t="shared" si="36"/>
        <v>285</v>
      </c>
      <c r="B308" s="357">
        <f t="shared" si="38"/>
        <v>23</v>
      </c>
      <c r="C308" s="357">
        <f t="shared" si="39"/>
        <v>9</v>
      </c>
      <c r="D308" s="357">
        <f t="shared" si="40"/>
        <v>52</v>
      </c>
      <c r="E308" s="356">
        <f t="shared" si="37"/>
        <v>290572.28437643667</v>
      </c>
      <c r="G308" s="356">
        <f t="shared" si="33"/>
        <v>2094.2484002094</v>
      </c>
      <c r="H308" s="360">
        <f>-SUM(E308:G308)*$H$21</f>
        <v>-2633.998794989815</v>
      </c>
      <c r="I308" s="356">
        <f t="shared" si="34"/>
        <v>-292.6665327766461</v>
      </c>
      <c r="J308" s="356">
        <f t="shared" si="35"/>
        <v>289739.8674488796</v>
      </c>
      <c r="M308" s="358"/>
      <c r="N308" s="356"/>
    </row>
    <row r="309" spans="1:14" x14ac:dyDescent="0.25">
      <c r="A309" s="356">
        <f t="shared" si="36"/>
        <v>286</v>
      </c>
      <c r="B309" s="357">
        <f t="shared" si="38"/>
        <v>23</v>
      </c>
      <c r="C309" s="357">
        <f t="shared" si="39"/>
        <v>10</v>
      </c>
      <c r="D309" s="357">
        <f t="shared" si="40"/>
        <v>52</v>
      </c>
      <c r="E309" s="356">
        <f t="shared" si="37"/>
        <v>289739.8674488796</v>
      </c>
      <c r="G309" s="356">
        <f t="shared" si="33"/>
        <v>2088.2489022786713</v>
      </c>
      <c r="H309" s="356">
        <v>0</v>
      </c>
      <c r="I309" s="356">
        <f t="shared" si="34"/>
        <v>-291.82811635115826</v>
      </c>
      <c r="J309" s="356">
        <f t="shared" si="35"/>
        <v>291536.2882348071</v>
      </c>
      <c r="M309" s="358"/>
      <c r="N309" s="356"/>
    </row>
    <row r="310" spans="1:14" x14ac:dyDescent="0.25">
      <c r="A310" s="356">
        <f t="shared" si="36"/>
        <v>287</v>
      </c>
      <c r="B310" s="357">
        <f t="shared" si="38"/>
        <v>23</v>
      </c>
      <c r="C310" s="357">
        <f t="shared" si="39"/>
        <v>11</v>
      </c>
      <c r="D310" s="357">
        <f t="shared" si="40"/>
        <v>52</v>
      </c>
      <c r="E310" s="356">
        <f t="shared" si="37"/>
        <v>291536.2882348071</v>
      </c>
      <c r="G310" s="356">
        <f t="shared" si="33"/>
        <v>2101.196287694679</v>
      </c>
      <c r="H310" s="356">
        <v>0</v>
      </c>
      <c r="I310" s="356">
        <f t="shared" si="34"/>
        <v>-293.6374845225018</v>
      </c>
      <c r="J310" s="356">
        <f t="shared" si="35"/>
        <v>293343.8470379793</v>
      </c>
      <c r="M310" s="358"/>
      <c r="N310" s="356"/>
    </row>
    <row r="311" spans="1:14" x14ac:dyDescent="0.25">
      <c r="A311" s="356">
        <f t="shared" si="36"/>
        <v>288</v>
      </c>
      <c r="B311" s="357">
        <f t="shared" si="38"/>
        <v>23</v>
      </c>
      <c r="C311" s="357">
        <f t="shared" si="39"/>
        <v>12</v>
      </c>
      <c r="D311" s="357">
        <f t="shared" si="40"/>
        <v>52</v>
      </c>
      <c r="E311" s="356">
        <f t="shared" si="37"/>
        <v>293343.8470379793</v>
      </c>
      <c r="G311" s="356">
        <f t="shared" si="33"/>
        <v>2114.22394840207</v>
      </c>
      <c r="H311" s="360">
        <f>-SUM(E311:G311)*$H$21</f>
        <v>-2659.1226388774326</v>
      </c>
      <c r="I311" s="356">
        <f t="shared" si="34"/>
        <v>-295.4580709863814</v>
      </c>
      <c r="J311" s="356">
        <f t="shared" si="35"/>
        <v>292503.4902765176</v>
      </c>
      <c r="M311" s="358"/>
      <c r="N311" s="356"/>
    </row>
    <row r="312" spans="1:14" x14ac:dyDescent="0.25">
      <c r="A312" s="356">
        <f t="shared" si="36"/>
        <v>289</v>
      </c>
      <c r="B312" s="357">
        <f t="shared" si="38"/>
        <v>24</v>
      </c>
      <c r="C312" s="357">
        <f t="shared" si="39"/>
        <v>1</v>
      </c>
      <c r="D312" s="357">
        <f t="shared" si="40"/>
        <v>53</v>
      </c>
      <c r="E312" s="356">
        <f t="shared" si="37"/>
        <v>292503.4902765176</v>
      </c>
      <c r="G312" s="356">
        <f t="shared" si="33"/>
        <v>2108.1672255213143</v>
      </c>
      <c r="H312" s="356">
        <v>0</v>
      </c>
      <c r="I312" s="356">
        <f t="shared" si="34"/>
        <v>-294.6116575020389</v>
      </c>
      <c r="J312" s="356">
        <f t="shared" si="35"/>
        <v>294317.04584453686</v>
      </c>
      <c r="M312" s="358"/>
      <c r="N312" s="356"/>
    </row>
    <row r="313" spans="1:14" x14ac:dyDescent="0.25">
      <c r="A313" s="356">
        <f t="shared" si="36"/>
        <v>290</v>
      </c>
      <c r="B313" s="357">
        <f t="shared" si="38"/>
        <v>24</v>
      </c>
      <c r="C313" s="357">
        <f t="shared" si="39"/>
        <v>2</v>
      </c>
      <c r="D313" s="357">
        <f t="shared" si="40"/>
        <v>53</v>
      </c>
      <c r="E313" s="356">
        <f t="shared" si="37"/>
        <v>294317.04584453686</v>
      </c>
      <c r="G313" s="356">
        <f t="shared" si="33"/>
        <v>2121.2381068518093</v>
      </c>
      <c r="H313" s="356">
        <v>0</v>
      </c>
      <c r="I313" s="356">
        <f t="shared" si="34"/>
        <v>-296.43828395138866</v>
      </c>
      <c r="J313" s="356">
        <f t="shared" si="35"/>
        <v>296141.8456674373</v>
      </c>
      <c r="M313" s="358"/>
      <c r="N313" s="356"/>
    </row>
    <row r="314" spans="1:14" x14ac:dyDescent="0.25">
      <c r="A314" s="356">
        <f t="shared" si="36"/>
        <v>291</v>
      </c>
      <c r="B314" s="357">
        <f t="shared" si="38"/>
        <v>24</v>
      </c>
      <c r="C314" s="357">
        <f t="shared" si="39"/>
        <v>3</v>
      </c>
      <c r="D314" s="357">
        <f t="shared" si="40"/>
        <v>53</v>
      </c>
      <c r="E314" s="356">
        <f t="shared" si="37"/>
        <v>296141.8456674373</v>
      </c>
      <c r="G314" s="356">
        <f t="shared" si="33"/>
        <v>2134.3900291626815</v>
      </c>
      <c r="H314" s="360">
        <f>-SUM(E314:G314)*$H$21</f>
        <v>-2684.4861212694004</v>
      </c>
      <c r="I314" s="356">
        <f t="shared" si="34"/>
        <v>-298.2762356966</v>
      </c>
      <c r="J314" s="356">
        <f t="shared" si="35"/>
        <v>295293.47333963396</v>
      </c>
      <c r="M314" s="358"/>
      <c r="N314" s="356"/>
    </row>
    <row r="315" spans="1:14" x14ac:dyDescent="0.25">
      <c r="A315" s="356">
        <f t="shared" si="36"/>
        <v>292</v>
      </c>
      <c r="B315" s="357">
        <f t="shared" si="38"/>
        <v>24</v>
      </c>
      <c r="C315" s="357">
        <f t="shared" si="39"/>
        <v>4</v>
      </c>
      <c r="D315" s="357">
        <f t="shared" si="40"/>
        <v>53</v>
      </c>
      <c r="E315" s="356">
        <f t="shared" si="37"/>
        <v>295293.47333963396</v>
      </c>
      <c r="G315" s="356">
        <f t="shared" si="33"/>
        <v>2128.2755355037393</v>
      </c>
      <c r="H315" s="356">
        <v>0</v>
      </c>
      <c r="I315" s="356">
        <f t="shared" si="34"/>
        <v>-297.4217488751377</v>
      </c>
      <c r="J315" s="356">
        <f t="shared" si="35"/>
        <v>297124.3271262626</v>
      </c>
      <c r="M315" s="358"/>
      <c r="N315" s="356"/>
    </row>
    <row r="316" spans="1:14" x14ac:dyDescent="0.25">
      <c r="A316" s="356">
        <f t="shared" si="36"/>
        <v>293</v>
      </c>
      <c r="B316" s="357">
        <f t="shared" si="38"/>
        <v>24</v>
      </c>
      <c r="C316" s="357">
        <f t="shared" si="39"/>
        <v>5</v>
      </c>
      <c r="D316" s="357">
        <f t="shared" si="40"/>
        <v>53</v>
      </c>
      <c r="E316" s="356">
        <f t="shared" si="37"/>
        <v>297124.3271262626</v>
      </c>
      <c r="G316" s="356">
        <f t="shared" si="33"/>
        <v>2141.4710906885452</v>
      </c>
      <c r="H316" s="356">
        <v>0</v>
      </c>
      <c r="I316" s="356">
        <f t="shared" si="34"/>
        <v>-299.26579821695117</v>
      </c>
      <c r="J316" s="356">
        <f t="shared" si="35"/>
        <v>298966.53241873416</v>
      </c>
      <c r="M316" s="358"/>
      <c r="N316" s="356"/>
    </row>
    <row r="317" spans="1:14" x14ac:dyDescent="0.25">
      <c r="A317" s="356">
        <f t="shared" si="36"/>
        <v>294</v>
      </c>
      <c r="B317" s="357">
        <f t="shared" si="38"/>
        <v>24</v>
      </c>
      <c r="C317" s="357">
        <f t="shared" si="39"/>
        <v>6</v>
      </c>
      <c r="D317" s="357">
        <f t="shared" si="40"/>
        <v>53</v>
      </c>
      <c r="E317" s="356">
        <f t="shared" si="37"/>
        <v>298966.53241873416</v>
      </c>
      <c r="G317" s="356">
        <f t="shared" si="33"/>
        <v>2154.748459846086</v>
      </c>
      <c r="H317" s="360">
        <f>-SUM(E317:G317)*$H$21</f>
        <v>-2710.0915279072224</v>
      </c>
      <c r="I317" s="356">
        <f t="shared" si="34"/>
        <v>-301.12128087858025</v>
      </c>
      <c r="J317" s="356">
        <f t="shared" si="35"/>
        <v>298110.0680697944</v>
      </c>
      <c r="M317" s="358"/>
      <c r="N317" s="356"/>
    </row>
    <row r="318" spans="1:14" x14ac:dyDescent="0.25">
      <c r="A318" s="356">
        <f t="shared" si="36"/>
        <v>295</v>
      </c>
      <c r="B318" s="357">
        <f t="shared" si="38"/>
        <v>24</v>
      </c>
      <c r="C318" s="357">
        <f t="shared" si="39"/>
        <v>7</v>
      </c>
      <c r="D318" s="357">
        <f t="shared" si="40"/>
        <v>53</v>
      </c>
      <c r="E318" s="356">
        <f t="shared" si="37"/>
        <v>298110.0680697944</v>
      </c>
      <c r="G318" s="356">
        <f t="shared" si="33"/>
        <v>2148.5756443745327</v>
      </c>
      <c r="H318" s="356">
        <v>0</v>
      </c>
      <c r="I318" s="356">
        <f t="shared" si="34"/>
        <v>-300.25864371416895</v>
      </c>
      <c r="J318" s="356">
        <f t="shared" si="35"/>
        <v>299958.38507045474</v>
      </c>
      <c r="M318" s="358"/>
      <c r="N318" s="356"/>
    </row>
    <row r="319" spans="1:14" x14ac:dyDescent="0.25">
      <c r="A319" s="356">
        <f t="shared" si="36"/>
        <v>296</v>
      </c>
      <c r="B319" s="357">
        <f t="shared" si="38"/>
        <v>24</v>
      </c>
      <c r="C319" s="357">
        <f t="shared" si="39"/>
        <v>8</v>
      </c>
      <c r="D319" s="357">
        <f t="shared" si="40"/>
        <v>53</v>
      </c>
      <c r="E319" s="356">
        <f t="shared" si="37"/>
        <v>299958.38507045474</v>
      </c>
      <c r="G319" s="356">
        <f t="shared" si="33"/>
        <v>2161.897062589004</v>
      </c>
      <c r="H319" s="356">
        <v>0</v>
      </c>
      <c r="I319" s="356">
        <f t="shared" si="34"/>
        <v>-302.12028213304376</v>
      </c>
      <c r="J319" s="356">
        <f t="shared" si="35"/>
        <v>301818.1618509107</v>
      </c>
      <c r="M319" s="358"/>
      <c r="N319" s="356"/>
    </row>
    <row r="320" spans="1:14" x14ac:dyDescent="0.25">
      <c r="A320" s="356">
        <f t="shared" si="36"/>
        <v>297</v>
      </c>
      <c r="B320" s="357">
        <f t="shared" si="38"/>
        <v>24</v>
      </c>
      <c r="C320" s="357">
        <f t="shared" si="39"/>
        <v>9</v>
      </c>
      <c r="D320" s="357">
        <f t="shared" si="40"/>
        <v>53</v>
      </c>
      <c r="E320" s="356">
        <f t="shared" si="37"/>
        <v>301818.1618509107</v>
      </c>
      <c r="G320" s="356">
        <f t="shared" si="33"/>
        <v>2175.3010751415936</v>
      </c>
      <c r="H320" s="360">
        <f>-SUM(E320:G320)*$H$21</f>
        <v>-2735.941166334471</v>
      </c>
      <c r="I320" s="356">
        <f t="shared" si="34"/>
        <v>-303.9934629260523</v>
      </c>
      <c r="J320" s="356">
        <f t="shared" si="35"/>
        <v>300953.5282967917</v>
      </c>
      <c r="M320" s="358"/>
      <c r="N320" s="356"/>
    </row>
    <row r="321" spans="1:14" x14ac:dyDescent="0.25">
      <c r="A321" s="356">
        <f t="shared" si="36"/>
        <v>298</v>
      </c>
      <c r="B321" s="357">
        <f t="shared" si="38"/>
        <v>24</v>
      </c>
      <c r="C321" s="357">
        <f t="shared" si="39"/>
        <v>10</v>
      </c>
      <c r="D321" s="357">
        <f t="shared" si="40"/>
        <v>53</v>
      </c>
      <c r="E321" s="356">
        <f t="shared" si="37"/>
        <v>300953.5282967917</v>
      </c>
      <c r="G321" s="356">
        <f t="shared" si="33"/>
        <v>2169.069381567078</v>
      </c>
      <c r="H321" s="356">
        <v>0</v>
      </c>
      <c r="I321" s="356">
        <f t="shared" si="34"/>
        <v>-303.1225976783588</v>
      </c>
      <c r="J321" s="356">
        <f t="shared" si="35"/>
        <v>302819.47508068045</v>
      </c>
      <c r="M321" s="358"/>
      <c r="N321" s="356"/>
    </row>
    <row r="322" spans="1:14" x14ac:dyDescent="0.25">
      <c r="A322" s="356">
        <f t="shared" si="36"/>
        <v>299</v>
      </c>
      <c r="B322" s="357">
        <f t="shared" si="38"/>
        <v>24</v>
      </c>
      <c r="C322" s="357">
        <f t="shared" si="39"/>
        <v>11</v>
      </c>
      <c r="D322" s="357">
        <f t="shared" si="40"/>
        <v>53</v>
      </c>
      <c r="E322" s="356">
        <f t="shared" si="37"/>
        <v>302819.47508068045</v>
      </c>
      <c r="G322" s="356">
        <f t="shared" si="33"/>
        <v>2182.5178633292694</v>
      </c>
      <c r="H322" s="356">
        <v>0</v>
      </c>
      <c r="I322" s="356">
        <f t="shared" si="34"/>
        <v>-305.0019929440097</v>
      </c>
      <c r="J322" s="356">
        <f t="shared" si="35"/>
        <v>304696.99095106573</v>
      </c>
      <c r="M322" s="358"/>
      <c r="N322" s="356"/>
    </row>
    <row r="323" spans="1:14" x14ac:dyDescent="0.25">
      <c r="A323" s="356">
        <f t="shared" si="36"/>
        <v>300</v>
      </c>
      <c r="B323" s="357">
        <f t="shared" si="38"/>
        <v>24</v>
      </c>
      <c r="C323" s="357">
        <f t="shared" si="39"/>
        <v>12</v>
      </c>
      <c r="D323" s="357">
        <f t="shared" si="40"/>
        <v>53</v>
      </c>
      <c r="E323" s="356">
        <f t="shared" si="37"/>
        <v>304696.99095106573</v>
      </c>
      <c r="G323" s="356">
        <f t="shared" si="33"/>
        <v>2196.049727238314</v>
      </c>
      <c r="H323" s="360">
        <f>-SUM(E323:G323)*$H$21</f>
        <v>-2762.0373661047365</v>
      </c>
      <c r="I323" s="356">
        <f t="shared" si="34"/>
        <v>-306.89304067830403</v>
      </c>
      <c r="J323" s="356">
        <f t="shared" si="35"/>
        <v>303824.110271521</v>
      </c>
      <c r="M323" s="358"/>
      <c r="N323" s="356"/>
    </row>
    <row r="324" spans="1:14" x14ac:dyDescent="0.25">
      <c r="A324" s="356">
        <f t="shared" si="36"/>
        <v>301</v>
      </c>
      <c r="B324" s="357">
        <f t="shared" si="38"/>
        <v>25</v>
      </c>
      <c r="C324" s="357">
        <f t="shared" si="39"/>
        <v>1</v>
      </c>
      <c r="D324" s="357">
        <f t="shared" si="40"/>
        <v>54</v>
      </c>
      <c r="E324" s="356">
        <f t="shared" si="37"/>
        <v>303824.110271521</v>
      </c>
      <c r="G324" s="356">
        <f t="shared" si="33"/>
        <v>2189.758593964426</v>
      </c>
      <c r="H324" s="356">
        <v>0</v>
      </c>
      <c r="I324" s="356">
        <f t="shared" si="34"/>
        <v>-306.0138688654855</v>
      </c>
      <c r="J324" s="356">
        <f t="shared" si="35"/>
        <v>305707.85499662</v>
      </c>
      <c r="M324" s="358"/>
      <c r="N324" s="356"/>
    </row>
    <row r="325" spans="1:14" x14ac:dyDescent="0.25">
      <c r="A325" s="356">
        <f t="shared" si="36"/>
        <v>302</v>
      </c>
      <c r="B325" s="357">
        <f t="shared" si="38"/>
        <v>25</v>
      </c>
      <c r="C325" s="357">
        <f t="shared" si="39"/>
        <v>2</v>
      </c>
      <c r="D325" s="357">
        <f t="shared" si="40"/>
        <v>54</v>
      </c>
      <c r="E325" s="356">
        <f t="shared" si="37"/>
        <v>305707.85499662</v>
      </c>
      <c r="G325" s="356">
        <f t="shared" si="33"/>
        <v>2203.3353512432814</v>
      </c>
      <c r="H325" s="356">
        <v>0</v>
      </c>
      <c r="I325" s="356">
        <f t="shared" si="34"/>
        <v>-307.9111903478632</v>
      </c>
      <c r="J325" s="356">
        <f t="shared" si="35"/>
        <v>307603.2791575154</v>
      </c>
      <c r="M325" s="358"/>
      <c r="N325" s="356"/>
    </row>
    <row r="326" spans="1:14" x14ac:dyDescent="0.25">
      <c r="A326" s="356">
        <f t="shared" si="36"/>
        <v>303</v>
      </c>
      <c r="B326" s="357">
        <f t="shared" si="38"/>
        <v>25</v>
      </c>
      <c r="C326" s="357">
        <f t="shared" si="39"/>
        <v>3</v>
      </c>
      <c r="D326" s="357">
        <f t="shared" si="40"/>
        <v>54</v>
      </c>
      <c r="E326" s="356">
        <f t="shared" si="37"/>
        <v>307603.2791575154</v>
      </c>
      <c r="G326" s="356">
        <f t="shared" si="33"/>
        <v>2216.9962859920715</v>
      </c>
      <c r="H326" s="360">
        <f>-SUM(E326:G326)*$H$21</f>
        <v>-2788.3824789915675</v>
      </c>
      <c r="I326" s="356">
        <f t="shared" si="34"/>
        <v>-309.82027544350746</v>
      </c>
      <c r="J326" s="356">
        <f t="shared" si="35"/>
        <v>306722.0726890724</v>
      </c>
      <c r="M326" s="358"/>
      <c r="N326" s="356"/>
    </row>
    <row r="327" spans="1:14" x14ac:dyDescent="0.25">
      <c r="A327" s="356">
        <f t="shared" si="36"/>
        <v>304</v>
      </c>
      <c r="B327" s="357">
        <f t="shared" si="38"/>
        <v>25</v>
      </c>
      <c r="C327" s="357">
        <f t="shared" si="39"/>
        <v>4</v>
      </c>
      <c r="D327" s="357">
        <f t="shared" si="40"/>
        <v>54</v>
      </c>
      <c r="E327" s="356">
        <f t="shared" si="37"/>
        <v>306722.0726890724</v>
      </c>
      <c r="G327" s="356">
        <f t="shared" si="33"/>
        <v>2210.645146065732</v>
      </c>
      <c r="H327" s="356">
        <v>0</v>
      </c>
      <c r="I327" s="356">
        <f t="shared" si="34"/>
        <v>-308.93271783513813</v>
      </c>
      <c r="J327" s="356">
        <f t="shared" si="35"/>
        <v>308623.785117303</v>
      </c>
      <c r="M327" s="358"/>
      <c r="N327" s="356"/>
    </row>
    <row r="328" spans="1:14" x14ac:dyDescent="0.25">
      <c r="A328" s="356">
        <f t="shared" si="36"/>
        <v>305</v>
      </c>
      <c r="B328" s="357">
        <f t="shared" si="38"/>
        <v>25</v>
      </c>
      <c r="C328" s="357">
        <f t="shared" si="39"/>
        <v>5</v>
      </c>
      <c r="D328" s="357">
        <f t="shared" si="40"/>
        <v>54</v>
      </c>
      <c r="E328" s="356">
        <f t="shared" si="37"/>
        <v>308623.785117303</v>
      </c>
      <c r="G328" s="356">
        <f t="shared" si="33"/>
        <v>2224.3514023903053</v>
      </c>
      <c r="H328" s="356">
        <v>0</v>
      </c>
      <c r="I328" s="356">
        <f t="shared" si="34"/>
        <v>-310.8481365196933</v>
      </c>
      <c r="J328" s="356">
        <f t="shared" si="35"/>
        <v>310537.2883831736</v>
      </c>
      <c r="M328" s="358"/>
      <c r="N328" s="356"/>
    </row>
    <row r="329" spans="1:14" x14ac:dyDescent="0.25">
      <c r="A329" s="356">
        <f t="shared" si="36"/>
        <v>306</v>
      </c>
      <c r="B329" s="357">
        <f t="shared" si="38"/>
        <v>25</v>
      </c>
      <c r="C329" s="357">
        <f t="shared" si="39"/>
        <v>6</v>
      </c>
      <c r="D329" s="357">
        <f t="shared" si="40"/>
        <v>54</v>
      </c>
      <c r="E329" s="356">
        <f t="shared" si="37"/>
        <v>310537.2883831736</v>
      </c>
      <c r="G329" s="356">
        <f t="shared" si="33"/>
        <v>2238.142639093918</v>
      </c>
      <c r="H329" s="360">
        <f>-SUM(E329:G329)*$H$21</f>
        <v>-2814.978879200408</v>
      </c>
      <c r="I329" s="356">
        <f t="shared" si="34"/>
        <v>-312.7754310222675</v>
      </c>
      <c r="J329" s="356">
        <f t="shared" si="35"/>
        <v>309647.6767120448</v>
      </c>
      <c r="M329" s="358"/>
      <c r="N329" s="356"/>
    </row>
    <row r="330" spans="1:14" x14ac:dyDescent="0.25">
      <c r="A330" s="356">
        <f t="shared" si="36"/>
        <v>307</v>
      </c>
      <c r="B330" s="357">
        <f t="shared" si="38"/>
        <v>25</v>
      </c>
      <c r="C330" s="357">
        <f t="shared" si="39"/>
        <v>7</v>
      </c>
      <c r="D330" s="357">
        <f t="shared" si="40"/>
        <v>54</v>
      </c>
      <c r="E330" s="356">
        <f t="shared" si="37"/>
        <v>309647.6767120448</v>
      </c>
      <c r="G330" s="356">
        <f t="shared" si="33"/>
        <v>2231.7309201542844</v>
      </c>
      <c r="H330" s="356">
        <v>0</v>
      </c>
      <c r="I330" s="356">
        <f t="shared" si="34"/>
        <v>-311.8794076321991</v>
      </c>
      <c r="J330" s="356">
        <f t="shared" si="35"/>
        <v>311567.5282245669</v>
      </c>
      <c r="M330" s="358"/>
      <c r="N330" s="356"/>
    </row>
    <row r="331" spans="1:14" x14ac:dyDescent="0.25">
      <c r="A331" s="356">
        <f t="shared" si="36"/>
        <v>308</v>
      </c>
      <c r="B331" s="357">
        <f t="shared" si="38"/>
        <v>25</v>
      </c>
      <c r="C331" s="357">
        <f t="shared" si="39"/>
        <v>8</v>
      </c>
      <c r="D331" s="357">
        <f t="shared" si="40"/>
        <v>54</v>
      </c>
      <c r="E331" s="356">
        <f t="shared" si="37"/>
        <v>311567.5282245669</v>
      </c>
      <c r="G331" s="356">
        <f t="shared" si="33"/>
        <v>2245.5679107240053</v>
      </c>
      <c r="H331" s="356">
        <v>0</v>
      </c>
      <c r="I331" s="356">
        <f t="shared" si="34"/>
        <v>-313.81309613529095</v>
      </c>
      <c r="J331" s="356">
        <f t="shared" si="35"/>
        <v>313499.28303915565</v>
      </c>
      <c r="M331" s="358"/>
      <c r="N331" s="356"/>
    </row>
    <row r="332" spans="1:14" x14ac:dyDescent="0.25">
      <c r="A332" s="356">
        <f t="shared" si="36"/>
        <v>309</v>
      </c>
      <c r="B332" s="357">
        <f t="shared" si="38"/>
        <v>25</v>
      </c>
      <c r="C332" s="357">
        <f t="shared" si="39"/>
        <v>9</v>
      </c>
      <c r="D332" s="357">
        <f t="shared" si="40"/>
        <v>54</v>
      </c>
      <c r="E332" s="356">
        <f t="shared" si="37"/>
        <v>313499.28303915565</v>
      </c>
      <c r="G332" s="356">
        <f t="shared" si="33"/>
        <v>2259.49069224025</v>
      </c>
      <c r="H332" s="360">
        <f>-SUM(E332:G332)*$H$21</f>
        <v>-2841.8289635825636</v>
      </c>
      <c r="I332" s="356">
        <f t="shared" si="34"/>
        <v>-315.7587737313959</v>
      </c>
      <c r="J332" s="356">
        <f t="shared" si="35"/>
        <v>312601.1859940819</v>
      </c>
      <c r="M332" s="358"/>
      <c r="N332" s="356"/>
    </row>
    <row r="333" spans="1:14" x14ac:dyDescent="0.25">
      <c r="A333" s="356">
        <f t="shared" si="36"/>
        <v>310</v>
      </c>
      <c r="B333" s="357">
        <f t="shared" si="38"/>
        <v>25</v>
      </c>
      <c r="C333" s="357">
        <f t="shared" si="39"/>
        <v>10</v>
      </c>
      <c r="D333" s="357">
        <f t="shared" si="40"/>
        <v>54</v>
      </c>
      <c r="E333" s="356">
        <f t="shared" si="37"/>
        <v>312601.1859940819</v>
      </c>
      <c r="G333" s="356">
        <f t="shared" si="33"/>
        <v>2253.0178164671365</v>
      </c>
      <c r="H333" s="356">
        <v>0</v>
      </c>
      <c r="I333" s="356">
        <f t="shared" si="34"/>
        <v>-314.85420381054905</v>
      </c>
      <c r="J333" s="356">
        <f t="shared" si="35"/>
        <v>314539.3496067385</v>
      </c>
      <c r="M333" s="358"/>
      <c r="N333" s="356"/>
    </row>
    <row r="334" spans="1:14" x14ac:dyDescent="0.25">
      <c r="A334" s="356">
        <f t="shared" si="36"/>
        <v>311</v>
      </c>
      <c r="B334" s="357">
        <f t="shared" si="38"/>
        <v>25</v>
      </c>
      <c r="C334" s="357">
        <f t="shared" si="39"/>
        <v>11</v>
      </c>
      <c r="D334" s="357">
        <f t="shared" si="40"/>
        <v>54</v>
      </c>
      <c r="E334" s="356">
        <f t="shared" si="37"/>
        <v>314539.3496067385</v>
      </c>
      <c r="G334" s="356">
        <f t="shared" si="33"/>
        <v>2266.9867882631243</v>
      </c>
      <c r="H334" s="356">
        <v>0</v>
      </c>
      <c r="I334" s="356">
        <f t="shared" si="34"/>
        <v>-316.8063363950016</v>
      </c>
      <c r="J334" s="356">
        <f t="shared" si="35"/>
        <v>316489.53005860664</v>
      </c>
      <c r="M334" s="358"/>
      <c r="N334" s="356"/>
    </row>
    <row r="335" spans="1:14" x14ac:dyDescent="0.25">
      <c r="A335" s="356">
        <f t="shared" si="36"/>
        <v>312</v>
      </c>
      <c r="B335" s="357">
        <f t="shared" si="38"/>
        <v>25</v>
      </c>
      <c r="C335" s="357">
        <f t="shared" si="39"/>
        <v>12</v>
      </c>
      <c r="D335" s="357">
        <f t="shared" si="40"/>
        <v>54</v>
      </c>
      <c r="E335" s="356">
        <f t="shared" si="37"/>
        <v>316489.53005860664</v>
      </c>
      <c r="G335" s="356">
        <f t="shared" si="33"/>
        <v>2281.0423693045477</v>
      </c>
      <c r="H335" s="360">
        <f>-SUM(E335:G335)*$H$21</f>
        <v>-2868.935151851201</v>
      </c>
      <c r="I335" s="356">
        <f t="shared" si="34"/>
        <v>-318.77057242791125</v>
      </c>
      <c r="J335" s="356">
        <f t="shared" si="35"/>
        <v>315582.8667036321</v>
      </c>
      <c r="M335" s="358"/>
      <c r="N335" s="356"/>
    </row>
    <row r="336" spans="1:14" x14ac:dyDescent="0.25">
      <c r="A336" s="356">
        <f t="shared" si="36"/>
        <v>313</v>
      </c>
      <c r="B336" s="357">
        <f t="shared" si="38"/>
        <v>26</v>
      </c>
      <c r="C336" s="357">
        <f t="shared" si="39"/>
        <v>1</v>
      </c>
      <c r="D336" s="357">
        <f t="shared" si="40"/>
        <v>55</v>
      </c>
      <c r="E336" s="356">
        <f t="shared" si="37"/>
        <v>315582.8667036321</v>
      </c>
      <c r="G336" s="356">
        <f t="shared" si="33"/>
        <v>2274.507753366353</v>
      </c>
      <c r="H336" s="356">
        <v>0</v>
      </c>
      <c r="I336" s="356">
        <f t="shared" si="34"/>
        <v>-317.8573744569985</v>
      </c>
      <c r="J336" s="356">
        <f t="shared" si="35"/>
        <v>317539.5170825415</v>
      </c>
      <c r="M336" s="358"/>
      <c r="N336" s="356"/>
    </row>
    <row r="337" spans="1:14" x14ac:dyDescent="0.25">
      <c r="A337" s="356">
        <f t="shared" si="36"/>
        <v>314</v>
      </c>
      <c r="B337" s="357">
        <f t="shared" si="38"/>
        <v>26</v>
      </c>
      <c r="C337" s="357">
        <f t="shared" si="39"/>
        <v>2</v>
      </c>
      <c r="D337" s="357">
        <f t="shared" si="40"/>
        <v>55</v>
      </c>
      <c r="E337" s="356">
        <f t="shared" si="37"/>
        <v>317539.5170825415</v>
      </c>
      <c r="G337" s="356">
        <f t="shared" si="33"/>
        <v>2288.609965263794</v>
      </c>
      <c r="H337" s="356">
        <v>0</v>
      </c>
      <c r="I337" s="356">
        <f t="shared" si="34"/>
        <v>-319.8281270478053</v>
      </c>
      <c r="J337" s="356">
        <f t="shared" si="35"/>
        <v>319508.2989207575</v>
      </c>
      <c r="M337" s="358"/>
      <c r="N337" s="356"/>
    </row>
    <row r="338" spans="1:14" x14ac:dyDescent="0.25">
      <c r="A338" s="356">
        <f t="shared" si="36"/>
        <v>315</v>
      </c>
      <c r="B338" s="357">
        <f t="shared" si="38"/>
        <v>26</v>
      </c>
      <c r="C338" s="357">
        <f t="shared" si="39"/>
        <v>3</v>
      </c>
      <c r="D338" s="357">
        <f t="shared" si="40"/>
        <v>55</v>
      </c>
      <c r="E338" s="356">
        <f t="shared" si="37"/>
        <v>319508.2989207575</v>
      </c>
      <c r="G338" s="356">
        <f t="shared" si="33"/>
        <v>2302.7996125107547</v>
      </c>
      <c r="H338" s="360">
        <f>-SUM(E338:G338)*$H$21</f>
        <v>-2896.2998867994147</v>
      </c>
      <c r="I338" s="356">
        <f t="shared" si="34"/>
        <v>-321.81109853326825</v>
      </c>
      <c r="J338" s="356">
        <f t="shared" si="35"/>
        <v>318592.98754793557</v>
      </c>
      <c r="M338" s="358"/>
      <c r="N338" s="356"/>
    </row>
    <row r="339" spans="1:14" x14ac:dyDescent="0.25">
      <c r="A339" s="356">
        <f t="shared" si="36"/>
        <v>316</v>
      </c>
      <c r="B339" s="357">
        <f t="shared" si="38"/>
        <v>26</v>
      </c>
      <c r="C339" s="357">
        <f t="shared" si="39"/>
        <v>4</v>
      </c>
      <c r="D339" s="357">
        <f t="shared" si="40"/>
        <v>55</v>
      </c>
      <c r="E339" s="356">
        <f t="shared" si="37"/>
        <v>318592.98754793557</v>
      </c>
      <c r="G339" s="356">
        <f t="shared" si="33"/>
        <v>2296.2026675118905</v>
      </c>
      <c r="H339" s="356">
        <v>0</v>
      </c>
      <c r="I339" s="356">
        <f t="shared" si="34"/>
        <v>-320.88919021544746</v>
      </c>
      <c r="J339" s="356">
        <f t="shared" si="35"/>
        <v>320568.301025232</v>
      </c>
      <c r="M339" s="358"/>
      <c r="N339" s="356"/>
    </row>
    <row r="340" spans="1:14" x14ac:dyDescent="0.25">
      <c r="A340" s="356">
        <f t="shared" si="36"/>
        <v>317</v>
      </c>
      <c r="B340" s="357">
        <f t="shared" si="38"/>
        <v>26</v>
      </c>
      <c r="C340" s="357">
        <f t="shared" si="39"/>
        <v>5</v>
      </c>
      <c r="D340" s="357">
        <f t="shared" si="40"/>
        <v>55</v>
      </c>
      <c r="E340" s="356">
        <f t="shared" si="37"/>
        <v>320568.301025232</v>
      </c>
      <c r="G340" s="356">
        <f t="shared" si="33"/>
        <v>2310.439390393488</v>
      </c>
      <c r="H340" s="356">
        <v>0</v>
      </c>
      <c r="I340" s="356">
        <f t="shared" si="34"/>
        <v>-322.8787404156255</v>
      </c>
      <c r="J340" s="356">
        <f t="shared" si="35"/>
        <v>322555.8616752099</v>
      </c>
      <c r="M340" s="358"/>
      <c r="N340" s="356"/>
    </row>
    <row r="341" spans="1:14" x14ac:dyDescent="0.25">
      <c r="A341" s="356">
        <f t="shared" si="36"/>
        <v>318</v>
      </c>
      <c r="B341" s="357">
        <f t="shared" si="38"/>
        <v>26</v>
      </c>
      <c r="C341" s="357">
        <f t="shared" si="39"/>
        <v>6</v>
      </c>
      <c r="D341" s="357">
        <f t="shared" si="40"/>
        <v>55</v>
      </c>
      <c r="E341" s="356">
        <f t="shared" si="37"/>
        <v>322555.8616752099</v>
      </c>
      <c r="G341" s="356">
        <f t="shared" si="33"/>
        <v>2324.7643826083095</v>
      </c>
      <c r="H341" s="360">
        <f>-SUM(E341:G341)*$H$21</f>
        <v>-2923.925634520364</v>
      </c>
      <c r="I341" s="356">
        <f t="shared" si="34"/>
        <v>-324.8806260578182</v>
      </c>
      <c r="J341" s="356">
        <f t="shared" si="35"/>
        <v>321631.81979724</v>
      </c>
      <c r="M341" s="358"/>
      <c r="N341" s="356"/>
    </row>
    <row r="342" spans="1:14" x14ac:dyDescent="0.25">
      <c r="A342" s="356">
        <f t="shared" si="36"/>
        <v>319</v>
      </c>
      <c r="B342" s="357">
        <f t="shared" si="38"/>
        <v>26</v>
      </c>
      <c r="C342" s="357">
        <f t="shared" si="39"/>
        <v>7</v>
      </c>
      <c r="D342" s="357">
        <f t="shared" si="40"/>
        <v>55</v>
      </c>
      <c r="E342" s="356">
        <f t="shared" si="37"/>
        <v>321631.81979724</v>
      </c>
      <c r="G342" s="356">
        <f t="shared" si="33"/>
        <v>2318.1045140361307</v>
      </c>
      <c r="H342" s="356">
        <v>0</v>
      </c>
      <c r="I342" s="356">
        <f t="shared" si="34"/>
        <v>-323.94992431127616</v>
      </c>
      <c r="J342" s="356">
        <f t="shared" si="35"/>
        <v>323625.9743869649</v>
      </c>
      <c r="M342" s="358"/>
      <c r="N342" s="356"/>
    </row>
    <row r="343" spans="1:14" x14ac:dyDescent="0.25">
      <c r="A343" s="356">
        <f t="shared" si="36"/>
        <v>320</v>
      </c>
      <c r="B343" s="357">
        <f t="shared" si="38"/>
        <v>26</v>
      </c>
      <c r="C343" s="357">
        <f t="shared" si="39"/>
        <v>8</v>
      </c>
      <c r="D343" s="357">
        <f t="shared" si="40"/>
        <v>55</v>
      </c>
      <c r="E343" s="356">
        <f t="shared" si="37"/>
        <v>323625.9743869649</v>
      </c>
      <c r="G343" s="356">
        <f t="shared" si="33"/>
        <v>2332.4770309066357</v>
      </c>
      <c r="H343" s="356">
        <v>0</v>
      </c>
      <c r="I343" s="356">
        <f t="shared" si="34"/>
        <v>-325.9584514178716</v>
      </c>
      <c r="J343" s="356">
        <f t="shared" si="35"/>
        <v>325632.4929664537</v>
      </c>
      <c r="M343" s="358"/>
      <c r="N343" s="356"/>
    </row>
    <row r="344" spans="1:14" x14ac:dyDescent="0.25">
      <c r="A344" s="356">
        <f t="shared" si="36"/>
        <v>321</v>
      </c>
      <c r="B344" s="357">
        <f t="shared" si="38"/>
        <v>26</v>
      </c>
      <c r="C344" s="357">
        <f t="shared" si="39"/>
        <v>9</v>
      </c>
      <c r="D344" s="357">
        <f t="shared" si="40"/>
        <v>55</v>
      </c>
      <c r="E344" s="356">
        <f t="shared" si="37"/>
        <v>325632.4929664537</v>
      </c>
      <c r="G344" s="356">
        <f t="shared" ref="G344:G407" si="41">SUM(E344:F344)*$F$8</f>
        <v>2346.938659048847</v>
      </c>
      <c r="H344" s="360">
        <f>-SUM(E344:G344)*$H$21</f>
        <v>-2951.8148846295235</v>
      </c>
      <c r="I344" s="356">
        <f t="shared" ref="I344:I407" si="42">-SUM(E344:G344)*0.1%</f>
        <v>-327.97943162550257</v>
      </c>
      <c r="J344" s="356">
        <f t="shared" ref="J344:J407" si="43">SUM(E344:I344)</f>
        <v>324699.63730924757</v>
      </c>
      <c r="M344" s="358"/>
      <c r="N344" s="356"/>
    </row>
    <row r="345" spans="1:14" x14ac:dyDescent="0.25">
      <c r="A345" s="356">
        <f t="shared" ref="A345:A408" si="44">+A344+1</f>
        <v>322</v>
      </c>
      <c r="B345" s="357">
        <f t="shared" si="38"/>
        <v>26</v>
      </c>
      <c r="C345" s="357">
        <f t="shared" si="39"/>
        <v>10</v>
      </c>
      <c r="D345" s="357">
        <f t="shared" si="40"/>
        <v>55</v>
      </c>
      <c r="E345" s="356">
        <f t="shared" ref="E345:E408" si="45">J344</f>
        <v>324699.63730924757</v>
      </c>
      <c r="G345" s="356">
        <f t="shared" si="41"/>
        <v>2340.215266720075</v>
      </c>
      <c r="H345" s="356">
        <v>0</v>
      </c>
      <c r="I345" s="356">
        <f t="shared" si="42"/>
        <v>-327.0398525759677</v>
      </c>
      <c r="J345" s="356">
        <f t="shared" si="43"/>
        <v>326712.8127233917</v>
      </c>
      <c r="M345" s="358"/>
      <c r="N345" s="356"/>
    </row>
    <row r="346" spans="1:14" x14ac:dyDescent="0.25">
      <c r="A346" s="356">
        <f t="shared" si="44"/>
        <v>323</v>
      </c>
      <c r="B346" s="357">
        <f t="shared" si="38"/>
        <v>26</v>
      </c>
      <c r="C346" s="357">
        <f t="shared" si="39"/>
        <v>11</v>
      </c>
      <c r="D346" s="357">
        <f t="shared" si="40"/>
        <v>55</v>
      </c>
      <c r="E346" s="356">
        <f t="shared" si="45"/>
        <v>326712.8127233917</v>
      </c>
      <c r="G346" s="356">
        <f t="shared" si="41"/>
        <v>2354.7248728219092</v>
      </c>
      <c r="H346" s="356">
        <v>0</v>
      </c>
      <c r="I346" s="356">
        <f t="shared" si="42"/>
        <v>-329.0675375962136</v>
      </c>
      <c r="J346" s="356">
        <f t="shared" si="43"/>
        <v>328738.47005861736</v>
      </c>
      <c r="M346" s="358"/>
      <c r="N346" s="356"/>
    </row>
    <row r="347" spans="1:14" x14ac:dyDescent="0.25">
      <c r="A347" s="356">
        <f t="shared" si="44"/>
        <v>324</v>
      </c>
      <c r="B347" s="357">
        <f t="shared" si="38"/>
        <v>26</v>
      </c>
      <c r="C347" s="357">
        <f t="shared" si="39"/>
        <v>12</v>
      </c>
      <c r="D347" s="357">
        <f t="shared" si="40"/>
        <v>55</v>
      </c>
      <c r="E347" s="356">
        <f t="shared" si="45"/>
        <v>328738.47005861736</v>
      </c>
      <c r="G347" s="356">
        <f t="shared" si="41"/>
        <v>2369.3244401645843</v>
      </c>
      <c r="H347" s="360">
        <f>-SUM(E347:G347)*$H$21</f>
        <v>-2979.970150489038</v>
      </c>
      <c r="I347" s="356">
        <f t="shared" si="42"/>
        <v>-331.10779449878197</v>
      </c>
      <c r="J347" s="356">
        <f t="shared" si="43"/>
        <v>327796.71655379416</v>
      </c>
      <c r="M347" s="358"/>
      <c r="N347" s="356"/>
    </row>
    <row r="348" spans="1:14" x14ac:dyDescent="0.25">
      <c r="A348" s="356">
        <f t="shared" si="44"/>
        <v>325</v>
      </c>
      <c r="B348" s="357">
        <f t="shared" si="38"/>
        <v>27</v>
      </c>
      <c r="C348" s="357">
        <f t="shared" si="39"/>
        <v>1</v>
      </c>
      <c r="D348" s="357">
        <f t="shared" si="40"/>
        <v>56</v>
      </c>
      <c r="E348" s="356">
        <f t="shared" si="45"/>
        <v>327796.71655379416</v>
      </c>
      <c r="G348" s="356">
        <f t="shared" si="41"/>
        <v>2362.536918171219</v>
      </c>
      <c r="H348" s="356">
        <v>0</v>
      </c>
      <c r="I348" s="356">
        <f t="shared" si="42"/>
        <v>-330.15925347196537</v>
      </c>
      <c r="J348" s="356">
        <f t="shared" si="43"/>
        <v>329829.09421849344</v>
      </c>
      <c r="M348" s="358"/>
      <c r="N348" s="356"/>
    </row>
    <row r="349" spans="1:14" x14ac:dyDescent="0.25">
      <c r="A349" s="356">
        <f t="shared" si="44"/>
        <v>326</v>
      </c>
      <c r="B349" s="357">
        <f t="shared" si="38"/>
        <v>27</v>
      </c>
      <c r="C349" s="357">
        <f t="shared" si="39"/>
        <v>2</v>
      </c>
      <c r="D349" s="357">
        <f t="shared" si="40"/>
        <v>56</v>
      </c>
      <c r="E349" s="356">
        <f t="shared" si="45"/>
        <v>329829.09421849344</v>
      </c>
      <c r="G349" s="356">
        <f t="shared" si="41"/>
        <v>2377.1849211012013</v>
      </c>
      <c r="H349" s="356">
        <v>0</v>
      </c>
      <c r="I349" s="356">
        <f t="shared" si="42"/>
        <v>-332.20627913959464</v>
      </c>
      <c r="J349" s="356">
        <f t="shared" si="43"/>
        <v>331874.072860455</v>
      </c>
      <c r="M349" s="358"/>
      <c r="N349" s="356"/>
    </row>
    <row r="350" spans="1:14" x14ac:dyDescent="0.25">
      <c r="A350" s="356">
        <f t="shared" si="44"/>
        <v>327</v>
      </c>
      <c r="B350" s="357">
        <f t="shared" si="38"/>
        <v>27</v>
      </c>
      <c r="C350" s="357">
        <f t="shared" si="39"/>
        <v>3</v>
      </c>
      <c r="D350" s="357">
        <f t="shared" si="40"/>
        <v>56</v>
      </c>
      <c r="E350" s="356">
        <f t="shared" si="45"/>
        <v>331874.072860455</v>
      </c>
      <c r="G350" s="356">
        <f t="shared" si="41"/>
        <v>2391.9237433484127</v>
      </c>
      <c r="H350" s="360">
        <f>-SUM(E350:G350)*$H$21</f>
        <v>-3008.393969434231</v>
      </c>
      <c r="I350" s="356">
        <f t="shared" si="42"/>
        <v>-334.26599660380344</v>
      </c>
      <c r="J350" s="356">
        <f t="shared" si="43"/>
        <v>330923.33663776534</v>
      </c>
      <c r="M350" s="358"/>
      <c r="N350" s="356"/>
    </row>
    <row r="351" spans="1:14" x14ac:dyDescent="0.25">
      <c r="A351" s="356">
        <f t="shared" si="44"/>
        <v>328</v>
      </c>
      <c r="B351" s="357">
        <f t="shared" si="38"/>
        <v>27</v>
      </c>
      <c r="C351" s="357">
        <f t="shared" si="39"/>
        <v>4</v>
      </c>
      <c r="D351" s="357">
        <f t="shared" si="40"/>
        <v>56</v>
      </c>
      <c r="E351" s="356">
        <f t="shared" si="45"/>
        <v>330923.33663776534</v>
      </c>
      <c r="G351" s="356">
        <f t="shared" si="41"/>
        <v>2385.0714800031255</v>
      </c>
      <c r="H351" s="356">
        <v>0</v>
      </c>
      <c r="I351" s="356">
        <f t="shared" si="42"/>
        <v>-333.30840811776847</v>
      </c>
      <c r="J351" s="356">
        <f t="shared" si="43"/>
        <v>332975.0997096507</v>
      </c>
      <c r="M351" s="358"/>
      <c r="N351" s="356"/>
    </row>
    <row r="352" spans="1:14" x14ac:dyDescent="0.25">
      <c r="A352" s="356">
        <f t="shared" si="44"/>
        <v>329</v>
      </c>
      <c r="B352" s="357">
        <f t="shared" si="38"/>
        <v>27</v>
      </c>
      <c r="C352" s="357">
        <f t="shared" si="39"/>
        <v>5</v>
      </c>
      <c r="D352" s="357">
        <f t="shared" si="40"/>
        <v>56</v>
      </c>
      <c r="E352" s="356">
        <f t="shared" si="45"/>
        <v>332975.0997096507</v>
      </c>
      <c r="G352" s="356">
        <f t="shared" si="41"/>
        <v>2399.859199830313</v>
      </c>
      <c r="H352" s="356">
        <v>0</v>
      </c>
      <c r="I352" s="356">
        <f t="shared" si="42"/>
        <v>-335.374958909481</v>
      </c>
      <c r="J352" s="356">
        <f t="shared" si="43"/>
        <v>335039.58395057154</v>
      </c>
      <c r="M352" s="358"/>
      <c r="N352" s="356"/>
    </row>
    <row r="353" spans="1:14" x14ac:dyDescent="0.25">
      <c r="A353" s="356">
        <f t="shared" si="44"/>
        <v>330</v>
      </c>
      <c r="B353" s="357">
        <f t="shared" si="38"/>
        <v>27</v>
      </c>
      <c r="C353" s="357">
        <f t="shared" si="39"/>
        <v>6</v>
      </c>
      <c r="D353" s="357">
        <f t="shared" si="40"/>
        <v>56</v>
      </c>
      <c r="E353" s="356">
        <f t="shared" si="45"/>
        <v>335039.58395057154</v>
      </c>
      <c r="G353" s="356">
        <f t="shared" si="41"/>
        <v>2414.7386052356987</v>
      </c>
      <c r="H353" s="360">
        <f>-SUM(E353:G353)*$H$21</f>
        <v>-3037.0889030022654</v>
      </c>
      <c r="I353" s="356">
        <f t="shared" si="42"/>
        <v>-337.45432255580727</v>
      </c>
      <c r="J353" s="356">
        <f t="shared" si="43"/>
        <v>334079.7793302492</v>
      </c>
      <c r="M353" s="358"/>
      <c r="N353" s="356"/>
    </row>
    <row r="354" spans="1:14" x14ac:dyDescent="0.25">
      <c r="A354" s="356">
        <f t="shared" si="44"/>
        <v>331</v>
      </c>
      <c r="B354" s="357">
        <f t="shared" si="38"/>
        <v>27</v>
      </c>
      <c r="C354" s="357">
        <f t="shared" si="39"/>
        <v>7</v>
      </c>
      <c r="D354" s="357">
        <f t="shared" si="40"/>
        <v>56</v>
      </c>
      <c r="E354" s="356">
        <f t="shared" si="45"/>
        <v>334079.7793302492</v>
      </c>
      <c r="G354" s="356">
        <f t="shared" si="41"/>
        <v>2407.820983016714</v>
      </c>
      <c r="H354" s="356">
        <v>0</v>
      </c>
      <c r="I354" s="356">
        <f t="shared" si="42"/>
        <v>-336.4876003132659</v>
      </c>
      <c r="J354" s="356">
        <f t="shared" si="43"/>
        <v>336151.1127129526</v>
      </c>
      <c r="M354" s="358"/>
      <c r="N354" s="356"/>
    </row>
    <row r="355" spans="1:14" x14ac:dyDescent="0.25">
      <c r="A355" s="356">
        <f t="shared" si="44"/>
        <v>332</v>
      </c>
      <c r="B355" s="357">
        <f t="shared" si="38"/>
        <v>27</v>
      </c>
      <c r="C355" s="357">
        <f t="shared" si="39"/>
        <v>8</v>
      </c>
      <c r="D355" s="357">
        <f t="shared" si="40"/>
        <v>56</v>
      </c>
      <c r="E355" s="356">
        <f t="shared" si="45"/>
        <v>336151.1127129526</v>
      </c>
      <c r="G355" s="356">
        <f t="shared" si="41"/>
        <v>2422.7497524013643</v>
      </c>
      <c r="H355" s="356">
        <v>0</v>
      </c>
      <c r="I355" s="356">
        <f t="shared" si="42"/>
        <v>-338.57386246535395</v>
      </c>
      <c r="J355" s="356">
        <f t="shared" si="43"/>
        <v>338235.28860288864</v>
      </c>
      <c r="M355" s="358"/>
      <c r="N355" s="356"/>
    </row>
    <row r="356" spans="1:14" x14ac:dyDescent="0.25">
      <c r="A356" s="356">
        <f t="shared" si="44"/>
        <v>333</v>
      </c>
      <c r="B356" s="357">
        <f t="shared" ref="B356:B419" si="46">B344+1</f>
        <v>27</v>
      </c>
      <c r="C356" s="357">
        <f t="shared" ref="C356:C419" si="47">C344</f>
        <v>9</v>
      </c>
      <c r="D356" s="357">
        <f t="shared" ref="D356:D419" si="48">D344+1</f>
        <v>56</v>
      </c>
      <c r="E356" s="356">
        <f t="shared" si="45"/>
        <v>338235.28860288864</v>
      </c>
      <c r="G356" s="356">
        <f t="shared" si="41"/>
        <v>2437.7710818878304</v>
      </c>
      <c r="H356" s="360">
        <f>-SUM(E356:G356)*$H$21</f>
        <v>-3066.0575371629884</v>
      </c>
      <c r="I356" s="356">
        <f t="shared" si="42"/>
        <v>-340.6730596847765</v>
      </c>
      <c r="J356" s="356">
        <f t="shared" si="43"/>
        <v>337266.32908792875</v>
      </c>
      <c r="M356" s="358"/>
      <c r="N356" s="356"/>
    </row>
    <row r="357" spans="1:14" x14ac:dyDescent="0.25">
      <c r="A357" s="356">
        <f t="shared" si="44"/>
        <v>334</v>
      </c>
      <c r="B357" s="357">
        <f t="shared" si="46"/>
        <v>27</v>
      </c>
      <c r="C357" s="357">
        <f t="shared" si="47"/>
        <v>10</v>
      </c>
      <c r="D357" s="357">
        <f t="shared" si="48"/>
        <v>56</v>
      </c>
      <c r="E357" s="356">
        <f t="shared" si="45"/>
        <v>337266.32908792875</v>
      </c>
      <c r="G357" s="356">
        <f t="shared" si="41"/>
        <v>2430.7874773832673</v>
      </c>
      <c r="H357" s="356">
        <v>0</v>
      </c>
      <c r="I357" s="356">
        <f t="shared" si="42"/>
        <v>-339.69711656531206</v>
      </c>
      <c r="J357" s="356">
        <f t="shared" si="43"/>
        <v>339357.4194487467</v>
      </c>
      <c r="M357" s="358"/>
      <c r="N357" s="356"/>
    </row>
    <row r="358" spans="1:14" x14ac:dyDescent="0.25">
      <c r="A358" s="356">
        <f t="shared" si="44"/>
        <v>335</v>
      </c>
      <c r="B358" s="357">
        <f t="shared" si="46"/>
        <v>27</v>
      </c>
      <c r="C358" s="357">
        <f t="shared" si="47"/>
        <v>11</v>
      </c>
      <c r="D358" s="357">
        <f t="shared" si="48"/>
        <v>56</v>
      </c>
      <c r="E358" s="356">
        <f t="shared" si="45"/>
        <v>339357.4194487467</v>
      </c>
      <c r="G358" s="356">
        <f t="shared" si="41"/>
        <v>2445.8586416969397</v>
      </c>
      <c r="H358" s="356">
        <v>0</v>
      </c>
      <c r="I358" s="356">
        <f t="shared" si="42"/>
        <v>-341.80327809044365</v>
      </c>
      <c r="J358" s="356">
        <f t="shared" si="43"/>
        <v>341461.4748123532</v>
      </c>
      <c r="M358" s="358"/>
      <c r="N358" s="356"/>
    </row>
    <row r="359" spans="1:14" x14ac:dyDescent="0.25">
      <c r="A359" s="356">
        <f t="shared" si="44"/>
        <v>336</v>
      </c>
      <c r="B359" s="357">
        <f t="shared" si="46"/>
        <v>27</v>
      </c>
      <c r="C359" s="357">
        <f t="shared" si="47"/>
        <v>12</v>
      </c>
      <c r="D359" s="357">
        <f t="shared" si="48"/>
        <v>56</v>
      </c>
      <c r="E359" s="356">
        <f t="shared" si="45"/>
        <v>341461.4748123532</v>
      </c>
      <c r="G359" s="356">
        <f t="shared" si="41"/>
        <v>2461.023248977503</v>
      </c>
      <c r="H359" s="360">
        <f>-SUM(E359:G359)*$H$21</f>
        <v>-3095.3024825519765</v>
      </c>
      <c r="I359" s="356">
        <f t="shared" si="42"/>
        <v>-343.9224980613307</v>
      </c>
      <c r="J359" s="356">
        <f t="shared" si="43"/>
        <v>340483.2730807174</v>
      </c>
      <c r="M359" s="358"/>
      <c r="N359" s="356"/>
    </row>
    <row r="360" spans="1:14" x14ac:dyDescent="0.25">
      <c r="A360" s="356">
        <f t="shared" si="44"/>
        <v>337</v>
      </c>
      <c r="B360" s="357">
        <f t="shared" si="46"/>
        <v>28</v>
      </c>
      <c r="C360" s="357">
        <f t="shared" si="47"/>
        <v>1</v>
      </c>
      <c r="D360" s="357">
        <f t="shared" si="48"/>
        <v>57</v>
      </c>
      <c r="E360" s="356">
        <f t="shared" si="45"/>
        <v>340483.2730807174</v>
      </c>
      <c r="G360" s="356">
        <f t="shared" si="41"/>
        <v>2453.9730328291994</v>
      </c>
      <c r="H360" s="356">
        <v>0</v>
      </c>
      <c r="I360" s="356">
        <f t="shared" si="42"/>
        <v>-342.9372461135466</v>
      </c>
      <c r="J360" s="356">
        <f t="shared" si="43"/>
        <v>342594.30886743305</v>
      </c>
      <c r="M360" s="358"/>
      <c r="N360" s="356"/>
    </row>
    <row r="361" spans="1:14" x14ac:dyDescent="0.25">
      <c r="A361" s="356">
        <f t="shared" si="44"/>
        <v>338</v>
      </c>
      <c r="B361" s="357">
        <f t="shared" si="46"/>
        <v>28</v>
      </c>
      <c r="C361" s="357">
        <f t="shared" si="47"/>
        <v>2</v>
      </c>
      <c r="D361" s="357">
        <f t="shared" si="48"/>
        <v>57</v>
      </c>
      <c r="E361" s="356">
        <f t="shared" si="45"/>
        <v>342594.30886743305</v>
      </c>
      <c r="G361" s="356">
        <f t="shared" si="41"/>
        <v>2469.187950275994</v>
      </c>
      <c r="H361" s="356">
        <v>0</v>
      </c>
      <c r="I361" s="356">
        <f t="shared" si="42"/>
        <v>-345.06349681770905</v>
      </c>
      <c r="J361" s="356">
        <f t="shared" si="43"/>
        <v>344718.43332089134</v>
      </c>
      <c r="M361" s="358"/>
      <c r="N361" s="356"/>
    </row>
    <row r="362" spans="1:14" x14ac:dyDescent="0.25">
      <c r="A362" s="356">
        <f t="shared" si="44"/>
        <v>339</v>
      </c>
      <c r="B362" s="357">
        <f t="shared" si="46"/>
        <v>28</v>
      </c>
      <c r="C362" s="357">
        <f t="shared" si="47"/>
        <v>3</v>
      </c>
      <c r="D362" s="357">
        <f t="shared" si="48"/>
        <v>57</v>
      </c>
      <c r="E362" s="356">
        <f t="shared" si="45"/>
        <v>344718.43332089134</v>
      </c>
      <c r="G362" s="356">
        <f t="shared" si="41"/>
        <v>2484.4972019757797</v>
      </c>
      <c r="H362" s="360">
        <f>-SUM(E362:G362)*$H$21</f>
        <v>-3124.8263747058045</v>
      </c>
      <c r="I362" s="356">
        <f t="shared" si="42"/>
        <v>-347.2029305228671</v>
      </c>
      <c r="J362" s="356">
        <f t="shared" si="43"/>
        <v>343730.90121763846</v>
      </c>
      <c r="M362" s="358"/>
      <c r="N362" s="356"/>
    </row>
    <row r="363" spans="1:14" x14ac:dyDescent="0.25">
      <c r="A363" s="356">
        <f t="shared" si="44"/>
        <v>340</v>
      </c>
      <c r="B363" s="357">
        <f t="shared" si="46"/>
        <v>28</v>
      </c>
      <c r="C363" s="357">
        <f t="shared" si="47"/>
        <v>4</v>
      </c>
      <c r="D363" s="357">
        <f t="shared" si="48"/>
        <v>57</v>
      </c>
      <c r="E363" s="356">
        <f t="shared" si="45"/>
        <v>343730.90121763846</v>
      </c>
      <c r="G363" s="356">
        <f t="shared" si="41"/>
        <v>2477.3797388225717</v>
      </c>
      <c r="H363" s="356">
        <v>0</v>
      </c>
      <c r="I363" s="356">
        <f t="shared" si="42"/>
        <v>-346.20828095646107</v>
      </c>
      <c r="J363" s="356">
        <f t="shared" si="43"/>
        <v>345862.07267550455</v>
      </c>
      <c r="M363" s="358"/>
      <c r="N363" s="356"/>
    </row>
    <row r="364" spans="1:14" x14ac:dyDescent="0.25">
      <c r="A364" s="356">
        <f t="shared" si="44"/>
        <v>341</v>
      </c>
      <c r="B364" s="357">
        <f t="shared" si="46"/>
        <v>28</v>
      </c>
      <c r="C364" s="357">
        <f t="shared" si="47"/>
        <v>5</v>
      </c>
      <c r="D364" s="357">
        <f t="shared" si="48"/>
        <v>57</v>
      </c>
      <c r="E364" s="356">
        <f t="shared" si="45"/>
        <v>345862.07267550455</v>
      </c>
      <c r="G364" s="356">
        <f t="shared" si="41"/>
        <v>2492.739780561535</v>
      </c>
      <c r="H364" s="356">
        <v>0</v>
      </c>
      <c r="I364" s="356">
        <f t="shared" si="42"/>
        <v>-348.3548124560661</v>
      </c>
      <c r="J364" s="356">
        <f t="shared" si="43"/>
        <v>348006.45764361</v>
      </c>
      <c r="M364" s="358"/>
      <c r="N364" s="356"/>
    </row>
    <row r="365" spans="1:14" x14ac:dyDescent="0.25">
      <c r="A365" s="356">
        <f t="shared" si="44"/>
        <v>342</v>
      </c>
      <c r="B365" s="357">
        <f t="shared" si="46"/>
        <v>28</v>
      </c>
      <c r="C365" s="357">
        <f t="shared" si="47"/>
        <v>6</v>
      </c>
      <c r="D365" s="357">
        <f t="shared" si="48"/>
        <v>57</v>
      </c>
      <c r="E365" s="356">
        <f t="shared" si="45"/>
        <v>348006.45764361</v>
      </c>
      <c r="G365" s="356">
        <f t="shared" si="41"/>
        <v>2508.195056340935</v>
      </c>
      <c r="H365" s="360">
        <f>-SUM(E365:G365)*$H$21</f>
        <v>-3154.631874299559</v>
      </c>
      <c r="I365" s="356">
        <f t="shared" si="42"/>
        <v>-350.514652699951</v>
      </c>
      <c r="J365" s="356">
        <f t="shared" si="43"/>
        <v>347009.5061729515</v>
      </c>
      <c r="M365" s="358"/>
      <c r="N365" s="356"/>
    </row>
    <row r="366" spans="1:14" x14ac:dyDescent="0.25">
      <c r="A366" s="356">
        <f t="shared" si="44"/>
        <v>343</v>
      </c>
      <c r="B366" s="357">
        <f t="shared" si="46"/>
        <v>28</v>
      </c>
      <c r="C366" s="357">
        <f t="shared" si="47"/>
        <v>7</v>
      </c>
      <c r="D366" s="357">
        <f t="shared" si="48"/>
        <v>57</v>
      </c>
      <c r="E366" s="356">
        <f t="shared" si="45"/>
        <v>347009.5061729515</v>
      </c>
      <c r="G366" s="356">
        <f t="shared" si="41"/>
        <v>2501.009704761401</v>
      </c>
      <c r="H366" s="356">
        <v>0</v>
      </c>
      <c r="I366" s="356">
        <f t="shared" si="42"/>
        <v>-349.51051587771286</v>
      </c>
      <c r="J366" s="356">
        <f t="shared" si="43"/>
        <v>349161.0053618352</v>
      </c>
      <c r="M366" s="358"/>
      <c r="N366" s="356"/>
    </row>
    <row r="367" spans="1:14" x14ac:dyDescent="0.25">
      <c r="A367" s="356">
        <f t="shared" si="44"/>
        <v>344</v>
      </c>
      <c r="B367" s="357">
        <f t="shared" si="46"/>
        <v>28</v>
      </c>
      <c r="C367" s="357">
        <f t="shared" si="47"/>
        <v>8</v>
      </c>
      <c r="D367" s="357">
        <f t="shared" si="48"/>
        <v>57</v>
      </c>
      <c r="E367" s="356">
        <f t="shared" si="45"/>
        <v>349161.0053618352</v>
      </c>
      <c r="G367" s="356">
        <f t="shared" si="41"/>
        <v>2516.5162550300915</v>
      </c>
      <c r="H367" s="356">
        <v>0</v>
      </c>
      <c r="I367" s="356">
        <f t="shared" si="42"/>
        <v>-351.6775216168653</v>
      </c>
      <c r="J367" s="356">
        <f t="shared" si="43"/>
        <v>351325.84409524844</v>
      </c>
      <c r="M367" s="358"/>
      <c r="N367" s="356"/>
    </row>
    <row r="368" spans="1:14" x14ac:dyDescent="0.25">
      <c r="A368" s="356">
        <f t="shared" si="44"/>
        <v>345</v>
      </c>
      <c r="B368" s="357">
        <f t="shared" si="46"/>
        <v>28</v>
      </c>
      <c r="C368" s="357">
        <f t="shared" si="47"/>
        <v>9</v>
      </c>
      <c r="D368" s="357">
        <f t="shared" si="48"/>
        <v>57</v>
      </c>
      <c r="E368" s="356">
        <f t="shared" si="45"/>
        <v>351325.84409524844</v>
      </c>
      <c r="G368" s="356">
        <f t="shared" si="41"/>
        <v>2532.1189477090966</v>
      </c>
      <c r="H368" s="360">
        <f>-SUM(E368:G368)*$H$21</f>
        <v>-3184.7216673866183</v>
      </c>
      <c r="I368" s="356">
        <f t="shared" si="42"/>
        <v>-353.8579630429575</v>
      </c>
      <c r="J368" s="356">
        <f t="shared" si="43"/>
        <v>350319.38341252797</v>
      </c>
      <c r="M368" s="358"/>
      <c r="N368" s="356"/>
    </row>
    <row r="369" spans="1:14" x14ac:dyDescent="0.25">
      <c r="A369" s="356">
        <f t="shared" si="44"/>
        <v>346</v>
      </c>
      <c r="B369" s="357">
        <f t="shared" si="46"/>
        <v>28</v>
      </c>
      <c r="C369" s="357">
        <f t="shared" si="47"/>
        <v>10</v>
      </c>
      <c r="D369" s="357">
        <f t="shared" si="48"/>
        <v>57</v>
      </c>
      <c r="E369" s="356">
        <f t="shared" si="45"/>
        <v>350319.38341252797</v>
      </c>
      <c r="G369" s="356">
        <f t="shared" si="41"/>
        <v>2524.8650601637505</v>
      </c>
      <c r="H369" s="356">
        <v>0</v>
      </c>
      <c r="I369" s="356">
        <f t="shared" si="42"/>
        <v>-352.84424847269173</v>
      </c>
      <c r="J369" s="356">
        <f t="shared" si="43"/>
        <v>352491.40422421903</v>
      </c>
      <c r="M369" s="358"/>
      <c r="N369" s="356"/>
    </row>
    <row r="370" spans="1:14" x14ac:dyDescent="0.25">
      <c r="A370" s="356">
        <f t="shared" si="44"/>
        <v>347</v>
      </c>
      <c r="B370" s="357">
        <f t="shared" si="46"/>
        <v>28</v>
      </c>
      <c r="C370" s="357">
        <f t="shared" si="47"/>
        <v>11</v>
      </c>
      <c r="D370" s="357">
        <f t="shared" si="48"/>
        <v>57</v>
      </c>
      <c r="E370" s="356">
        <f t="shared" si="45"/>
        <v>352491.40422421903</v>
      </c>
      <c r="G370" s="356">
        <f t="shared" si="41"/>
        <v>2540.519516402986</v>
      </c>
      <c r="H370" s="356">
        <v>0</v>
      </c>
      <c r="I370" s="356">
        <f t="shared" si="42"/>
        <v>-355.031923740622</v>
      </c>
      <c r="J370" s="356">
        <f t="shared" si="43"/>
        <v>354676.89181688137</v>
      </c>
      <c r="M370" s="358"/>
      <c r="N370" s="356"/>
    </row>
    <row r="371" spans="1:14" x14ac:dyDescent="0.25">
      <c r="A371" s="356">
        <f t="shared" si="44"/>
        <v>348</v>
      </c>
      <c r="B371" s="357">
        <f t="shared" si="46"/>
        <v>28</v>
      </c>
      <c r="C371" s="357">
        <f t="shared" si="47"/>
        <v>12</v>
      </c>
      <c r="D371" s="357">
        <f t="shared" si="48"/>
        <v>57</v>
      </c>
      <c r="E371" s="356">
        <f t="shared" si="45"/>
        <v>354676.89181688137</v>
      </c>
      <c r="G371" s="356">
        <f t="shared" si="41"/>
        <v>2556.2710320867086</v>
      </c>
      <c r="H371" s="360">
        <f>-SUM(E371:G371)*$H$21</f>
        <v>-3215.098465640713</v>
      </c>
      <c r="I371" s="356">
        <f t="shared" si="42"/>
        <v>-357.23316284896805</v>
      </c>
      <c r="J371" s="356">
        <f t="shared" si="43"/>
        <v>353660.83122047834</v>
      </c>
      <c r="M371" s="358"/>
      <c r="N371" s="356"/>
    </row>
    <row r="372" spans="1:14" x14ac:dyDescent="0.25">
      <c r="A372" s="356">
        <f t="shared" si="44"/>
        <v>349</v>
      </c>
      <c r="B372" s="357">
        <f t="shared" si="46"/>
        <v>29</v>
      </c>
      <c r="C372" s="357">
        <f t="shared" si="47"/>
        <v>1</v>
      </c>
      <c r="D372" s="357">
        <f t="shared" si="48"/>
        <v>58</v>
      </c>
      <c r="E372" s="356">
        <f t="shared" si="45"/>
        <v>353660.83122047834</v>
      </c>
      <c r="G372" s="356">
        <f t="shared" si="41"/>
        <v>2548.947954859645</v>
      </c>
      <c r="H372" s="356">
        <v>0</v>
      </c>
      <c r="I372" s="356">
        <f t="shared" si="42"/>
        <v>-356.209779175338</v>
      </c>
      <c r="J372" s="356">
        <f t="shared" si="43"/>
        <v>355853.56939616264</v>
      </c>
      <c r="M372" s="358"/>
      <c r="N372" s="356"/>
    </row>
    <row r="373" spans="1:14" x14ac:dyDescent="0.25">
      <c r="A373" s="356">
        <f t="shared" si="44"/>
        <v>350</v>
      </c>
      <c r="B373" s="357">
        <f t="shared" si="46"/>
        <v>29</v>
      </c>
      <c r="C373" s="357">
        <f t="shared" si="47"/>
        <v>2</v>
      </c>
      <c r="D373" s="357">
        <f t="shared" si="48"/>
        <v>58</v>
      </c>
      <c r="E373" s="356">
        <f t="shared" si="45"/>
        <v>355853.56939616264</v>
      </c>
      <c r="G373" s="356">
        <f t="shared" si="41"/>
        <v>2564.751727839438</v>
      </c>
      <c r="H373" s="356">
        <v>0</v>
      </c>
      <c r="I373" s="356">
        <f t="shared" si="42"/>
        <v>-358.4183211240021</v>
      </c>
      <c r="J373" s="356">
        <f t="shared" si="43"/>
        <v>358059.9028028781</v>
      </c>
      <c r="M373" s="358"/>
      <c r="N373" s="356"/>
    </row>
    <row r="374" spans="1:14" x14ac:dyDescent="0.25">
      <c r="A374" s="356">
        <f t="shared" si="44"/>
        <v>351</v>
      </c>
      <c r="B374" s="357">
        <f t="shared" si="46"/>
        <v>29</v>
      </c>
      <c r="C374" s="357">
        <f t="shared" si="47"/>
        <v>3</v>
      </c>
      <c r="D374" s="357">
        <f t="shared" si="48"/>
        <v>58</v>
      </c>
      <c r="E374" s="356">
        <f t="shared" si="45"/>
        <v>358059.9028028781</v>
      </c>
      <c r="G374" s="356">
        <f t="shared" si="41"/>
        <v>2580.6534860448296</v>
      </c>
      <c r="H374" s="360">
        <f>-SUM(E374:G374)*$H$21</f>
        <v>-3245.765006600307</v>
      </c>
      <c r="I374" s="356">
        <f t="shared" si="42"/>
        <v>-360.640556288923</v>
      </c>
      <c r="J374" s="356">
        <f t="shared" si="43"/>
        <v>357034.1507260337</v>
      </c>
      <c r="M374" s="358"/>
      <c r="N374" s="356"/>
    </row>
    <row r="375" spans="1:14" x14ac:dyDescent="0.25">
      <c r="A375" s="356">
        <f t="shared" si="44"/>
        <v>352</v>
      </c>
      <c r="B375" s="357">
        <f t="shared" si="46"/>
        <v>29</v>
      </c>
      <c r="C375" s="357">
        <f t="shared" si="47"/>
        <v>4</v>
      </c>
      <c r="D375" s="357">
        <f t="shared" si="48"/>
        <v>58</v>
      </c>
      <c r="E375" s="356">
        <f t="shared" si="45"/>
        <v>357034.1507260337</v>
      </c>
      <c r="G375" s="356">
        <f t="shared" si="41"/>
        <v>2573.2605591848132</v>
      </c>
      <c r="H375" s="356">
        <v>0</v>
      </c>
      <c r="I375" s="356">
        <f t="shared" si="42"/>
        <v>-359.6074112852186</v>
      </c>
      <c r="J375" s="356">
        <f t="shared" si="43"/>
        <v>359247.8038739333</v>
      </c>
      <c r="M375" s="358"/>
      <c r="N375" s="356"/>
    </row>
    <row r="376" spans="1:14" x14ac:dyDescent="0.25">
      <c r="A376" s="356">
        <f t="shared" si="44"/>
        <v>353</v>
      </c>
      <c r="B376" s="357">
        <f t="shared" si="46"/>
        <v>29</v>
      </c>
      <c r="C376" s="357">
        <f t="shared" si="47"/>
        <v>5</v>
      </c>
      <c r="D376" s="357">
        <f t="shared" si="48"/>
        <v>58</v>
      </c>
      <c r="E376" s="356">
        <f t="shared" si="45"/>
        <v>359247.8038739333</v>
      </c>
      <c r="G376" s="356">
        <f t="shared" si="41"/>
        <v>2589.2150731315096</v>
      </c>
      <c r="H376" s="356">
        <v>0</v>
      </c>
      <c r="I376" s="356">
        <f t="shared" si="42"/>
        <v>-361.83701894706485</v>
      </c>
      <c r="J376" s="356">
        <f t="shared" si="43"/>
        <v>361475.18192811776</v>
      </c>
      <c r="M376" s="358"/>
      <c r="N376" s="356"/>
    </row>
    <row r="377" spans="1:14" x14ac:dyDescent="0.25">
      <c r="A377" s="356">
        <f t="shared" si="44"/>
        <v>354</v>
      </c>
      <c r="B377" s="357">
        <f t="shared" si="46"/>
        <v>29</v>
      </c>
      <c r="C377" s="357">
        <f t="shared" si="47"/>
        <v>6</v>
      </c>
      <c r="D377" s="357">
        <f t="shared" si="48"/>
        <v>58</v>
      </c>
      <c r="E377" s="356">
        <f t="shared" si="45"/>
        <v>361475.18192811776</v>
      </c>
      <c r="G377" s="356">
        <f t="shared" si="41"/>
        <v>2605.2685069152844</v>
      </c>
      <c r="H377" s="360">
        <f>-SUM(E377:G377)*$H$21</f>
        <v>-3276.724053915298</v>
      </c>
      <c r="I377" s="356">
        <f t="shared" si="42"/>
        <v>-364.0804504350331</v>
      </c>
      <c r="J377" s="356">
        <f t="shared" si="43"/>
        <v>360439.6459306827</v>
      </c>
      <c r="M377" s="358"/>
      <c r="N377" s="356"/>
    </row>
    <row r="378" spans="1:14" x14ac:dyDescent="0.25">
      <c r="A378" s="356">
        <f t="shared" si="44"/>
        <v>355</v>
      </c>
      <c r="B378" s="357">
        <f t="shared" si="46"/>
        <v>29</v>
      </c>
      <c r="C378" s="357">
        <f t="shared" si="47"/>
        <v>7</v>
      </c>
      <c r="D378" s="357">
        <f t="shared" si="48"/>
        <v>58</v>
      </c>
      <c r="E378" s="356">
        <f t="shared" si="45"/>
        <v>360439.6459306827</v>
      </c>
      <c r="G378" s="356">
        <f t="shared" si="41"/>
        <v>2597.8050641762716</v>
      </c>
      <c r="H378" s="356">
        <v>0</v>
      </c>
      <c r="I378" s="356">
        <f t="shared" si="42"/>
        <v>-363.037450994859</v>
      </c>
      <c r="J378" s="356">
        <f t="shared" si="43"/>
        <v>362674.41354386415</v>
      </c>
      <c r="M378" s="358"/>
      <c r="N378" s="356"/>
    </row>
    <row r="379" spans="1:14" x14ac:dyDescent="0.25">
      <c r="A379" s="356">
        <f t="shared" si="44"/>
        <v>356</v>
      </c>
      <c r="B379" s="357">
        <f t="shared" si="46"/>
        <v>29</v>
      </c>
      <c r="C379" s="357">
        <f t="shared" si="47"/>
        <v>8</v>
      </c>
      <c r="D379" s="357">
        <f t="shared" si="48"/>
        <v>58</v>
      </c>
      <c r="E379" s="356">
        <f t="shared" si="45"/>
        <v>362674.41354386415</v>
      </c>
      <c r="G379" s="356">
        <f t="shared" si="41"/>
        <v>2613.9117569009018</v>
      </c>
      <c r="H379" s="356">
        <v>0</v>
      </c>
      <c r="I379" s="356">
        <f t="shared" si="42"/>
        <v>-365.28832530076505</v>
      </c>
      <c r="J379" s="356">
        <f t="shared" si="43"/>
        <v>364923.03697546426</v>
      </c>
      <c r="M379" s="358"/>
      <c r="N379" s="356"/>
    </row>
    <row r="380" spans="1:14" x14ac:dyDescent="0.25">
      <c r="A380" s="356">
        <f t="shared" si="44"/>
        <v>357</v>
      </c>
      <c r="B380" s="357">
        <f t="shared" si="46"/>
        <v>29</v>
      </c>
      <c r="C380" s="357">
        <f t="shared" si="47"/>
        <v>9</v>
      </c>
      <c r="D380" s="357">
        <f t="shared" si="48"/>
        <v>58</v>
      </c>
      <c r="E380" s="356">
        <f t="shared" si="45"/>
        <v>364923.03697546426</v>
      </c>
      <c r="G380" s="356">
        <f t="shared" si="41"/>
        <v>2630.1183129886845</v>
      </c>
      <c r="H380" s="360">
        <f>-SUM(E380:G380)*$H$21</f>
        <v>-3307.978397596077</v>
      </c>
      <c r="I380" s="356">
        <f t="shared" si="42"/>
        <v>-367.55315528845296</v>
      </c>
      <c r="J380" s="356">
        <f t="shared" si="43"/>
        <v>363877.62373556837</v>
      </c>
      <c r="M380" s="358"/>
      <c r="N380" s="356"/>
    </row>
    <row r="381" spans="1:14" x14ac:dyDescent="0.25">
      <c r="A381" s="356">
        <f t="shared" si="44"/>
        <v>358</v>
      </c>
      <c r="B381" s="357">
        <f t="shared" si="46"/>
        <v>29</v>
      </c>
      <c r="C381" s="357">
        <f t="shared" si="47"/>
        <v>10</v>
      </c>
      <c r="D381" s="357">
        <f t="shared" si="48"/>
        <v>58</v>
      </c>
      <c r="E381" s="356">
        <f t="shared" si="45"/>
        <v>363877.62373556837</v>
      </c>
      <c r="G381" s="356">
        <f t="shared" si="41"/>
        <v>2622.5836817697846</v>
      </c>
      <c r="H381" s="356">
        <v>0</v>
      </c>
      <c r="I381" s="356">
        <f t="shared" si="42"/>
        <v>-366.5002074173382</v>
      </c>
      <c r="J381" s="356">
        <f t="shared" si="43"/>
        <v>366133.7072099208</v>
      </c>
      <c r="M381" s="358"/>
      <c r="N381" s="356"/>
    </row>
    <row r="382" spans="1:14" x14ac:dyDescent="0.25">
      <c r="A382" s="356">
        <f t="shared" si="44"/>
        <v>359</v>
      </c>
      <c r="B382" s="357">
        <f t="shared" si="46"/>
        <v>29</v>
      </c>
      <c r="C382" s="357">
        <f t="shared" si="47"/>
        <v>11</v>
      </c>
      <c r="D382" s="357">
        <f t="shared" si="48"/>
        <v>58</v>
      </c>
      <c r="E382" s="356">
        <f t="shared" si="45"/>
        <v>366133.7072099208</v>
      </c>
      <c r="G382" s="356">
        <f t="shared" si="41"/>
        <v>2638.8440047976355</v>
      </c>
      <c r="H382" s="356">
        <v>0</v>
      </c>
      <c r="I382" s="356">
        <f t="shared" si="42"/>
        <v>-368.7725512147184</v>
      </c>
      <c r="J382" s="356">
        <f t="shared" si="43"/>
        <v>368403.7786635037</v>
      </c>
      <c r="M382" s="358"/>
      <c r="N382" s="356"/>
    </row>
    <row r="383" spans="1:14" x14ac:dyDescent="0.25">
      <c r="A383" s="356">
        <f t="shared" si="44"/>
        <v>360</v>
      </c>
      <c r="B383" s="357">
        <f t="shared" si="46"/>
        <v>29</v>
      </c>
      <c r="C383" s="357">
        <f t="shared" si="47"/>
        <v>12</v>
      </c>
      <c r="D383" s="357">
        <f t="shared" si="48"/>
        <v>58</v>
      </c>
      <c r="E383" s="356">
        <f t="shared" si="45"/>
        <v>368403.7786635037</v>
      </c>
      <c r="G383" s="356">
        <f t="shared" si="41"/>
        <v>2655.20514371434</v>
      </c>
      <c r="H383" s="360">
        <f>-SUM(E383:G383)*$H$21</f>
        <v>-3339.5308542649627</v>
      </c>
      <c r="I383" s="356">
        <f t="shared" si="42"/>
        <v>-371.05898380721806</v>
      </c>
      <c r="J383" s="356">
        <f t="shared" si="43"/>
        <v>367348.39396914584</v>
      </c>
      <c r="M383" s="358"/>
      <c r="N383" s="356"/>
    </row>
    <row r="384" spans="1:14" x14ac:dyDescent="0.25">
      <c r="A384" s="356">
        <f t="shared" si="44"/>
        <v>361</v>
      </c>
      <c r="B384" s="357">
        <f t="shared" si="46"/>
        <v>30</v>
      </c>
      <c r="C384" s="357">
        <f t="shared" si="47"/>
        <v>1</v>
      </c>
      <c r="D384" s="357">
        <f t="shared" si="48"/>
        <v>59</v>
      </c>
      <c r="E384" s="356">
        <f t="shared" si="45"/>
        <v>367348.39396914584</v>
      </c>
      <c r="G384" s="356">
        <f t="shared" si="41"/>
        <v>2647.598644999201</v>
      </c>
      <c r="H384" s="356">
        <v>0</v>
      </c>
      <c r="I384" s="356">
        <f t="shared" si="42"/>
        <v>-369.99599261414505</v>
      </c>
      <c r="J384" s="356">
        <f t="shared" si="43"/>
        <v>369625.9966215309</v>
      </c>
      <c r="M384" s="358"/>
      <c r="N384" s="356"/>
    </row>
    <row r="385" spans="1:14" x14ac:dyDescent="0.25">
      <c r="A385" s="356">
        <f t="shared" si="44"/>
        <v>362</v>
      </c>
      <c r="B385" s="357">
        <f t="shared" si="46"/>
        <v>30</v>
      </c>
      <c r="C385" s="357">
        <f t="shared" si="47"/>
        <v>2</v>
      </c>
      <c r="D385" s="357">
        <f t="shared" si="48"/>
        <v>59</v>
      </c>
      <c r="E385" s="356">
        <f t="shared" si="45"/>
        <v>369625.9966215309</v>
      </c>
      <c r="G385" s="356">
        <f t="shared" si="41"/>
        <v>2664.0140637006307</v>
      </c>
      <c r="H385" s="356">
        <v>0</v>
      </c>
      <c r="I385" s="356">
        <f t="shared" si="42"/>
        <v>-372.29001068523155</v>
      </c>
      <c r="J385" s="356">
        <f t="shared" si="43"/>
        <v>371917.7206745463</v>
      </c>
      <c r="M385" s="358"/>
      <c r="N385" s="356"/>
    </row>
    <row r="386" spans="1:14" x14ac:dyDescent="0.25">
      <c r="A386" s="356">
        <f t="shared" si="44"/>
        <v>363</v>
      </c>
      <c r="B386" s="357">
        <f t="shared" si="46"/>
        <v>30</v>
      </c>
      <c r="C386" s="357">
        <f t="shared" si="47"/>
        <v>3</v>
      </c>
      <c r="D386" s="357">
        <f t="shared" si="48"/>
        <v>59</v>
      </c>
      <c r="E386" s="356">
        <f t="shared" si="45"/>
        <v>371917.7206745463</v>
      </c>
      <c r="G386" s="356">
        <f t="shared" si="41"/>
        <v>2680.53125990208</v>
      </c>
      <c r="H386" s="360">
        <f>-SUM(E386:G386)*$H$21</f>
        <v>-3371.3842674100356</v>
      </c>
      <c r="I386" s="356">
        <f t="shared" si="42"/>
        <v>-374.5982519344484</v>
      </c>
      <c r="J386" s="356">
        <f t="shared" si="43"/>
        <v>370852.2694151039</v>
      </c>
      <c r="M386" s="358"/>
      <c r="N386" s="356"/>
    </row>
    <row r="387" spans="1:14" x14ac:dyDescent="0.25">
      <c r="A387" s="356">
        <f t="shared" si="44"/>
        <v>364</v>
      </c>
      <c r="B387" s="357">
        <f t="shared" si="46"/>
        <v>30</v>
      </c>
      <c r="C387" s="357">
        <f t="shared" si="47"/>
        <v>4</v>
      </c>
      <c r="D387" s="357">
        <f t="shared" si="48"/>
        <v>59</v>
      </c>
      <c r="E387" s="356">
        <f t="shared" si="45"/>
        <v>370852.2694151039</v>
      </c>
      <c r="G387" s="356">
        <f t="shared" si="41"/>
        <v>2672.852208197693</v>
      </c>
      <c r="H387" s="356">
        <v>0</v>
      </c>
      <c r="I387" s="356">
        <f t="shared" si="42"/>
        <v>-373.5251216233016</v>
      </c>
      <c r="J387" s="356">
        <f t="shared" si="43"/>
        <v>373151.5965016783</v>
      </c>
      <c r="M387" s="358"/>
      <c r="N387" s="356"/>
    </row>
    <row r="388" spans="1:14" x14ac:dyDescent="0.25">
      <c r="A388" s="356">
        <f t="shared" si="44"/>
        <v>365</v>
      </c>
      <c r="B388" s="357">
        <f t="shared" si="46"/>
        <v>30</v>
      </c>
      <c r="C388" s="357">
        <f t="shared" si="47"/>
        <v>5</v>
      </c>
      <c r="D388" s="357">
        <f t="shared" si="48"/>
        <v>59</v>
      </c>
      <c r="E388" s="356">
        <f t="shared" si="45"/>
        <v>373151.5965016783</v>
      </c>
      <c r="G388" s="356">
        <f t="shared" si="41"/>
        <v>2689.4242019201856</v>
      </c>
      <c r="H388" s="356">
        <v>0</v>
      </c>
      <c r="I388" s="356">
        <f t="shared" si="42"/>
        <v>-375.8410207035985</v>
      </c>
      <c r="J388" s="356">
        <f t="shared" si="43"/>
        <v>375465.17968289484</v>
      </c>
      <c r="M388" s="358"/>
      <c r="N388" s="356"/>
    </row>
    <row r="389" spans="1:14" x14ac:dyDescent="0.25">
      <c r="A389" s="356">
        <f t="shared" si="44"/>
        <v>366</v>
      </c>
      <c r="B389" s="357">
        <f t="shared" si="46"/>
        <v>30</v>
      </c>
      <c r="C389" s="357">
        <f t="shared" si="47"/>
        <v>6</v>
      </c>
      <c r="D389" s="357">
        <f t="shared" si="48"/>
        <v>59</v>
      </c>
      <c r="E389" s="356">
        <f t="shared" si="45"/>
        <v>375465.17968289484</v>
      </c>
      <c r="G389" s="356">
        <f t="shared" si="41"/>
        <v>2706.0989439259893</v>
      </c>
      <c r="H389" s="360">
        <f>-SUM(E389:G389)*$H$21</f>
        <v>-3403.541507641388</v>
      </c>
      <c r="I389" s="356">
        <f t="shared" si="42"/>
        <v>-378.1712786268208</v>
      </c>
      <c r="J389" s="356">
        <f t="shared" si="43"/>
        <v>374389.5658405526</v>
      </c>
      <c r="M389" s="358"/>
      <c r="N389" s="356"/>
    </row>
    <row r="390" spans="1:14" x14ac:dyDescent="0.25">
      <c r="A390" s="356">
        <f t="shared" si="44"/>
        <v>367</v>
      </c>
      <c r="B390" s="357">
        <f t="shared" si="46"/>
        <v>30</v>
      </c>
      <c r="C390" s="357">
        <f t="shared" si="47"/>
        <v>7</v>
      </c>
      <c r="D390" s="357">
        <f t="shared" si="48"/>
        <v>59</v>
      </c>
      <c r="E390" s="356">
        <f t="shared" si="45"/>
        <v>374389.5658405526</v>
      </c>
      <c r="G390" s="356">
        <f t="shared" si="41"/>
        <v>2698.346647200917</v>
      </c>
      <c r="H390" s="356">
        <v>0</v>
      </c>
      <c r="I390" s="356">
        <f t="shared" si="42"/>
        <v>-377.08791248775356</v>
      </c>
      <c r="J390" s="356">
        <f t="shared" si="43"/>
        <v>376710.8245752658</v>
      </c>
      <c r="M390" s="358"/>
      <c r="N390" s="356"/>
    </row>
    <row r="391" spans="1:14" x14ac:dyDescent="0.25">
      <c r="A391" s="356">
        <f t="shared" si="44"/>
        <v>368</v>
      </c>
      <c r="B391" s="357">
        <f t="shared" si="46"/>
        <v>30</v>
      </c>
      <c r="C391" s="357">
        <f t="shared" si="47"/>
        <v>8</v>
      </c>
      <c r="D391" s="357">
        <f t="shared" si="48"/>
        <v>59</v>
      </c>
      <c r="E391" s="356">
        <f t="shared" si="45"/>
        <v>376710.8245752658</v>
      </c>
      <c r="G391" s="356">
        <f t="shared" si="41"/>
        <v>2715.0767094024013</v>
      </c>
      <c r="H391" s="356">
        <v>0</v>
      </c>
      <c r="I391" s="356">
        <f t="shared" si="42"/>
        <v>-379.4259012846682</v>
      </c>
      <c r="J391" s="356">
        <f t="shared" si="43"/>
        <v>379046.4753833835</v>
      </c>
      <c r="M391" s="358"/>
      <c r="N391" s="356"/>
    </row>
    <row r="392" spans="1:14" x14ac:dyDescent="0.25">
      <c r="A392" s="356">
        <f t="shared" si="44"/>
        <v>369</v>
      </c>
      <c r="B392" s="357">
        <f t="shared" si="46"/>
        <v>30</v>
      </c>
      <c r="C392" s="357">
        <f t="shared" si="47"/>
        <v>9</v>
      </c>
      <c r="D392" s="357">
        <f t="shared" si="48"/>
        <v>59</v>
      </c>
      <c r="E392" s="356">
        <f t="shared" si="45"/>
        <v>379046.4753833835</v>
      </c>
      <c r="G392" s="356">
        <f t="shared" si="41"/>
        <v>2731.9104999301017</v>
      </c>
      <c r="H392" s="360">
        <f>-SUM(E392:G392)*$H$21</f>
        <v>-3436.005472949823</v>
      </c>
      <c r="I392" s="356">
        <f t="shared" si="42"/>
        <v>-381.7783858833136</v>
      </c>
      <c r="J392" s="356">
        <f t="shared" si="43"/>
        <v>377960.60202448047</v>
      </c>
      <c r="M392" s="358"/>
      <c r="N392" s="356"/>
    </row>
    <row r="393" spans="1:14" x14ac:dyDescent="0.25">
      <c r="A393" s="356">
        <f t="shared" si="44"/>
        <v>370</v>
      </c>
      <c r="B393" s="357">
        <f t="shared" si="46"/>
        <v>30</v>
      </c>
      <c r="C393" s="357">
        <f t="shared" si="47"/>
        <v>10</v>
      </c>
      <c r="D393" s="357">
        <f t="shared" si="48"/>
        <v>59</v>
      </c>
      <c r="E393" s="356">
        <f t="shared" si="45"/>
        <v>377960.60202448047</v>
      </c>
      <c r="G393" s="356">
        <f t="shared" si="41"/>
        <v>2724.084259552108</v>
      </c>
      <c r="H393" s="356">
        <v>0</v>
      </c>
      <c r="I393" s="356">
        <f t="shared" si="42"/>
        <v>-380.6846862840326</v>
      </c>
      <c r="J393" s="356">
        <f t="shared" si="43"/>
        <v>380304.00159774855</v>
      </c>
      <c r="M393" s="358"/>
      <c r="N393" s="356"/>
    </row>
    <row r="394" spans="1:14" x14ac:dyDescent="0.25">
      <c r="A394" s="356">
        <f t="shared" si="44"/>
        <v>371</v>
      </c>
      <c r="B394" s="357">
        <f t="shared" si="46"/>
        <v>30</v>
      </c>
      <c r="C394" s="357">
        <f t="shared" si="47"/>
        <v>11</v>
      </c>
      <c r="D394" s="357">
        <f t="shared" si="48"/>
        <v>59</v>
      </c>
      <c r="E394" s="356">
        <f t="shared" si="45"/>
        <v>380304.00159774855</v>
      </c>
      <c r="G394" s="356">
        <f t="shared" si="41"/>
        <v>2740.973897935548</v>
      </c>
      <c r="H394" s="356">
        <v>0</v>
      </c>
      <c r="I394" s="356">
        <f t="shared" si="42"/>
        <v>-383.04497549568407</v>
      </c>
      <c r="J394" s="356">
        <f t="shared" si="43"/>
        <v>382661.9305201884</v>
      </c>
      <c r="M394" s="358"/>
      <c r="N394" s="356"/>
    </row>
    <row r="395" spans="1:14" x14ac:dyDescent="0.25">
      <c r="A395" s="356">
        <f t="shared" si="44"/>
        <v>372</v>
      </c>
      <c r="B395" s="357">
        <f t="shared" si="46"/>
        <v>30</v>
      </c>
      <c r="C395" s="357">
        <f t="shared" si="47"/>
        <v>12</v>
      </c>
      <c r="D395" s="357">
        <f t="shared" si="48"/>
        <v>59</v>
      </c>
      <c r="E395" s="356">
        <f t="shared" si="45"/>
        <v>382661.9305201884</v>
      </c>
      <c r="G395" s="356">
        <f t="shared" si="41"/>
        <v>2757.968254036042</v>
      </c>
      <c r="H395" s="360">
        <f>-SUM(E395:G395)*$H$21</f>
        <v>-3468.7790889680205</v>
      </c>
      <c r="I395" s="356">
        <f t="shared" si="42"/>
        <v>-385.41989877422446</v>
      </c>
      <c r="J395" s="356">
        <f t="shared" si="43"/>
        <v>381565.6997864822</v>
      </c>
      <c r="M395" s="358"/>
      <c r="N395" s="356"/>
    </row>
    <row r="396" spans="1:14" x14ac:dyDescent="0.25">
      <c r="A396" s="356">
        <f t="shared" si="44"/>
        <v>373</v>
      </c>
      <c r="B396" s="357">
        <f t="shared" si="46"/>
        <v>31</v>
      </c>
      <c r="C396" s="357">
        <f t="shared" si="47"/>
        <v>1</v>
      </c>
      <c r="D396" s="357">
        <f t="shared" si="48"/>
        <v>60</v>
      </c>
      <c r="E396" s="356">
        <f t="shared" si="45"/>
        <v>381565.6997864822</v>
      </c>
      <c r="G396" s="356">
        <f t="shared" si="41"/>
        <v>2750.0673647091353</v>
      </c>
      <c r="H396" s="356">
        <v>0</v>
      </c>
      <c r="I396" s="356">
        <f t="shared" si="42"/>
        <v>-384.3157671511914</v>
      </c>
      <c r="J396" s="356">
        <f t="shared" si="43"/>
        <v>383931.4513840402</v>
      </c>
      <c r="M396" s="358"/>
      <c r="N396" s="356"/>
    </row>
    <row r="397" spans="1:14" x14ac:dyDescent="0.25">
      <c r="A397" s="356">
        <f t="shared" si="44"/>
        <v>374</v>
      </c>
      <c r="B397" s="357">
        <f t="shared" si="46"/>
        <v>31</v>
      </c>
      <c r="C397" s="357">
        <f t="shared" si="47"/>
        <v>2</v>
      </c>
      <c r="D397" s="357">
        <f t="shared" si="48"/>
        <v>60</v>
      </c>
      <c r="E397" s="356">
        <f t="shared" si="45"/>
        <v>383931.4513840402</v>
      </c>
      <c r="G397" s="356">
        <f t="shared" si="41"/>
        <v>2767.118101358403</v>
      </c>
      <c r="H397" s="356">
        <v>0</v>
      </c>
      <c r="I397" s="356">
        <f t="shared" si="42"/>
        <v>-386.6985694853986</v>
      </c>
      <c r="J397" s="356">
        <f t="shared" si="43"/>
        <v>386311.8709159132</v>
      </c>
      <c r="M397" s="358"/>
      <c r="N397" s="356"/>
    </row>
    <row r="398" spans="1:14" x14ac:dyDescent="0.25">
      <c r="A398" s="356">
        <f t="shared" si="44"/>
        <v>375</v>
      </c>
      <c r="B398" s="357">
        <f t="shared" si="46"/>
        <v>31</v>
      </c>
      <c r="C398" s="357">
        <f t="shared" si="47"/>
        <v>3</v>
      </c>
      <c r="D398" s="357">
        <f t="shared" si="48"/>
        <v>60</v>
      </c>
      <c r="E398" s="356">
        <f t="shared" si="45"/>
        <v>386311.8709159132</v>
      </c>
      <c r="G398" s="356">
        <f t="shared" si="41"/>
        <v>2784.274554552658</v>
      </c>
      <c r="H398" s="360">
        <f>-SUM(E398:G398)*$H$21</f>
        <v>-3501.8653092341933</v>
      </c>
      <c r="I398" s="356">
        <f t="shared" si="42"/>
        <v>-389.0961454704659</v>
      </c>
      <c r="J398" s="356">
        <f t="shared" si="43"/>
        <v>385205.18401576125</v>
      </c>
      <c r="M398" s="358"/>
      <c r="N398" s="356"/>
    </row>
    <row r="399" spans="1:14" x14ac:dyDescent="0.25">
      <c r="A399" s="356">
        <f t="shared" si="44"/>
        <v>376</v>
      </c>
      <c r="B399" s="357">
        <f t="shared" si="46"/>
        <v>31</v>
      </c>
      <c r="C399" s="357">
        <f t="shared" si="47"/>
        <v>4</v>
      </c>
      <c r="D399" s="357">
        <f t="shared" si="48"/>
        <v>60</v>
      </c>
      <c r="E399" s="356">
        <f t="shared" si="45"/>
        <v>385205.18401576125</v>
      </c>
      <c r="G399" s="356">
        <f t="shared" si="41"/>
        <v>2776.29830425353</v>
      </c>
      <c r="H399" s="356">
        <v>0</v>
      </c>
      <c r="I399" s="356">
        <f t="shared" si="42"/>
        <v>-387.9814823200148</v>
      </c>
      <c r="J399" s="356">
        <f t="shared" si="43"/>
        <v>387593.5008376948</v>
      </c>
      <c r="M399" s="358"/>
      <c r="N399" s="356"/>
    </row>
    <row r="400" spans="1:14" x14ac:dyDescent="0.25">
      <c r="A400" s="356">
        <f t="shared" si="44"/>
        <v>377</v>
      </c>
      <c r="B400" s="357">
        <f t="shared" si="46"/>
        <v>31</v>
      </c>
      <c r="C400" s="357">
        <f t="shared" si="47"/>
        <v>5</v>
      </c>
      <c r="D400" s="357">
        <f t="shared" si="48"/>
        <v>60</v>
      </c>
      <c r="E400" s="356">
        <f t="shared" si="45"/>
        <v>387593.5008376948</v>
      </c>
      <c r="G400" s="356">
        <f t="shared" si="41"/>
        <v>2793.511675770573</v>
      </c>
      <c r="H400" s="356">
        <v>0</v>
      </c>
      <c r="I400" s="356">
        <f t="shared" si="42"/>
        <v>-390.3870125134654</v>
      </c>
      <c r="J400" s="356">
        <f t="shared" si="43"/>
        <v>389996.6255009519</v>
      </c>
      <c r="M400" s="358"/>
      <c r="N400" s="356"/>
    </row>
    <row r="401" spans="1:14" x14ac:dyDescent="0.25">
      <c r="A401" s="356">
        <f t="shared" si="44"/>
        <v>378</v>
      </c>
      <c r="B401" s="357">
        <f t="shared" si="46"/>
        <v>31</v>
      </c>
      <c r="C401" s="357">
        <f t="shared" si="47"/>
        <v>6</v>
      </c>
      <c r="D401" s="357">
        <f t="shared" si="48"/>
        <v>60</v>
      </c>
      <c r="E401" s="356">
        <f t="shared" si="45"/>
        <v>389996.6255009519</v>
      </c>
      <c r="G401" s="356">
        <f t="shared" si="41"/>
        <v>2810.831772187649</v>
      </c>
      <c r="H401" s="360">
        <f>-SUM(E401:G401)*$H$21</f>
        <v>-3535.2671154582563</v>
      </c>
      <c r="I401" s="356">
        <f t="shared" si="42"/>
        <v>-392.80745727313956</v>
      </c>
      <c r="J401" s="356">
        <f t="shared" si="43"/>
        <v>388879.38270040817</v>
      </c>
      <c r="M401" s="358"/>
      <c r="N401" s="356"/>
    </row>
    <row r="402" spans="1:14" x14ac:dyDescent="0.25">
      <c r="A402" s="356">
        <f t="shared" si="44"/>
        <v>379</v>
      </c>
      <c r="B402" s="357">
        <f t="shared" si="46"/>
        <v>31</v>
      </c>
      <c r="C402" s="357">
        <f t="shared" si="47"/>
        <v>7</v>
      </c>
      <c r="D402" s="357">
        <f t="shared" si="48"/>
        <v>60</v>
      </c>
      <c r="E402" s="356">
        <f t="shared" si="45"/>
        <v>388879.38270040817</v>
      </c>
      <c r="G402" s="356">
        <f t="shared" si="41"/>
        <v>2802.7794421015046</v>
      </c>
      <c r="H402" s="356">
        <v>0</v>
      </c>
      <c r="I402" s="356">
        <f t="shared" si="42"/>
        <v>-391.68216214250964</v>
      </c>
      <c r="J402" s="356">
        <f t="shared" si="43"/>
        <v>391290.4799803671</v>
      </c>
      <c r="M402" s="358"/>
      <c r="N402" s="356"/>
    </row>
    <row r="403" spans="1:14" x14ac:dyDescent="0.25">
      <c r="A403" s="356">
        <f t="shared" si="44"/>
        <v>380</v>
      </c>
      <c r="B403" s="357">
        <f t="shared" si="46"/>
        <v>31</v>
      </c>
      <c r="C403" s="357">
        <f t="shared" si="47"/>
        <v>8</v>
      </c>
      <c r="D403" s="357">
        <f t="shared" si="48"/>
        <v>60</v>
      </c>
      <c r="E403" s="356">
        <f t="shared" si="45"/>
        <v>391290.4799803671</v>
      </c>
      <c r="G403" s="356">
        <f t="shared" si="41"/>
        <v>2820.156999744827</v>
      </c>
      <c r="H403" s="356">
        <v>0</v>
      </c>
      <c r="I403" s="356">
        <f t="shared" si="42"/>
        <v>-394.11063698011196</v>
      </c>
      <c r="J403" s="356">
        <f t="shared" si="43"/>
        <v>393716.52634313185</v>
      </c>
      <c r="M403" s="358"/>
      <c r="N403" s="356"/>
    </row>
    <row r="404" spans="1:14" x14ac:dyDescent="0.25">
      <c r="A404" s="356">
        <f t="shared" si="44"/>
        <v>381</v>
      </c>
      <c r="B404" s="357">
        <f t="shared" si="46"/>
        <v>31</v>
      </c>
      <c r="C404" s="357">
        <f t="shared" si="47"/>
        <v>9</v>
      </c>
      <c r="D404" s="357">
        <f t="shared" si="48"/>
        <v>60</v>
      </c>
      <c r="E404" s="356">
        <f t="shared" si="45"/>
        <v>393716.52634313185</v>
      </c>
      <c r="G404" s="356">
        <f t="shared" si="41"/>
        <v>2837.6423002612096</v>
      </c>
      <c r="H404" s="360">
        <f>-SUM(E404:G404)*$H$21</f>
        <v>-3568.987517790538</v>
      </c>
      <c r="I404" s="356">
        <f t="shared" si="42"/>
        <v>-396.55416864339304</v>
      </c>
      <c r="J404" s="356">
        <f t="shared" si="43"/>
        <v>392588.62695695914</v>
      </c>
      <c r="M404" s="358"/>
      <c r="N404" s="356"/>
    </row>
    <row r="405" spans="1:14" x14ac:dyDescent="0.25">
      <c r="A405" s="356">
        <f t="shared" si="44"/>
        <v>382</v>
      </c>
      <c r="B405" s="357">
        <f t="shared" si="46"/>
        <v>31</v>
      </c>
      <c r="C405" s="357">
        <f t="shared" si="47"/>
        <v>10</v>
      </c>
      <c r="D405" s="357">
        <f t="shared" si="48"/>
        <v>60</v>
      </c>
      <c r="E405" s="356">
        <f t="shared" si="45"/>
        <v>392588.62695695914</v>
      </c>
      <c r="G405" s="356">
        <f t="shared" si="41"/>
        <v>2829.5131647169906</v>
      </c>
      <c r="H405" s="356">
        <v>0</v>
      </c>
      <c r="I405" s="356">
        <f t="shared" si="42"/>
        <v>-395.4181401216762</v>
      </c>
      <c r="J405" s="356">
        <f t="shared" si="43"/>
        <v>395022.72198155447</v>
      </c>
      <c r="M405" s="358"/>
      <c r="N405" s="356"/>
    </row>
    <row r="406" spans="1:14" x14ac:dyDescent="0.25">
      <c r="A406" s="356">
        <f t="shared" si="44"/>
        <v>383</v>
      </c>
      <c r="B406" s="357">
        <f t="shared" si="46"/>
        <v>31</v>
      </c>
      <c r="C406" s="357">
        <f t="shared" si="47"/>
        <v>11</v>
      </c>
      <c r="D406" s="357">
        <f t="shared" si="48"/>
        <v>60</v>
      </c>
      <c r="E406" s="356">
        <f t="shared" si="45"/>
        <v>395022.72198155447</v>
      </c>
      <c r="G406" s="356">
        <f t="shared" si="41"/>
        <v>2847.056474541449</v>
      </c>
      <c r="H406" s="356">
        <v>0</v>
      </c>
      <c r="I406" s="356">
        <f t="shared" si="42"/>
        <v>-397.8697784560959</v>
      </c>
      <c r="J406" s="356">
        <f t="shared" si="43"/>
        <v>397471.9086776398</v>
      </c>
      <c r="M406" s="358"/>
      <c r="N406" s="356"/>
    </row>
    <row r="407" spans="1:14" x14ac:dyDescent="0.25">
      <c r="A407" s="356">
        <f t="shared" si="44"/>
        <v>384</v>
      </c>
      <c r="B407" s="357">
        <f t="shared" si="46"/>
        <v>31</v>
      </c>
      <c r="C407" s="357">
        <f t="shared" si="47"/>
        <v>12</v>
      </c>
      <c r="D407" s="357">
        <f t="shared" si="48"/>
        <v>60</v>
      </c>
      <c r="E407" s="356">
        <f t="shared" si="45"/>
        <v>397471.9086776398</v>
      </c>
      <c r="G407" s="356">
        <f t="shared" si="41"/>
        <v>2864.7085549217168</v>
      </c>
      <c r="H407" s="360">
        <f>-SUM(E407:G407)*$H$21</f>
        <v>-3603.029555093054</v>
      </c>
      <c r="I407" s="356">
        <f t="shared" si="42"/>
        <v>-400.33661723256154</v>
      </c>
      <c r="J407" s="356">
        <f t="shared" si="43"/>
        <v>396333.25106023595</v>
      </c>
      <c r="M407" s="358"/>
      <c r="N407" s="356"/>
    </row>
    <row r="408" spans="1:14" x14ac:dyDescent="0.25">
      <c r="A408" s="356">
        <f t="shared" si="44"/>
        <v>385</v>
      </c>
      <c r="B408" s="357">
        <f t="shared" si="46"/>
        <v>32</v>
      </c>
      <c r="C408" s="357">
        <f t="shared" si="47"/>
        <v>1</v>
      </c>
      <c r="D408" s="357">
        <f t="shared" si="48"/>
        <v>61</v>
      </c>
      <c r="E408" s="356">
        <f t="shared" si="45"/>
        <v>396333.25106023595</v>
      </c>
      <c r="G408" s="356">
        <f t="shared" ref="G408:G471" si="49">SUM(E408:F408)*$F$8</f>
        <v>2856.501881326705</v>
      </c>
      <c r="H408" s="356">
        <v>0</v>
      </c>
      <c r="I408" s="356">
        <f t="shared" ref="I408:I471" si="50">-SUM(E408:G408)*0.1%</f>
        <v>-399.1897529415627</v>
      </c>
      <c r="J408" s="356">
        <f t="shared" ref="J408:J471" si="51">SUM(E408:I408)</f>
        <v>398790.56318862113</v>
      </c>
      <c r="M408" s="358"/>
      <c r="N408" s="356"/>
    </row>
    <row r="409" spans="1:14" x14ac:dyDescent="0.25">
      <c r="A409" s="356">
        <f t="shared" ref="A409:A472" si="52">+A408+1</f>
        <v>386</v>
      </c>
      <c r="B409" s="357">
        <f t="shared" si="46"/>
        <v>32</v>
      </c>
      <c r="C409" s="357">
        <f t="shared" si="47"/>
        <v>2</v>
      </c>
      <c r="D409" s="357">
        <f t="shared" si="48"/>
        <v>61</v>
      </c>
      <c r="E409" s="356">
        <f t="shared" ref="E409:E472" si="53">J408</f>
        <v>398790.56318862113</v>
      </c>
      <c r="G409" s="356">
        <f t="shared" si="49"/>
        <v>2874.2125243246414</v>
      </c>
      <c r="H409" s="356">
        <v>0</v>
      </c>
      <c r="I409" s="356">
        <f t="shared" si="50"/>
        <v>-401.6647757129458</v>
      </c>
      <c r="J409" s="356">
        <f t="shared" si="51"/>
        <v>401263.11093723285</v>
      </c>
      <c r="M409" s="358"/>
      <c r="N409" s="356"/>
    </row>
    <row r="410" spans="1:14" x14ac:dyDescent="0.25">
      <c r="A410" s="356">
        <f t="shared" si="52"/>
        <v>387</v>
      </c>
      <c r="B410" s="357">
        <f t="shared" si="46"/>
        <v>32</v>
      </c>
      <c r="C410" s="357">
        <f t="shared" si="47"/>
        <v>3</v>
      </c>
      <c r="D410" s="357">
        <f t="shared" si="48"/>
        <v>61</v>
      </c>
      <c r="E410" s="356">
        <f t="shared" si="53"/>
        <v>401263.11093723285</v>
      </c>
      <c r="G410" s="356">
        <f t="shared" si="49"/>
        <v>2892.032975363472</v>
      </c>
      <c r="H410" s="360">
        <f>-SUM(E410:G410)*$H$21</f>
        <v>-3637.3962952133675</v>
      </c>
      <c r="I410" s="356">
        <f t="shared" si="50"/>
        <v>-404.1551439125964</v>
      </c>
      <c r="J410" s="356">
        <f t="shared" si="51"/>
        <v>400113.5924734704</v>
      </c>
      <c r="M410" s="358"/>
      <c r="N410" s="356"/>
    </row>
    <row r="411" spans="1:14" x14ac:dyDescent="0.25">
      <c r="A411" s="356">
        <f t="shared" si="52"/>
        <v>388</v>
      </c>
      <c r="B411" s="357">
        <f t="shared" si="46"/>
        <v>32</v>
      </c>
      <c r="C411" s="357">
        <f t="shared" si="47"/>
        <v>4</v>
      </c>
      <c r="D411" s="357">
        <f t="shared" si="48"/>
        <v>61</v>
      </c>
      <c r="E411" s="356">
        <f t="shared" si="53"/>
        <v>400113.5924734704</v>
      </c>
      <c r="G411" s="356">
        <f t="shared" si="49"/>
        <v>2883.748024137267</v>
      </c>
      <c r="H411" s="356">
        <v>0</v>
      </c>
      <c r="I411" s="356">
        <f t="shared" si="50"/>
        <v>-402.99734049760764</v>
      </c>
      <c r="J411" s="356">
        <f t="shared" si="51"/>
        <v>402594.34315711004</v>
      </c>
      <c r="M411" s="358"/>
      <c r="N411" s="356"/>
    </row>
    <row r="412" spans="1:14" x14ac:dyDescent="0.25">
      <c r="A412" s="356">
        <f t="shared" si="52"/>
        <v>389</v>
      </c>
      <c r="B412" s="357">
        <f t="shared" si="46"/>
        <v>32</v>
      </c>
      <c r="C412" s="357">
        <f t="shared" si="47"/>
        <v>5</v>
      </c>
      <c r="D412" s="357">
        <f t="shared" si="48"/>
        <v>61</v>
      </c>
      <c r="E412" s="356">
        <f t="shared" si="53"/>
        <v>402594.34315711004</v>
      </c>
      <c r="G412" s="356">
        <f t="shared" si="49"/>
        <v>2901.6275963809853</v>
      </c>
      <c r="H412" s="356">
        <v>0</v>
      </c>
      <c r="I412" s="356">
        <f t="shared" si="50"/>
        <v>-405.49597075349106</v>
      </c>
      <c r="J412" s="356">
        <f t="shared" si="51"/>
        <v>405090.47478273755</v>
      </c>
      <c r="M412" s="358"/>
      <c r="N412" s="356"/>
    </row>
    <row r="413" spans="1:14" x14ac:dyDescent="0.25">
      <c r="A413" s="356">
        <f t="shared" si="52"/>
        <v>390</v>
      </c>
      <c r="B413" s="357">
        <f t="shared" si="46"/>
        <v>32</v>
      </c>
      <c r="C413" s="357">
        <f t="shared" si="47"/>
        <v>6</v>
      </c>
      <c r="D413" s="357">
        <f t="shared" si="48"/>
        <v>61</v>
      </c>
      <c r="E413" s="356">
        <f t="shared" si="53"/>
        <v>405090.47478273755</v>
      </c>
      <c r="G413" s="356">
        <f t="shared" si="49"/>
        <v>2919.6180240465164</v>
      </c>
      <c r="H413" s="360">
        <f>-SUM(E413:G413)*$H$21</f>
        <v>-3672.0908352610572</v>
      </c>
      <c r="I413" s="356">
        <f t="shared" si="50"/>
        <v>-408.0100928067841</v>
      </c>
      <c r="J413" s="356">
        <f t="shared" si="51"/>
        <v>403929.9918787163</v>
      </c>
      <c r="M413" s="358"/>
      <c r="N413" s="356"/>
    </row>
    <row r="414" spans="1:14" x14ac:dyDescent="0.25">
      <c r="A414" s="356">
        <f t="shared" si="52"/>
        <v>391</v>
      </c>
      <c r="B414" s="357">
        <f t="shared" si="46"/>
        <v>32</v>
      </c>
      <c r="C414" s="357">
        <f t="shared" si="47"/>
        <v>7</v>
      </c>
      <c r="D414" s="357">
        <f t="shared" si="48"/>
        <v>61</v>
      </c>
      <c r="E414" s="356">
        <f t="shared" si="53"/>
        <v>403929.9918787163</v>
      </c>
      <c r="G414" s="356">
        <f t="shared" si="49"/>
        <v>2911.254048554386</v>
      </c>
      <c r="H414" s="356">
        <v>0</v>
      </c>
      <c r="I414" s="356">
        <f t="shared" si="50"/>
        <v>-406.8412459272707</v>
      </c>
      <c r="J414" s="356">
        <f t="shared" si="51"/>
        <v>406434.4046813434</v>
      </c>
      <c r="M414" s="358"/>
      <c r="N414" s="356"/>
    </row>
    <row r="415" spans="1:14" x14ac:dyDescent="0.25">
      <c r="A415" s="356">
        <f t="shared" si="52"/>
        <v>392</v>
      </c>
      <c r="B415" s="357">
        <f t="shared" si="46"/>
        <v>32</v>
      </c>
      <c r="C415" s="357">
        <f t="shared" si="47"/>
        <v>8</v>
      </c>
      <c r="D415" s="357">
        <f t="shared" si="48"/>
        <v>61</v>
      </c>
      <c r="E415" s="356">
        <f t="shared" si="53"/>
        <v>406434.4046813434</v>
      </c>
      <c r="G415" s="356">
        <f t="shared" si="49"/>
        <v>2929.304161339992</v>
      </c>
      <c r="H415" s="356">
        <v>0</v>
      </c>
      <c r="I415" s="356">
        <f t="shared" si="50"/>
        <v>-409.3637088426834</v>
      </c>
      <c r="J415" s="356">
        <f t="shared" si="51"/>
        <v>408954.34513384075</v>
      </c>
      <c r="M415" s="358"/>
      <c r="N415" s="356"/>
    </row>
    <row r="416" spans="1:14" x14ac:dyDescent="0.25">
      <c r="A416" s="356">
        <f t="shared" si="52"/>
        <v>393</v>
      </c>
      <c r="B416" s="357">
        <f t="shared" si="46"/>
        <v>32</v>
      </c>
      <c r="C416" s="357">
        <f t="shared" si="47"/>
        <v>9</v>
      </c>
      <c r="D416" s="357">
        <f t="shared" si="48"/>
        <v>61</v>
      </c>
      <c r="E416" s="356">
        <f t="shared" si="53"/>
        <v>408954.34513384075</v>
      </c>
      <c r="G416" s="356">
        <f t="shared" si="49"/>
        <v>2947.466186918552</v>
      </c>
      <c r="H416" s="360">
        <f>-SUM(E416:G416)*$H$21</f>
        <v>-3707.116301886834</v>
      </c>
      <c r="I416" s="356">
        <f t="shared" si="50"/>
        <v>-411.9018113207593</v>
      </c>
      <c r="J416" s="356">
        <f t="shared" si="51"/>
        <v>407782.7932075517</v>
      </c>
      <c r="M416" s="358"/>
      <c r="N416" s="356"/>
    </row>
    <row r="417" spans="1:14" x14ac:dyDescent="0.25">
      <c r="A417" s="356">
        <f t="shared" si="52"/>
        <v>394</v>
      </c>
      <c r="B417" s="357">
        <f t="shared" si="46"/>
        <v>32</v>
      </c>
      <c r="C417" s="357">
        <f t="shared" si="47"/>
        <v>10</v>
      </c>
      <c r="D417" s="357">
        <f t="shared" si="48"/>
        <v>61</v>
      </c>
      <c r="E417" s="356">
        <f t="shared" si="53"/>
        <v>407782.7932075517</v>
      </c>
      <c r="G417" s="356">
        <f t="shared" si="49"/>
        <v>2939.022433404144</v>
      </c>
      <c r="H417" s="356">
        <v>0</v>
      </c>
      <c r="I417" s="356">
        <f t="shared" si="50"/>
        <v>-410.72181564095587</v>
      </c>
      <c r="J417" s="356">
        <f t="shared" si="51"/>
        <v>410311.0938253149</v>
      </c>
      <c r="M417" s="358"/>
      <c r="N417" s="356"/>
    </row>
    <row r="418" spans="1:14" x14ac:dyDescent="0.25">
      <c r="A418" s="356">
        <f t="shared" si="52"/>
        <v>395</v>
      </c>
      <c r="B418" s="357">
        <f t="shared" si="46"/>
        <v>32</v>
      </c>
      <c r="C418" s="357">
        <f t="shared" si="47"/>
        <v>11</v>
      </c>
      <c r="D418" s="357">
        <f t="shared" si="48"/>
        <v>61</v>
      </c>
      <c r="E418" s="356">
        <f t="shared" si="53"/>
        <v>410311.0938253149</v>
      </c>
      <c r="G418" s="356">
        <f t="shared" si="49"/>
        <v>2957.2447133967516</v>
      </c>
      <c r="H418" s="356">
        <v>0</v>
      </c>
      <c r="I418" s="356">
        <f t="shared" si="50"/>
        <v>-413.26833853871165</v>
      </c>
      <c r="J418" s="356">
        <f t="shared" si="51"/>
        <v>412855.07020017295</v>
      </c>
      <c r="M418" s="358"/>
      <c r="N418" s="356"/>
    </row>
    <row r="419" spans="1:14" x14ac:dyDescent="0.25">
      <c r="A419" s="356">
        <f t="shared" si="52"/>
        <v>396</v>
      </c>
      <c r="B419" s="357">
        <f t="shared" si="46"/>
        <v>32</v>
      </c>
      <c r="C419" s="357">
        <f t="shared" si="47"/>
        <v>12</v>
      </c>
      <c r="D419" s="357">
        <f t="shared" si="48"/>
        <v>61</v>
      </c>
      <c r="E419" s="356">
        <f t="shared" si="53"/>
        <v>412855.07020017295</v>
      </c>
      <c r="G419" s="356">
        <f t="shared" si="49"/>
        <v>2975.579973638967</v>
      </c>
      <c r="H419" s="360">
        <f>-SUM(E419:G419)*$H$21</f>
        <v>-3742.475851564308</v>
      </c>
      <c r="I419" s="356">
        <f t="shared" si="50"/>
        <v>-415.83065017381193</v>
      </c>
      <c r="J419" s="356">
        <f t="shared" si="51"/>
        <v>411672.3436720738</v>
      </c>
      <c r="M419" s="358"/>
      <c r="N419" s="356"/>
    </row>
    <row r="420" spans="1:14" x14ac:dyDescent="0.25">
      <c r="A420" s="356">
        <f t="shared" si="52"/>
        <v>397</v>
      </c>
      <c r="B420" s="357">
        <f t="shared" ref="B420:B483" si="54">B408+1</f>
        <v>33</v>
      </c>
      <c r="C420" s="357">
        <f t="shared" ref="C420:C483" si="55">C408</f>
        <v>1</v>
      </c>
      <c r="D420" s="357">
        <f t="shared" ref="D420:D483" si="56">D408+1</f>
        <v>62</v>
      </c>
      <c r="E420" s="356">
        <f t="shared" si="53"/>
        <v>411672.3436720738</v>
      </c>
      <c r="G420" s="356">
        <f t="shared" si="49"/>
        <v>2967.0556811563847</v>
      </c>
      <c r="H420" s="356">
        <v>0</v>
      </c>
      <c r="I420" s="356">
        <f t="shared" si="50"/>
        <v>-414.6393993532302</v>
      </c>
      <c r="J420" s="356">
        <f t="shared" si="51"/>
        <v>414224.75995387696</v>
      </c>
      <c r="M420" s="358"/>
      <c r="N420" s="356"/>
    </row>
    <row r="421" spans="1:14" x14ac:dyDescent="0.25">
      <c r="A421" s="356">
        <f t="shared" si="52"/>
        <v>398</v>
      </c>
      <c r="B421" s="357">
        <f t="shared" si="54"/>
        <v>33</v>
      </c>
      <c r="C421" s="357">
        <f t="shared" si="55"/>
        <v>2</v>
      </c>
      <c r="D421" s="357">
        <f t="shared" si="56"/>
        <v>62</v>
      </c>
      <c r="E421" s="356">
        <f t="shared" si="53"/>
        <v>414224.75995387696</v>
      </c>
      <c r="G421" s="356">
        <f t="shared" si="49"/>
        <v>2985.4517705367116</v>
      </c>
      <c r="H421" s="356">
        <v>0</v>
      </c>
      <c r="I421" s="356">
        <f t="shared" si="50"/>
        <v>-417.2102117244137</v>
      </c>
      <c r="J421" s="356">
        <f t="shared" si="51"/>
        <v>416793.0015126893</v>
      </c>
      <c r="M421" s="358"/>
      <c r="N421" s="356"/>
    </row>
    <row r="422" spans="1:14" x14ac:dyDescent="0.25">
      <c r="A422" s="356">
        <f t="shared" si="52"/>
        <v>399</v>
      </c>
      <c r="B422" s="357">
        <f t="shared" si="54"/>
        <v>33</v>
      </c>
      <c r="C422" s="357">
        <f t="shared" si="55"/>
        <v>3</v>
      </c>
      <c r="D422" s="357">
        <f t="shared" si="56"/>
        <v>62</v>
      </c>
      <c r="E422" s="356">
        <f t="shared" si="53"/>
        <v>416793.0015126893</v>
      </c>
      <c r="G422" s="356">
        <f t="shared" si="49"/>
        <v>3003.9619178050107</v>
      </c>
      <c r="H422" s="360">
        <f>-SUM(E422:G422)*$H$21</f>
        <v>-3778.172670874449</v>
      </c>
      <c r="I422" s="356">
        <f t="shared" si="50"/>
        <v>-419.7969634304943</v>
      </c>
      <c r="J422" s="356">
        <f t="shared" si="51"/>
        <v>415598.9937961894</v>
      </c>
      <c r="M422" s="358"/>
      <c r="N422" s="356"/>
    </row>
    <row r="423" spans="1:14" x14ac:dyDescent="0.25">
      <c r="A423" s="356">
        <f t="shared" si="52"/>
        <v>400</v>
      </c>
      <c r="B423" s="357">
        <f t="shared" si="54"/>
        <v>33</v>
      </c>
      <c r="C423" s="357">
        <f t="shared" si="55"/>
        <v>4</v>
      </c>
      <c r="D423" s="357">
        <f t="shared" si="56"/>
        <v>62</v>
      </c>
      <c r="E423" s="356">
        <f t="shared" si="53"/>
        <v>415598.9937961894</v>
      </c>
      <c r="G423" s="356">
        <f t="shared" si="49"/>
        <v>2995.356318150234</v>
      </c>
      <c r="H423" s="356">
        <v>0</v>
      </c>
      <c r="I423" s="356">
        <f t="shared" si="50"/>
        <v>-418.59435011433965</v>
      </c>
      <c r="J423" s="356">
        <f t="shared" si="51"/>
        <v>418175.75576422527</v>
      </c>
      <c r="M423" s="358"/>
      <c r="N423" s="356"/>
    </row>
    <row r="424" spans="1:14" x14ac:dyDescent="0.25">
      <c r="A424" s="356">
        <f t="shared" si="52"/>
        <v>401</v>
      </c>
      <c r="B424" s="357">
        <f t="shared" si="54"/>
        <v>33</v>
      </c>
      <c r="C424" s="357">
        <f t="shared" si="55"/>
        <v>5</v>
      </c>
      <c r="D424" s="357">
        <f t="shared" si="56"/>
        <v>62</v>
      </c>
      <c r="E424" s="356">
        <f t="shared" si="53"/>
        <v>418175.75576422527</v>
      </c>
      <c r="G424" s="356">
        <f t="shared" si="49"/>
        <v>3013.927874762593</v>
      </c>
      <c r="H424" s="356">
        <v>0</v>
      </c>
      <c r="I424" s="356">
        <f t="shared" si="50"/>
        <v>-421.18968363898784</v>
      </c>
      <c r="J424" s="356">
        <f t="shared" si="51"/>
        <v>420768.49395534885</v>
      </c>
      <c r="M424" s="358"/>
      <c r="N424" s="356"/>
    </row>
    <row r="425" spans="1:14" x14ac:dyDescent="0.25">
      <c r="A425" s="356">
        <f t="shared" si="52"/>
        <v>402</v>
      </c>
      <c r="B425" s="357">
        <f t="shared" si="54"/>
        <v>33</v>
      </c>
      <c r="C425" s="357">
        <f t="shared" si="55"/>
        <v>6</v>
      </c>
      <c r="D425" s="357">
        <f t="shared" si="56"/>
        <v>62</v>
      </c>
      <c r="E425" s="356">
        <f t="shared" si="53"/>
        <v>420768.49395534885</v>
      </c>
      <c r="G425" s="356">
        <f t="shared" si="49"/>
        <v>3032.6145771801166</v>
      </c>
      <c r="H425" s="360">
        <f>-SUM(E425:G425)*$H$21</f>
        <v>-3814.209976792761</v>
      </c>
      <c r="I425" s="356">
        <f t="shared" si="50"/>
        <v>-423.801108532529</v>
      </c>
      <c r="J425" s="356">
        <f t="shared" si="51"/>
        <v>419563.0974472037</v>
      </c>
      <c r="M425" s="358"/>
      <c r="N425" s="356"/>
    </row>
    <row r="426" spans="1:14" x14ac:dyDescent="0.25">
      <c r="A426" s="356">
        <f t="shared" si="52"/>
        <v>403</v>
      </c>
      <c r="B426" s="357">
        <f t="shared" si="54"/>
        <v>33</v>
      </c>
      <c r="C426" s="357">
        <f t="shared" si="55"/>
        <v>7</v>
      </c>
      <c r="D426" s="357">
        <f t="shared" si="56"/>
        <v>62</v>
      </c>
      <c r="E426" s="356">
        <f t="shared" si="53"/>
        <v>419563.0974472037</v>
      </c>
      <c r="G426" s="356">
        <f t="shared" si="49"/>
        <v>3023.9268948217723</v>
      </c>
      <c r="H426" s="356">
        <v>0</v>
      </c>
      <c r="I426" s="356">
        <f t="shared" si="50"/>
        <v>-422.5870243420255</v>
      </c>
      <c r="J426" s="356">
        <f t="shared" si="51"/>
        <v>422164.4373176834</v>
      </c>
      <c r="M426" s="358"/>
      <c r="N426" s="356"/>
    </row>
    <row r="427" spans="1:14" x14ac:dyDescent="0.25">
      <c r="A427" s="356">
        <f t="shared" si="52"/>
        <v>404</v>
      </c>
      <c r="B427" s="357">
        <f t="shared" si="54"/>
        <v>33</v>
      </c>
      <c r="C427" s="357">
        <f t="shared" si="55"/>
        <v>8</v>
      </c>
      <c r="D427" s="357">
        <f t="shared" si="56"/>
        <v>62</v>
      </c>
      <c r="E427" s="356">
        <f t="shared" si="53"/>
        <v>422164.4373176834</v>
      </c>
      <c r="G427" s="356">
        <f t="shared" si="49"/>
        <v>3042.675592323477</v>
      </c>
      <c r="H427" s="356">
        <v>0</v>
      </c>
      <c r="I427" s="356">
        <f t="shared" si="50"/>
        <v>-425.2071129100069</v>
      </c>
      <c r="J427" s="356">
        <f t="shared" si="51"/>
        <v>424781.9057970969</v>
      </c>
      <c r="M427" s="358"/>
      <c r="N427" s="356"/>
    </row>
    <row r="428" spans="1:14" x14ac:dyDescent="0.25">
      <c r="A428" s="356">
        <f t="shared" si="52"/>
        <v>405</v>
      </c>
      <c r="B428" s="357">
        <f t="shared" si="54"/>
        <v>33</v>
      </c>
      <c r="C428" s="357">
        <f t="shared" si="55"/>
        <v>9</v>
      </c>
      <c r="D428" s="357">
        <f t="shared" si="56"/>
        <v>62</v>
      </c>
      <c r="E428" s="356">
        <f t="shared" si="53"/>
        <v>424781.9057970969</v>
      </c>
      <c r="G428" s="356">
        <f t="shared" si="49"/>
        <v>3061.540533924406</v>
      </c>
      <c r="H428" s="360">
        <f>-SUM(E428:G428)*$H$21</f>
        <v>-3850.5910169791923</v>
      </c>
      <c r="I428" s="356">
        <f t="shared" si="50"/>
        <v>-427.8434463310213</v>
      </c>
      <c r="J428" s="356">
        <f t="shared" si="51"/>
        <v>423565.0118677111</v>
      </c>
      <c r="M428" s="358"/>
      <c r="N428" s="356"/>
    </row>
    <row r="429" spans="1:14" x14ac:dyDescent="0.25">
      <c r="A429" s="356">
        <f t="shared" si="52"/>
        <v>406</v>
      </c>
      <c r="B429" s="357">
        <f t="shared" si="54"/>
        <v>33</v>
      </c>
      <c r="C429" s="357">
        <f t="shared" si="55"/>
        <v>10</v>
      </c>
      <c r="D429" s="357">
        <f t="shared" si="56"/>
        <v>62</v>
      </c>
      <c r="E429" s="356">
        <f t="shared" si="53"/>
        <v>423565.0118677111</v>
      </c>
      <c r="G429" s="356">
        <f t="shared" si="49"/>
        <v>3052.7699859338786</v>
      </c>
      <c r="H429" s="356">
        <v>0</v>
      </c>
      <c r="I429" s="356">
        <f t="shared" si="50"/>
        <v>-426.617781853645</v>
      </c>
      <c r="J429" s="356">
        <f t="shared" si="51"/>
        <v>426191.16407179134</v>
      </c>
      <c r="M429" s="358"/>
      <c r="N429" s="356"/>
    </row>
    <row r="430" spans="1:14" x14ac:dyDescent="0.25">
      <c r="A430" s="356">
        <f t="shared" si="52"/>
        <v>407</v>
      </c>
      <c r="B430" s="357">
        <f t="shared" si="54"/>
        <v>33</v>
      </c>
      <c r="C430" s="357">
        <f t="shared" si="55"/>
        <v>11</v>
      </c>
      <c r="D430" s="357">
        <f t="shared" si="56"/>
        <v>62</v>
      </c>
      <c r="E430" s="356">
        <f t="shared" si="53"/>
        <v>426191.16407179134</v>
      </c>
      <c r="G430" s="356">
        <f t="shared" si="49"/>
        <v>3071.69751394607</v>
      </c>
      <c r="H430" s="356">
        <v>0</v>
      </c>
      <c r="I430" s="356">
        <f t="shared" si="50"/>
        <v>-429.2628615857374</v>
      </c>
      <c r="J430" s="356">
        <f t="shared" si="51"/>
        <v>428833.5987241517</v>
      </c>
      <c r="M430" s="358"/>
      <c r="N430" s="356"/>
    </row>
    <row r="431" spans="1:14" x14ac:dyDescent="0.25">
      <c r="A431" s="356">
        <f t="shared" si="52"/>
        <v>408</v>
      </c>
      <c r="B431" s="357">
        <f t="shared" si="54"/>
        <v>33</v>
      </c>
      <c r="C431" s="357">
        <f t="shared" si="55"/>
        <v>12</v>
      </c>
      <c r="D431" s="357">
        <f t="shared" si="56"/>
        <v>62</v>
      </c>
      <c r="E431" s="356">
        <f t="shared" si="53"/>
        <v>428833.5987241517</v>
      </c>
      <c r="G431" s="356">
        <f t="shared" si="49"/>
        <v>3090.742394827395</v>
      </c>
      <c r="H431" s="360">
        <f>-SUM(E431:G431)*$H$21</f>
        <v>-3887.319070070813</v>
      </c>
      <c r="I431" s="356">
        <f t="shared" si="50"/>
        <v>-431.92434111897916</v>
      </c>
      <c r="J431" s="356">
        <f t="shared" si="51"/>
        <v>427605.0977077894</v>
      </c>
      <c r="M431" s="358"/>
      <c r="N431" s="356"/>
    </row>
    <row r="432" spans="1:14" x14ac:dyDescent="0.25">
      <c r="A432" s="356">
        <f t="shared" si="52"/>
        <v>409</v>
      </c>
      <c r="B432" s="357">
        <f t="shared" si="54"/>
        <v>34</v>
      </c>
      <c r="C432" s="357">
        <f t="shared" si="55"/>
        <v>1</v>
      </c>
      <c r="D432" s="357">
        <f t="shared" si="56"/>
        <v>63</v>
      </c>
      <c r="E432" s="356">
        <f t="shared" si="53"/>
        <v>427605.0977077894</v>
      </c>
      <c r="G432" s="356">
        <f t="shared" si="49"/>
        <v>3081.888190808269</v>
      </c>
      <c r="H432" s="356">
        <v>0</v>
      </c>
      <c r="I432" s="356">
        <f t="shared" si="50"/>
        <v>-430.68698589859764</v>
      </c>
      <c r="J432" s="356">
        <f t="shared" si="51"/>
        <v>430256.29891269904</v>
      </c>
      <c r="M432" s="358"/>
      <c r="N432" s="356"/>
    </row>
    <row r="433" spans="1:14" x14ac:dyDescent="0.25">
      <c r="A433" s="356">
        <f t="shared" si="52"/>
        <v>410</v>
      </c>
      <c r="B433" s="357">
        <f t="shared" si="54"/>
        <v>34</v>
      </c>
      <c r="C433" s="357">
        <f t="shared" si="55"/>
        <v>2</v>
      </c>
      <c r="D433" s="357">
        <f t="shared" si="56"/>
        <v>63</v>
      </c>
      <c r="E433" s="356">
        <f t="shared" si="53"/>
        <v>430256.29891269904</v>
      </c>
      <c r="G433" s="356">
        <f t="shared" si="49"/>
        <v>3100.996255068184</v>
      </c>
      <c r="H433" s="356">
        <v>0</v>
      </c>
      <c r="I433" s="356">
        <f t="shared" si="50"/>
        <v>-433.35729516776723</v>
      </c>
      <c r="J433" s="356">
        <f t="shared" si="51"/>
        <v>432923.93787259946</v>
      </c>
      <c r="M433" s="358"/>
      <c r="N433" s="356"/>
    </row>
    <row r="434" spans="1:14" x14ac:dyDescent="0.25">
      <c r="A434" s="356">
        <f t="shared" si="52"/>
        <v>411</v>
      </c>
      <c r="B434" s="357">
        <f t="shared" si="54"/>
        <v>34</v>
      </c>
      <c r="C434" s="357">
        <f t="shared" si="55"/>
        <v>3</v>
      </c>
      <c r="D434" s="357">
        <f t="shared" si="56"/>
        <v>63</v>
      </c>
      <c r="E434" s="356">
        <f t="shared" si="53"/>
        <v>432923.93787259946</v>
      </c>
      <c r="G434" s="356">
        <f t="shared" si="49"/>
        <v>3120.222791542909</v>
      </c>
      <c r="H434" s="360">
        <f>-SUM(E434:G434)*$H$21</f>
        <v>-3924.3974459772817</v>
      </c>
      <c r="I434" s="356">
        <f t="shared" si="50"/>
        <v>-436.04416066414234</v>
      </c>
      <c r="J434" s="356">
        <f t="shared" si="51"/>
        <v>431683.71905750094</v>
      </c>
      <c r="M434" s="358"/>
      <c r="N434" s="356"/>
    </row>
    <row r="435" spans="1:14" x14ac:dyDescent="0.25">
      <c r="A435" s="356">
        <f t="shared" si="52"/>
        <v>412</v>
      </c>
      <c r="B435" s="357">
        <f t="shared" si="54"/>
        <v>34</v>
      </c>
      <c r="C435" s="357">
        <f t="shared" si="55"/>
        <v>4</v>
      </c>
      <c r="D435" s="357">
        <f t="shared" si="56"/>
        <v>63</v>
      </c>
      <c r="E435" s="356">
        <f t="shared" si="53"/>
        <v>431683.71905750094</v>
      </c>
      <c r="G435" s="356">
        <f t="shared" si="49"/>
        <v>3111.284133559738</v>
      </c>
      <c r="H435" s="356">
        <v>0</v>
      </c>
      <c r="I435" s="356">
        <f t="shared" si="50"/>
        <v>-434.7950031910607</v>
      </c>
      <c r="J435" s="356">
        <f t="shared" si="51"/>
        <v>434360.20818786963</v>
      </c>
      <c r="M435" s="358"/>
      <c r="N435" s="356"/>
    </row>
    <row r="436" spans="1:14" x14ac:dyDescent="0.25">
      <c r="A436" s="356">
        <f t="shared" si="52"/>
        <v>413</v>
      </c>
      <c r="B436" s="357">
        <f t="shared" si="54"/>
        <v>34</v>
      </c>
      <c r="C436" s="357">
        <f t="shared" si="55"/>
        <v>5</v>
      </c>
      <c r="D436" s="357">
        <f t="shared" si="56"/>
        <v>63</v>
      </c>
      <c r="E436" s="356">
        <f t="shared" si="53"/>
        <v>434360.20818786963</v>
      </c>
      <c r="G436" s="356">
        <f t="shared" si="49"/>
        <v>3130.5744560744306</v>
      </c>
      <c r="H436" s="356">
        <v>0</v>
      </c>
      <c r="I436" s="356">
        <f t="shared" si="50"/>
        <v>-437.4907826439441</v>
      </c>
      <c r="J436" s="356">
        <f t="shared" si="51"/>
        <v>437053.2918613001</v>
      </c>
      <c r="M436" s="358"/>
      <c r="N436" s="356"/>
    </row>
    <row r="437" spans="1:14" x14ac:dyDescent="0.25">
      <c r="A437" s="356">
        <f t="shared" si="52"/>
        <v>414</v>
      </c>
      <c r="B437" s="357">
        <f t="shared" si="54"/>
        <v>34</v>
      </c>
      <c r="C437" s="357">
        <f t="shared" si="55"/>
        <v>6</v>
      </c>
      <c r="D437" s="357">
        <f t="shared" si="56"/>
        <v>63</v>
      </c>
      <c r="E437" s="356">
        <f t="shared" si="53"/>
        <v>437053.2918613001</v>
      </c>
      <c r="G437" s="356">
        <f t="shared" si="49"/>
        <v>3149.9843808262535</v>
      </c>
      <c r="H437" s="360">
        <f>-SUM(E437:G437)*$H$21</f>
        <v>-3961.829486179138</v>
      </c>
      <c r="I437" s="356">
        <f t="shared" si="50"/>
        <v>-440.2032762421264</v>
      </c>
      <c r="J437" s="356">
        <f t="shared" si="51"/>
        <v>435801.24347970507</v>
      </c>
      <c r="M437" s="358"/>
      <c r="N437" s="356"/>
    </row>
    <row r="438" spans="1:14" x14ac:dyDescent="0.25">
      <c r="A438" s="356">
        <f t="shared" si="52"/>
        <v>415</v>
      </c>
      <c r="B438" s="357">
        <f t="shared" si="54"/>
        <v>34</v>
      </c>
      <c r="C438" s="357">
        <f t="shared" si="55"/>
        <v>7</v>
      </c>
      <c r="D438" s="357">
        <f t="shared" si="56"/>
        <v>63</v>
      </c>
      <c r="E438" s="356">
        <f t="shared" si="53"/>
        <v>435801.24347970507</v>
      </c>
      <c r="G438" s="356">
        <f t="shared" si="49"/>
        <v>3140.960463332652</v>
      </c>
      <c r="H438" s="356">
        <v>0</v>
      </c>
      <c r="I438" s="356">
        <f t="shared" si="50"/>
        <v>-438.9422039430377</v>
      </c>
      <c r="J438" s="356">
        <f t="shared" si="51"/>
        <v>438503.2617390947</v>
      </c>
      <c r="M438" s="358"/>
      <c r="N438" s="356"/>
    </row>
    <row r="439" spans="1:14" x14ac:dyDescent="0.25">
      <c r="A439" s="356">
        <f t="shared" si="52"/>
        <v>416</v>
      </c>
      <c r="B439" s="357">
        <f t="shared" si="54"/>
        <v>34</v>
      </c>
      <c r="C439" s="357">
        <f t="shared" si="55"/>
        <v>8</v>
      </c>
      <c r="D439" s="357">
        <f t="shared" si="56"/>
        <v>63</v>
      </c>
      <c r="E439" s="356">
        <f t="shared" si="53"/>
        <v>438503.2617390947</v>
      </c>
      <c r="G439" s="356">
        <f t="shared" si="49"/>
        <v>3160.434782534178</v>
      </c>
      <c r="H439" s="356">
        <v>0</v>
      </c>
      <c r="I439" s="356">
        <f t="shared" si="50"/>
        <v>-441.6636965216289</v>
      </c>
      <c r="J439" s="356">
        <f t="shared" si="51"/>
        <v>441222.0328251073</v>
      </c>
      <c r="M439" s="358"/>
      <c r="N439" s="356"/>
    </row>
    <row r="440" spans="1:14" x14ac:dyDescent="0.25">
      <c r="A440" s="356">
        <f t="shared" si="52"/>
        <v>417</v>
      </c>
      <c r="B440" s="357">
        <f t="shared" si="54"/>
        <v>34</v>
      </c>
      <c r="C440" s="357">
        <f t="shared" si="55"/>
        <v>9</v>
      </c>
      <c r="D440" s="357">
        <f t="shared" si="56"/>
        <v>63</v>
      </c>
      <c r="E440" s="356">
        <f t="shared" si="53"/>
        <v>441222.0328251073</v>
      </c>
      <c r="G440" s="356">
        <f t="shared" si="49"/>
        <v>3180.029844773635</v>
      </c>
      <c r="H440" s="360">
        <f>-SUM(E440:G440)*$H$21</f>
        <v>-3999.6185640289286</v>
      </c>
      <c r="I440" s="356">
        <f t="shared" si="50"/>
        <v>-444.40206266988093</v>
      </c>
      <c r="J440" s="356">
        <f t="shared" si="51"/>
        <v>439958.0420431821</v>
      </c>
      <c r="M440" s="358"/>
      <c r="N440" s="356"/>
    </row>
    <row r="441" spans="1:14" x14ac:dyDescent="0.25">
      <c r="A441" s="356">
        <f t="shared" si="52"/>
        <v>418</v>
      </c>
      <c r="B441" s="357">
        <f t="shared" si="54"/>
        <v>34</v>
      </c>
      <c r="C441" s="357">
        <f t="shared" si="55"/>
        <v>10</v>
      </c>
      <c r="D441" s="357">
        <f t="shared" si="56"/>
        <v>63</v>
      </c>
      <c r="E441" s="356">
        <f t="shared" si="53"/>
        <v>439958.0420431821</v>
      </c>
      <c r="G441" s="356">
        <f t="shared" si="49"/>
        <v>3170.919854539684</v>
      </c>
      <c r="H441" s="356">
        <v>0</v>
      </c>
      <c r="I441" s="356">
        <f t="shared" si="50"/>
        <v>-443.1289618977218</v>
      </c>
      <c r="J441" s="356">
        <f t="shared" si="51"/>
        <v>442685.83293582406</v>
      </c>
      <c r="M441" s="358"/>
      <c r="N441" s="356"/>
    </row>
    <row r="442" spans="1:14" x14ac:dyDescent="0.25">
      <c r="A442" s="356">
        <f t="shared" si="52"/>
        <v>419</v>
      </c>
      <c r="B442" s="357">
        <f t="shared" si="54"/>
        <v>34</v>
      </c>
      <c r="C442" s="357">
        <f t="shared" si="55"/>
        <v>11</v>
      </c>
      <c r="D442" s="357">
        <f t="shared" si="56"/>
        <v>63</v>
      </c>
      <c r="E442" s="356">
        <f t="shared" si="53"/>
        <v>442685.83293582406</v>
      </c>
      <c r="G442" s="356">
        <f t="shared" si="49"/>
        <v>3190.5799254417675</v>
      </c>
      <c r="H442" s="356">
        <v>0</v>
      </c>
      <c r="I442" s="356">
        <f t="shared" si="50"/>
        <v>-445.8764128612658</v>
      </c>
      <c r="J442" s="356">
        <f t="shared" si="51"/>
        <v>445430.53644840454</v>
      </c>
      <c r="M442" s="358"/>
      <c r="N442" s="356"/>
    </row>
    <row r="443" spans="1:14" x14ac:dyDescent="0.25">
      <c r="A443" s="356">
        <f t="shared" si="52"/>
        <v>420</v>
      </c>
      <c r="B443" s="357">
        <f t="shared" si="54"/>
        <v>34</v>
      </c>
      <c r="C443" s="357">
        <f t="shared" si="55"/>
        <v>12</v>
      </c>
      <c r="D443" s="357">
        <f t="shared" si="56"/>
        <v>63</v>
      </c>
      <c r="E443" s="356">
        <f t="shared" si="53"/>
        <v>445430.53644840454</v>
      </c>
      <c r="G443" s="356">
        <f t="shared" si="49"/>
        <v>3210.361891063871</v>
      </c>
      <c r="H443" s="360">
        <f>-SUM(E443:G443)*$H$21</f>
        <v>-4037.768085055216</v>
      </c>
      <c r="I443" s="356">
        <f t="shared" si="50"/>
        <v>-448.64089833946844</v>
      </c>
      <c r="J443" s="356">
        <f t="shared" si="51"/>
        <v>444154.4893560737</v>
      </c>
      <c r="M443" s="358"/>
      <c r="N443" s="356"/>
    </row>
    <row r="444" spans="1:14" x14ac:dyDescent="0.25">
      <c r="A444" s="356">
        <f t="shared" si="52"/>
        <v>421</v>
      </c>
      <c r="B444" s="357">
        <f t="shared" si="54"/>
        <v>35</v>
      </c>
      <c r="C444" s="357">
        <f t="shared" si="55"/>
        <v>1</v>
      </c>
      <c r="D444" s="357">
        <f t="shared" si="56"/>
        <v>64</v>
      </c>
      <c r="E444" s="356">
        <f t="shared" si="53"/>
        <v>444154.4893560737</v>
      </c>
      <c r="G444" s="356">
        <f t="shared" si="49"/>
        <v>3201.1650071028266</v>
      </c>
      <c r="H444" s="356">
        <v>0</v>
      </c>
      <c r="I444" s="356">
        <f t="shared" si="50"/>
        <v>-447.35565436317654</v>
      </c>
      <c r="J444" s="356">
        <f t="shared" si="51"/>
        <v>446908.2987088134</v>
      </c>
      <c r="M444" s="358"/>
      <c r="N444" s="356"/>
    </row>
    <row r="445" spans="1:14" x14ac:dyDescent="0.25">
      <c r="A445" s="356">
        <f t="shared" si="52"/>
        <v>422</v>
      </c>
      <c r="B445" s="357">
        <f t="shared" si="54"/>
        <v>35</v>
      </c>
      <c r="C445" s="357">
        <f t="shared" si="55"/>
        <v>2</v>
      </c>
      <c r="D445" s="357">
        <f t="shared" si="56"/>
        <v>64</v>
      </c>
      <c r="E445" s="356">
        <f t="shared" si="53"/>
        <v>446908.2987088134</v>
      </c>
      <c r="G445" s="356">
        <f t="shared" si="49"/>
        <v>3221.012601459023</v>
      </c>
      <c r="H445" s="356">
        <v>0</v>
      </c>
      <c r="I445" s="356">
        <f t="shared" si="50"/>
        <v>-450.12931131027244</v>
      </c>
      <c r="J445" s="356">
        <f t="shared" si="51"/>
        <v>449679.1819989622</v>
      </c>
      <c r="M445" s="358"/>
      <c r="N445" s="356"/>
    </row>
    <row r="446" spans="1:14" x14ac:dyDescent="0.25">
      <c r="A446" s="356">
        <f t="shared" si="52"/>
        <v>423</v>
      </c>
      <c r="B446" s="357">
        <f t="shared" si="54"/>
        <v>35</v>
      </c>
      <c r="C446" s="357">
        <f t="shared" si="55"/>
        <v>3</v>
      </c>
      <c r="D446" s="357">
        <f t="shared" si="56"/>
        <v>64</v>
      </c>
      <c r="E446" s="356">
        <f t="shared" si="53"/>
        <v>449679.1819989622</v>
      </c>
      <c r="G446" s="356">
        <f t="shared" si="49"/>
        <v>3240.9832532024056</v>
      </c>
      <c r="H446" s="360">
        <f>-SUM(E446:G446)*$H$21</f>
        <v>-4076.2814872694817</v>
      </c>
      <c r="I446" s="356">
        <f t="shared" si="50"/>
        <v>-452.9201652521646</v>
      </c>
      <c r="J446" s="356">
        <f t="shared" si="51"/>
        <v>448390.9635996429</v>
      </c>
      <c r="M446" s="358"/>
      <c r="N446" s="356"/>
    </row>
    <row r="447" spans="1:14" x14ac:dyDescent="0.25">
      <c r="A447" s="356">
        <f t="shared" si="52"/>
        <v>424</v>
      </c>
      <c r="B447" s="357">
        <f t="shared" si="54"/>
        <v>35</v>
      </c>
      <c r="C447" s="357">
        <f t="shared" si="55"/>
        <v>4</v>
      </c>
      <c r="D447" s="357">
        <f t="shared" si="56"/>
        <v>64</v>
      </c>
      <c r="E447" s="356">
        <f t="shared" si="53"/>
        <v>448390.9635996429</v>
      </c>
      <c r="G447" s="356">
        <f t="shared" si="49"/>
        <v>3231.6986466967155</v>
      </c>
      <c r="H447" s="356">
        <v>0</v>
      </c>
      <c r="I447" s="356">
        <f t="shared" si="50"/>
        <v>-451.6226622463396</v>
      </c>
      <c r="J447" s="356">
        <f t="shared" si="51"/>
        <v>451171.03958409326</v>
      </c>
      <c r="M447" s="358"/>
      <c r="N447" s="356"/>
    </row>
    <row r="448" spans="1:14" x14ac:dyDescent="0.25">
      <c r="A448" s="356">
        <f t="shared" si="52"/>
        <v>425</v>
      </c>
      <c r="B448" s="357">
        <f t="shared" si="54"/>
        <v>35</v>
      </c>
      <c r="C448" s="357">
        <f t="shared" si="55"/>
        <v>5</v>
      </c>
      <c r="D448" s="357">
        <f t="shared" si="56"/>
        <v>64</v>
      </c>
      <c r="E448" s="356">
        <f t="shared" si="53"/>
        <v>451171.03958409326</v>
      </c>
      <c r="G448" s="356">
        <f t="shared" si="49"/>
        <v>3251.7355531600765</v>
      </c>
      <c r="H448" s="356">
        <v>0</v>
      </c>
      <c r="I448" s="356">
        <f t="shared" si="50"/>
        <v>-454.4227751372533</v>
      </c>
      <c r="J448" s="356">
        <f t="shared" si="51"/>
        <v>453968.3523621161</v>
      </c>
      <c r="M448" s="358"/>
      <c r="N448" s="356"/>
    </row>
    <row r="449" spans="1:14" x14ac:dyDescent="0.25">
      <c r="A449" s="356">
        <f t="shared" si="52"/>
        <v>426</v>
      </c>
      <c r="B449" s="357">
        <f t="shared" si="54"/>
        <v>35</v>
      </c>
      <c r="C449" s="357">
        <f t="shared" si="55"/>
        <v>6</v>
      </c>
      <c r="D449" s="357">
        <f t="shared" si="56"/>
        <v>64</v>
      </c>
      <c r="E449" s="356">
        <f t="shared" si="53"/>
        <v>453968.3523621161</v>
      </c>
      <c r="G449" s="356">
        <f t="shared" si="49"/>
        <v>3271.8966907676477</v>
      </c>
      <c r="H449" s="360">
        <f>-SUM(E449:G449)*$H$21</f>
        <v>-4115.162241475954</v>
      </c>
      <c r="I449" s="356">
        <f t="shared" si="50"/>
        <v>-457.24024905288377</v>
      </c>
      <c r="J449" s="356">
        <f t="shared" si="51"/>
        <v>452667.84656235494</v>
      </c>
      <c r="M449" s="358"/>
      <c r="N449" s="356"/>
    </row>
    <row r="450" spans="1:14" x14ac:dyDescent="0.25">
      <c r="A450" s="356">
        <f t="shared" si="52"/>
        <v>427</v>
      </c>
      <c r="B450" s="357">
        <f t="shared" si="54"/>
        <v>35</v>
      </c>
      <c r="C450" s="357">
        <f t="shared" si="55"/>
        <v>7</v>
      </c>
      <c r="D450" s="357">
        <f t="shared" si="56"/>
        <v>64</v>
      </c>
      <c r="E450" s="356">
        <f t="shared" si="53"/>
        <v>452667.84656235494</v>
      </c>
      <c r="G450" s="356">
        <f t="shared" si="49"/>
        <v>3262.523524994258</v>
      </c>
      <c r="H450" s="356">
        <v>0</v>
      </c>
      <c r="I450" s="356">
        <f t="shared" si="50"/>
        <v>-455.9303700873492</v>
      </c>
      <c r="J450" s="356">
        <f t="shared" si="51"/>
        <v>455474.4397172619</v>
      </c>
      <c r="M450" s="358"/>
      <c r="N450" s="356"/>
    </row>
    <row r="451" spans="1:14" x14ac:dyDescent="0.25">
      <c r="A451" s="356">
        <f t="shared" si="52"/>
        <v>428</v>
      </c>
      <c r="B451" s="357">
        <f t="shared" si="54"/>
        <v>35</v>
      </c>
      <c r="C451" s="357">
        <f t="shared" si="55"/>
        <v>8</v>
      </c>
      <c r="D451" s="357">
        <f t="shared" si="56"/>
        <v>64</v>
      </c>
      <c r="E451" s="356">
        <f t="shared" si="53"/>
        <v>455474.4397172619</v>
      </c>
      <c r="G451" s="356">
        <f t="shared" si="49"/>
        <v>3282.7515492785283</v>
      </c>
      <c r="H451" s="356">
        <v>0</v>
      </c>
      <c r="I451" s="356">
        <f t="shared" si="50"/>
        <v>-458.7571912665404</v>
      </c>
      <c r="J451" s="356">
        <f t="shared" si="51"/>
        <v>458298.43407527386</v>
      </c>
      <c r="M451" s="358"/>
      <c r="N451" s="356"/>
    </row>
    <row r="452" spans="1:14" x14ac:dyDescent="0.25">
      <c r="A452" s="356">
        <f t="shared" si="52"/>
        <v>429</v>
      </c>
      <c r="B452" s="357">
        <f t="shared" si="54"/>
        <v>35</v>
      </c>
      <c r="C452" s="357">
        <f t="shared" si="55"/>
        <v>9</v>
      </c>
      <c r="D452" s="357">
        <f t="shared" si="56"/>
        <v>64</v>
      </c>
      <c r="E452" s="356">
        <f t="shared" si="53"/>
        <v>458298.43407527386</v>
      </c>
      <c r="G452" s="356">
        <f t="shared" si="49"/>
        <v>3303.104989659667</v>
      </c>
      <c r="H452" s="360">
        <f>-SUM(E452:G452)*$H$21</f>
        <v>-4154.413851584402</v>
      </c>
      <c r="I452" s="356">
        <f t="shared" si="50"/>
        <v>-461.60153906493355</v>
      </c>
      <c r="J452" s="356">
        <f t="shared" si="51"/>
        <v>456985.52367428417</v>
      </c>
      <c r="M452" s="358"/>
      <c r="N452" s="356"/>
    </row>
    <row r="453" spans="1:14" x14ac:dyDescent="0.25">
      <c r="A453" s="356">
        <f t="shared" si="52"/>
        <v>430</v>
      </c>
      <c r="B453" s="357">
        <f t="shared" si="54"/>
        <v>35</v>
      </c>
      <c r="C453" s="357">
        <f t="shared" si="55"/>
        <v>10</v>
      </c>
      <c r="D453" s="357">
        <f t="shared" si="56"/>
        <v>64</v>
      </c>
      <c r="E453" s="356">
        <f t="shared" si="53"/>
        <v>456985.52367428417</v>
      </c>
      <c r="G453" s="356">
        <f t="shared" si="49"/>
        <v>3293.6424199146154</v>
      </c>
      <c r="H453" s="356">
        <v>0</v>
      </c>
      <c r="I453" s="356">
        <f t="shared" si="50"/>
        <v>-460.2791660941988</v>
      </c>
      <c r="J453" s="356">
        <f t="shared" si="51"/>
        <v>459818.88692810456</v>
      </c>
      <c r="M453" s="358"/>
      <c r="N453" s="356"/>
    </row>
    <row r="454" spans="1:14" x14ac:dyDescent="0.25">
      <c r="A454" s="356">
        <f t="shared" si="52"/>
        <v>431</v>
      </c>
      <c r="B454" s="357">
        <f t="shared" si="54"/>
        <v>35</v>
      </c>
      <c r="C454" s="357">
        <f t="shared" si="55"/>
        <v>11</v>
      </c>
      <c r="D454" s="357">
        <f t="shared" si="56"/>
        <v>64</v>
      </c>
      <c r="E454" s="356">
        <f t="shared" si="53"/>
        <v>459818.88692810456</v>
      </c>
      <c r="G454" s="356">
        <f t="shared" si="49"/>
        <v>3314.06338495696</v>
      </c>
      <c r="H454" s="356">
        <v>0</v>
      </c>
      <c r="I454" s="356">
        <f t="shared" si="50"/>
        <v>-463.13295031306154</v>
      </c>
      <c r="J454" s="356">
        <f t="shared" si="51"/>
        <v>462669.8173627485</v>
      </c>
      <c r="M454" s="358"/>
      <c r="N454" s="356"/>
    </row>
    <row r="455" spans="1:14" x14ac:dyDescent="0.25">
      <c r="A455" s="356">
        <f t="shared" si="52"/>
        <v>432</v>
      </c>
      <c r="B455" s="357">
        <f t="shared" si="54"/>
        <v>35</v>
      </c>
      <c r="C455" s="357">
        <f t="shared" si="55"/>
        <v>12</v>
      </c>
      <c r="D455" s="357">
        <f t="shared" si="56"/>
        <v>64</v>
      </c>
      <c r="E455" s="356">
        <f t="shared" si="53"/>
        <v>462669.8173627485</v>
      </c>
      <c r="G455" s="356">
        <f t="shared" si="49"/>
        <v>3334.610962351253</v>
      </c>
      <c r="H455" s="360">
        <f>-SUM(E455:G455)*$H$21</f>
        <v>-4194.039854925898</v>
      </c>
      <c r="I455" s="356">
        <f t="shared" si="50"/>
        <v>-466.00442832509975</v>
      </c>
      <c r="J455" s="356">
        <f t="shared" si="51"/>
        <v>461344.38404184877</v>
      </c>
      <c r="M455" s="358"/>
      <c r="N455" s="356"/>
    </row>
    <row r="456" spans="1:14" x14ac:dyDescent="0.25">
      <c r="A456" s="356">
        <f t="shared" si="52"/>
        <v>433</v>
      </c>
      <c r="B456" s="357">
        <f t="shared" si="54"/>
        <v>36</v>
      </c>
      <c r="C456" s="357">
        <f t="shared" si="55"/>
        <v>1</v>
      </c>
      <c r="D456" s="357">
        <f t="shared" si="56"/>
        <v>65</v>
      </c>
      <c r="E456" s="356">
        <f t="shared" si="53"/>
        <v>461344.38404184877</v>
      </c>
      <c r="G456" s="356">
        <f t="shared" si="49"/>
        <v>3325.058135873548</v>
      </c>
      <c r="H456" s="356">
        <v>0</v>
      </c>
      <c r="I456" s="356">
        <f t="shared" si="50"/>
        <v>-464.6694421777223</v>
      </c>
      <c r="J456" s="356">
        <f t="shared" si="51"/>
        <v>464204.77273554454</v>
      </c>
      <c r="M456" s="358"/>
      <c r="N456" s="356"/>
    </row>
    <row r="457" spans="1:14" x14ac:dyDescent="0.25">
      <c r="A457" s="356">
        <f t="shared" si="52"/>
        <v>434</v>
      </c>
      <c r="B457" s="357">
        <f t="shared" si="54"/>
        <v>36</v>
      </c>
      <c r="C457" s="357">
        <f t="shared" si="55"/>
        <v>2</v>
      </c>
      <c r="D457" s="357">
        <f t="shared" si="56"/>
        <v>65</v>
      </c>
      <c r="E457" s="356">
        <f t="shared" si="53"/>
        <v>464204.77273554454</v>
      </c>
      <c r="G457" s="356">
        <f t="shared" si="49"/>
        <v>3345.6738819988354</v>
      </c>
      <c r="H457" s="356">
        <v>0</v>
      </c>
      <c r="I457" s="356">
        <f t="shared" si="50"/>
        <v>-467.55044661754334</v>
      </c>
      <c r="J457" s="356">
        <f t="shared" si="51"/>
        <v>467082.8961709258</v>
      </c>
      <c r="M457" s="358"/>
      <c r="N457" s="356"/>
    </row>
    <row r="458" spans="1:14" x14ac:dyDescent="0.25">
      <c r="A458" s="356">
        <f t="shared" si="52"/>
        <v>435</v>
      </c>
      <c r="B458" s="357">
        <f t="shared" si="54"/>
        <v>36</v>
      </c>
      <c r="C458" s="357">
        <f t="shared" si="55"/>
        <v>3</v>
      </c>
      <c r="D458" s="357">
        <f t="shared" si="56"/>
        <v>65</v>
      </c>
      <c r="E458" s="356">
        <f t="shared" si="53"/>
        <v>467082.8961709258</v>
      </c>
      <c r="G458" s="356">
        <f t="shared" si="49"/>
        <v>3366.4174481413784</v>
      </c>
      <c r="H458" s="360">
        <f>-SUM(E458:G458)*$H$21</f>
        <v>-4234.043822571605</v>
      </c>
      <c r="I458" s="356">
        <f t="shared" si="50"/>
        <v>-470.4493136190672</v>
      </c>
      <c r="J458" s="356">
        <f t="shared" si="51"/>
        <v>465744.82048287656</v>
      </c>
      <c r="M458" s="358"/>
      <c r="N458" s="356"/>
    </row>
    <row r="459" spans="1:14" x14ac:dyDescent="0.25">
      <c r="A459" s="356">
        <f t="shared" si="52"/>
        <v>436</v>
      </c>
      <c r="B459" s="357">
        <f t="shared" si="54"/>
        <v>36</v>
      </c>
      <c r="C459" s="357">
        <f t="shared" si="55"/>
        <v>4</v>
      </c>
      <c r="D459" s="357">
        <f t="shared" si="56"/>
        <v>65</v>
      </c>
      <c r="E459" s="356">
        <f t="shared" si="53"/>
        <v>465744.82048287656</v>
      </c>
      <c r="G459" s="356">
        <f t="shared" si="49"/>
        <v>3356.7735040361454</v>
      </c>
      <c r="H459" s="356">
        <v>0</v>
      </c>
      <c r="I459" s="356">
        <f t="shared" si="50"/>
        <v>-469.1015939869127</v>
      </c>
      <c r="J459" s="356">
        <f t="shared" si="51"/>
        <v>468632.4923929258</v>
      </c>
      <c r="M459" s="358"/>
      <c r="N459" s="356"/>
    </row>
    <row r="460" spans="1:14" x14ac:dyDescent="0.25">
      <c r="A460" s="356">
        <f t="shared" si="52"/>
        <v>437</v>
      </c>
      <c r="B460" s="357">
        <f t="shared" si="54"/>
        <v>36</v>
      </c>
      <c r="C460" s="357">
        <f t="shared" si="55"/>
        <v>5</v>
      </c>
      <c r="D460" s="357">
        <f t="shared" si="56"/>
        <v>65</v>
      </c>
      <c r="E460" s="356">
        <f t="shared" si="53"/>
        <v>468632.4923929258</v>
      </c>
      <c r="G460" s="356">
        <f t="shared" si="49"/>
        <v>3377.585889122796</v>
      </c>
      <c r="H460" s="356">
        <v>0</v>
      </c>
      <c r="I460" s="356">
        <f t="shared" si="50"/>
        <v>-472.0100782820486</v>
      </c>
      <c r="J460" s="356">
        <f t="shared" si="51"/>
        <v>471538.06820376654</v>
      </c>
      <c r="M460" s="358"/>
      <c r="N460" s="356"/>
    </row>
    <row r="461" spans="1:14" x14ac:dyDescent="0.25">
      <c r="A461" s="356">
        <f t="shared" si="52"/>
        <v>438</v>
      </c>
      <c r="B461" s="357">
        <f t="shared" si="54"/>
        <v>36</v>
      </c>
      <c r="C461" s="357">
        <f t="shared" si="55"/>
        <v>6</v>
      </c>
      <c r="D461" s="357">
        <f t="shared" si="56"/>
        <v>65</v>
      </c>
      <c r="E461" s="356">
        <f t="shared" si="53"/>
        <v>471538.06820376654</v>
      </c>
      <c r="G461" s="356">
        <f t="shared" si="49"/>
        <v>3398.5273134110716</v>
      </c>
      <c r="H461" s="360">
        <f>-SUM(E461:G461)*$H$21</f>
        <v>-4274.429359654599</v>
      </c>
      <c r="I461" s="356">
        <f t="shared" si="50"/>
        <v>-474.93659551717764</v>
      </c>
      <c r="J461" s="356">
        <f t="shared" si="51"/>
        <v>470187.22956200584</v>
      </c>
      <c r="M461" s="358"/>
      <c r="N461" s="356"/>
    </row>
    <row r="462" spans="1:14" x14ac:dyDescent="0.25">
      <c r="A462" s="356">
        <f t="shared" si="52"/>
        <v>439</v>
      </c>
      <c r="B462" s="357">
        <f t="shared" si="54"/>
        <v>36</v>
      </c>
      <c r="C462" s="357">
        <f t="shared" si="55"/>
        <v>7</v>
      </c>
      <c r="D462" s="357">
        <f t="shared" si="56"/>
        <v>65</v>
      </c>
      <c r="E462" s="356">
        <f t="shared" si="53"/>
        <v>470187.22956200584</v>
      </c>
      <c r="G462" s="356">
        <f t="shared" si="49"/>
        <v>3388.791382571971</v>
      </c>
      <c r="H462" s="356">
        <v>0</v>
      </c>
      <c r="I462" s="356">
        <f t="shared" si="50"/>
        <v>-473.5760209445778</v>
      </c>
      <c r="J462" s="356">
        <f t="shared" si="51"/>
        <v>473102.44492363324</v>
      </c>
      <c r="M462" s="358"/>
      <c r="N462" s="356"/>
    </row>
    <row r="463" spans="1:14" x14ac:dyDescent="0.25">
      <c r="A463" s="356">
        <f t="shared" si="52"/>
        <v>440</v>
      </c>
      <c r="B463" s="357">
        <f t="shared" si="54"/>
        <v>36</v>
      </c>
      <c r="C463" s="357">
        <f t="shared" si="55"/>
        <v>8</v>
      </c>
      <c r="D463" s="357">
        <f t="shared" si="56"/>
        <v>65</v>
      </c>
      <c r="E463" s="356">
        <f t="shared" si="53"/>
        <v>473102.44492363324</v>
      </c>
      <c r="G463" s="356">
        <f t="shared" si="49"/>
        <v>3409.8022822193884</v>
      </c>
      <c r="H463" s="356">
        <v>0</v>
      </c>
      <c r="I463" s="356">
        <f t="shared" si="50"/>
        <v>-476.51224720585265</v>
      </c>
      <c r="J463" s="356">
        <f t="shared" si="51"/>
        <v>476035.7349586468</v>
      </c>
      <c r="M463" s="358"/>
      <c r="N463" s="356"/>
    </row>
    <row r="464" spans="1:14" x14ac:dyDescent="0.25">
      <c r="A464" s="356">
        <f t="shared" si="52"/>
        <v>441</v>
      </c>
      <c r="B464" s="357">
        <f t="shared" si="54"/>
        <v>36</v>
      </c>
      <c r="C464" s="357">
        <f t="shared" si="55"/>
        <v>9</v>
      </c>
      <c r="D464" s="357">
        <f t="shared" si="56"/>
        <v>65</v>
      </c>
      <c r="E464" s="356">
        <f t="shared" si="53"/>
        <v>476035.7349586468</v>
      </c>
      <c r="G464" s="356">
        <f t="shared" si="49"/>
        <v>3430.943451881733</v>
      </c>
      <c r="H464" s="360">
        <f>-SUM(E464:G464)*$H$21</f>
        <v>-4315.200105694757</v>
      </c>
      <c r="I464" s="356">
        <f t="shared" si="50"/>
        <v>-479.4666784105286</v>
      </c>
      <c r="J464" s="356">
        <f t="shared" si="51"/>
        <v>474672.0116264233</v>
      </c>
      <c r="M464" s="358"/>
      <c r="N464" s="356"/>
    </row>
    <row r="465" spans="1:14" x14ac:dyDescent="0.25">
      <c r="A465" s="356">
        <f t="shared" si="52"/>
        <v>442</v>
      </c>
      <c r="B465" s="357">
        <f t="shared" si="54"/>
        <v>36</v>
      </c>
      <c r="C465" s="357">
        <f t="shared" si="55"/>
        <v>10</v>
      </c>
      <c r="D465" s="357">
        <f t="shared" si="56"/>
        <v>65</v>
      </c>
      <c r="E465" s="356">
        <f t="shared" si="53"/>
        <v>474672.0116264233</v>
      </c>
      <c r="G465" s="356">
        <f t="shared" si="49"/>
        <v>3421.1146569126386</v>
      </c>
      <c r="H465" s="356">
        <v>0</v>
      </c>
      <c r="I465" s="356">
        <f t="shared" si="50"/>
        <v>-478.0931262833359</v>
      </c>
      <c r="J465" s="356">
        <f t="shared" si="51"/>
        <v>477615.0331570526</v>
      </c>
      <c r="M465" s="358"/>
      <c r="N465" s="356"/>
    </row>
    <row r="466" spans="1:14" x14ac:dyDescent="0.25">
      <c r="A466" s="356">
        <f t="shared" si="52"/>
        <v>443</v>
      </c>
      <c r="B466" s="357">
        <f t="shared" si="54"/>
        <v>36</v>
      </c>
      <c r="C466" s="357">
        <f t="shared" si="55"/>
        <v>11</v>
      </c>
      <c r="D466" s="357">
        <f t="shared" si="56"/>
        <v>65</v>
      </c>
      <c r="E466" s="356">
        <f t="shared" si="53"/>
        <v>477615.0331570526</v>
      </c>
      <c r="G466" s="356">
        <f t="shared" si="49"/>
        <v>3442.3259646102356</v>
      </c>
      <c r="H466" s="356">
        <v>0</v>
      </c>
      <c r="I466" s="356">
        <f t="shared" si="50"/>
        <v>-481.0573591216628</v>
      </c>
      <c r="J466" s="356">
        <f t="shared" si="51"/>
        <v>480576.3017625411</v>
      </c>
      <c r="M466" s="358"/>
      <c r="N466" s="356"/>
    </row>
    <row r="467" spans="1:14" x14ac:dyDescent="0.25">
      <c r="A467" s="356">
        <f t="shared" si="52"/>
        <v>444</v>
      </c>
      <c r="B467" s="357">
        <f t="shared" si="54"/>
        <v>36</v>
      </c>
      <c r="C467" s="357">
        <f t="shared" si="55"/>
        <v>12</v>
      </c>
      <c r="D467" s="357">
        <f t="shared" si="56"/>
        <v>65</v>
      </c>
      <c r="E467" s="356">
        <f t="shared" si="53"/>
        <v>480576.3017625411</v>
      </c>
      <c r="G467" s="356">
        <f t="shared" si="49"/>
        <v>3463.6687848759166</v>
      </c>
      <c r="H467" s="360">
        <f>-SUM(E467:G467)*$H$21</f>
        <v>-4356.359734926754</v>
      </c>
      <c r="I467" s="356">
        <f t="shared" si="50"/>
        <v>-484.039970547417</v>
      </c>
      <c r="J467" s="356">
        <f t="shared" si="51"/>
        <v>479199.5708419428</v>
      </c>
      <c r="M467" s="358"/>
      <c r="N467" s="356"/>
    </row>
    <row r="468" spans="1:14" x14ac:dyDescent="0.25">
      <c r="A468" s="356">
        <f t="shared" si="52"/>
        <v>445</v>
      </c>
      <c r="B468" s="357">
        <f t="shared" si="54"/>
        <v>37</v>
      </c>
      <c r="C468" s="357">
        <f t="shared" si="55"/>
        <v>1</v>
      </c>
      <c r="D468" s="357">
        <f t="shared" si="56"/>
        <v>66</v>
      </c>
      <c r="E468" s="356">
        <f t="shared" si="53"/>
        <v>479199.5708419428</v>
      </c>
      <c r="G468" s="356">
        <f t="shared" si="49"/>
        <v>3453.746240011842</v>
      </c>
      <c r="H468" s="356">
        <v>0</v>
      </c>
      <c r="I468" s="356">
        <f t="shared" si="50"/>
        <v>-482.65331708195464</v>
      </c>
      <c r="J468" s="356">
        <f t="shared" si="51"/>
        <v>482170.66376487265</v>
      </c>
      <c r="M468" s="358"/>
      <c r="N468" s="356"/>
    </row>
    <row r="469" spans="1:14" x14ac:dyDescent="0.25">
      <c r="A469" s="356">
        <f t="shared" si="52"/>
        <v>446</v>
      </c>
      <c r="B469" s="357">
        <f t="shared" si="54"/>
        <v>37</v>
      </c>
      <c r="C469" s="357">
        <f t="shared" si="55"/>
        <v>2</v>
      </c>
      <c r="D469" s="357">
        <f t="shared" si="56"/>
        <v>66</v>
      </c>
      <c r="E469" s="356">
        <f t="shared" si="53"/>
        <v>482170.66376487265</v>
      </c>
      <c r="G469" s="356">
        <f t="shared" si="49"/>
        <v>3475.1598673096832</v>
      </c>
      <c r="H469" s="356">
        <v>0</v>
      </c>
      <c r="I469" s="356">
        <f t="shared" si="50"/>
        <v>-485.6458236321823</v>
      </c>
      <c r="J469" s="356">
        <f t="shared" si="51"/>
        <v>485160.1778085501</v>
      </c>
      <c r="M469" s="358"/>
      <c r="N469" s="356"/>
    </row>
    <row r="470" spans="1:14" x14ac:dyDescent="0.25">
      <c r="A470" s="356">
        <f t="shared" si="52"/>
        <v>447</v>
      </c>
      <c r="B470" s="357">
        <f t="shared" si="54"/>
        <v>37</v>
      </c>
      <c r="C470" s="357">
        <f t="shared" si="55"/>
        <v>3</v>
      </c>
      <c r="D470" s="357">
        <f t="shared" si="56"/>
        <v>66</v>
      </c>
      <c r="E470" s="356">
        <f t="shared" si="53"/>
        <v>485160.1778085501</v>
      </c>
      <c r="G470" s="356">
        <f t="shared" si="49"/>
        <v>3496.706261580598</v>
      </c>
      <c r="H470" s="360">
        <f>-SUM(E470:G470)*$H$21</f>
        <v>-4397.9119566311765</v>
      </c>
      <c r="I470" s="356">
        <f t="shared" si="50"/>
        <v>-488.65688407013073</v>
      </c>
      <c r="J470" s="356">
        <f t="shared" si="51"/>
        <v>483770.3152294294</v>
      </c>
      <c r="M470" s="358"/>
      <c r="N470" s="356"/>
    </row>
    <row r="471" spans="1:14" x14ac:dyDescent="0.25">
      <c r="A471" s="356">
        <f t="shared" si="52"/>
        <v>448</v>
      </c>
      <c r="B471" s="357">
        <f t="shared" si="54"/>
        <v>37</v>
      </c>
      <c r="C471" s="357">
        <f t="shared" si="55"/>
        <v>4</v>
      </c>
      <c r="D471" s="357">
        <f t="shared" si="56"/>
        <v>66</v>
      </c>
      <c r="E471" s="356">
        <f t="shared" si="53"/>
        <v>483770.3152294294</v>
      </c>
      <c r="G471" s="356">
        <f t="shared" si="49"/>
        <v>3486.6890726078755</v>
      </c>
      <c r="H471" s="356">
        <v>0</v>
      </c>
      <c r="I471" s="356">
        <f t="shared" si="50"/>
        <v>-487.25700430203733</v>
      </c>
      <c r="J471" s="356">
        <f t="shared" si="51"/>
        <v>486769.74729773524</v>
      </c>
      <c r="M471" s="358"/>
      <c r="N471" s="356"/>
    </row>
    <row r="472" spans="1:14" x14ac:dyDescent="0.25">
      <c r="A472" s="356">
        <f t="shared" si="52"/>
        <v>449</v>
      </c>
      <c r="B472" s="357">
        <f t="shared" si="54"/>
        <v>37</v>
      </c>
      <c r="C472" s="357">
        <f t="shared" si="55"/>
        <v>5</v>
      </c>
      <c r="D472" s="357">
        <f t="shared" si="56"/>
        <v>66</v>
      </c>
      <c r="E472" s="356">
        <f t="shared" si="53"/>
        <v>486769.74729773524</v>
      </c>
      <c r="G472" s="356">
        <f t="shared" ref="G472:G535" si="57">SUM(E472:F472)*$F$8</f>
        <v>3508.3069492889445</v>
      </c>
      <c r="H472" s="356">
        <v>0</v>
      </c>
      <c r="I472" s="356">
        <f t="shared" ref="I472:I535" si="58">-SUM(E472:G472)*0.1%</f>
        <v>-490.2780542470242</v>
      </c>
      <c r="J472" s="356">
        <f t="shared" ref="J472:J535" si="59">SUM(E472:I472)</f>
        <v>489787.77619277715</v>
      </c>
      <c r="M472" s="358"/>
      <c r="N472" s="356"/>
    </row>
    <row r="473" spans="1:14" x14ac:dyDescent="0.25">
      <c r="A473" s="356">
        <f t="shared" ref="A473:A536" si="60">+A472+1</f>
        <v>450</v>
      </c>
      <c r="B473" s="357">
        <f t="shared" si="54"/>
        <v>37</v>
      </c>
      <c r="C473" s="357">
        <f t="shared" si="55"/>
        <v>6</v>
      </c>
      <c r="D473" s="357">
        <f t="shared" si="56"/>
        <v>66</v>
      </c>
      <c r="E473" s="356">
        <f t="shared" ref="E473:E536" si="61">J472</f>
        <v>489787.77619277715</v>
      </c>
      <c r="G473" s="356">
        <f t="shared" si="57"/>
        <v>3530.058859312954</v>
      </c>
      <c r="H473" s="360">
        <f>-SUM(E473:G473)*$H$21</f>
        <v>-4439.860515468811</v>
      </c>
      <c r="I473" s="356">
        <f t="shared" si="58"/>
        <v>-493.3178350520901</v>
      </c>
      <c r="J473" s="356">
        <f t="shared" si="59"/>
        <v>488384.6567015692</v>
      </c>
      <c r="M473" s="358"/>
      <c r="N473" s="356"/>
    </row>
    <row r="474" spans="1:14" x14ac:dyDescent="0.25">
      <c r="A474" s="356">
        <f t="shared" si="60"/>
        <v>451</v>
      </c>
      <c r="B474" s="357">
        <f t="shared" si="54"/>
        <v>37</v>
      </c>
      <c r="C474" s="357">
        <f t="shared" si="55"/>
        <v>7</v>
      </c>
      <c r="D474" s="357">
        <f t="shared" si="56"/>
        <v>66</v>
      </c>
      <c r="E474" s="356">
        <f t="shared" si="61"/>
        <v>488384.6567015692</v>
      </c>
      <c r="G474" s="356">
        <f t="shared" si="57"/>
        <v>3519.9461234886453</v>
      </c>
      <c r="H474" s="356">
        <v>0</v>
      </c>
      <c r="I474" s="356">
        <f t="shared" si="58"/>
        <v>-491.90460282505785</v>
      </c>
      <c r="J474" s="356">
        <f t="shared" si="59"/>
        <v>491412.6982222328</v>
      </c>
      <c r="M474" s="358"/>
      <c r="N474" s="356"/>
    </row>
    <row r="475" spans="1:14" x14ac:dyDescent="0.25">
      <c r="A475" s="356">
        <f t="shared" si="60"/>
        <v>452</v>
      </c>
      <c r="B475" s="357">
        <f t="shared" si="54"/>
        <v>37</v>
      </c>
      <c r="C475" s="357">
        <f t="shared" si="55"/>
        <v>8</v>
      </c>
      <c r="D475" s="357">
        <f t="shared" si="56"/>
        <v>66</v>
      </c>
      <c r="E475" s="356">
        <f t="shared" si="61"/>
        <v>491412.6982222328</v>
      </c>
      <c r="G475" s="356">
        <f t="shared" si="57"/>
        <v>3541.770197742754</v>
      </c>
      <c r="H475" s="356">
        <v>0</v>
      </c>
      <c r="I475" s="356">
        <f t="shared" si="58"/>
        <v>-494.95446841997557</v>
      </c>
      <c r="J475" s="356">
        <f t="shared" si="59"/>
        <v>494459.5139515556</v>
      </c>
      <c r="M475" s="358"/>
      <c r="N475" s="356"/>
    </row>
    <row r="476" spans="1:14" x14ac:dyDescent="0.25">
      <c r="A476" s="356">
        <f t="shared" si="60"/>
        <v>453</v>
      </c>
      <c r="B476" s="357">
        <f t="shared" si="54"/>
        <v>37</v>
      </c>
      <c r="C476" s="357">
        <f t="shared" si="55"/>
        <v>9</v>
      </c>
      <c r="D476" s="357">
        <f t="shared" si="56"/>
        <v>66</v>
      </c>
      <c r="E476" s="356">
        <f t="shared" si="61"/>
        <v>494459.5139515556</v>
      </c>
      <c r="G476" s="356">
        <f t="shared" si="57"/>
        <v>3563.729583788674</v>
      </c>
      <c r="H476" s="360">
        <f>-SUM(E476:G476)*$H$21</f>
        <v>-4482.209191818099</v>
      </c>
      <c r="I476" s="356">
        <f t="shared" si="58"/>
        <v>-498.02324353534425</v>
      </c>
      <c r="J476" s="356">
        <f t="shared" si="59"/>
        <v>493043.0110999908</v>
      </c>
      <c r="M476" s="358"/>
      <c r="N476" s="356"/>
    </row>
    <row r="477" spans="1:14" x14ac:dyDescent="0.25">
      <c r="A477" s="356">
        <f t="shared" si="60"/>
        <v>454</v>
      </c>
      <c r="B477" s="357">
        <f t="shared" si="54"/>
        <v>37</v>
      </c>
      <c r="C477" s="357">
        <f t="shared" si="55"/>
        <v>10</v>
      </c>
      <c r="D477" s="357">
        <f t="shared" si="56"/>
        <v>66</v>
      </c>
      <c r="E477" s="356">
        <f t="shared" si="61"/>
        <v>493043.0110999908</v>
      </c>
      <c r="G477" s="356">
        <f t="shared" si="57"/>
        <v>3553.5203897592173</v>
      </c>
      <c r="H477" s="356">
        <v>0</v>
      </c>
      <c r="I477" s="356">
        <f t="shared" si="58"/>
        <v>-496.59653148975</v>
      </c>
      <c r="J477" s="356">
        <f t="shared" si="59"/>
        <v>496099.9349582603</v>
      </c>
      <c r="M477" s="358"/>
      <c r="N477" s="356"/>
    </row>
    <row r="478" spans="1:14" x14ac:dyDescent="0.25">
      <c r="A478" s="356">
        <f t="shared" si="60"/>
        <v>455</v>
      </c>
      <c r="B478" s="357">
        <f t="shared" si="54"/>
        <v>37</v>
      </c>
      <c r="C478" s="357">
        <f t="shared" si="55"/>
        <v>11</v>
      </c>
      <c r="D478" s="357">
        <f t="shared" si="56"/>
        <v>66</v>
      </c>
      <c r="E478" s="356">
        <f t="shared" si="61"/>
        <v>496099.9349582603</v>
      </c>
      <c r="G478" s="356">
        <f t="shared" si="57"/>
        <v>3575.5526283585773</v>
      </c>
      <c r="H478" s="356">
        <v>0</v>
      </c>
      <c r="I478" s="356">
        <f t="shared" si="58"/>
        <v>-499.6754875866189</v>
      </c>
      <c r="J478" s="356">
        <f t="shared" si="59"/>
        <v>499175.8120990322</v>
      </c>
      <c r="M478" s="358"/>
      <c r="N478" s="356"/>
    </row>
    <row r="479" spans="1:14" x14ac:dyDescent="0.25">
      <c r="A479" s="356">
        <f t="shared" si="60"/>
        <v>456</v>
      </c>
      <c r="B479" s="357">
        <f t="shared" si="54"/>
        <v>37</v>
      </c>
      <c r="C479" s="357">
        <f t="shared" si="55"/>
        <v>12</v>
      </c>
      <c r="D479" s="357">
        <f t="shared" si="56"/>
        <v>66</v>
      </c>
      <c r="E479" s="356">
        <f t="shared" si="61"/>
        <v>499175.8120990322</v>
      </c>
      <c r="G479" s="356">
        <f t="shared" si="57"/>
        <v>3597.721469392835</v>
      </c>
      <c r="H479" s="360">
        <f>-SUM(E479:G479)*$H$21</f>
        <v>-4524.961802115826</v>
      </c>
      <c r="I479" s="356">
        <f t="shared" si="58"/>
        <v>-502.7735335684251</v>
      </c>
      <c r="J479" s="356">
        <f t="shared" si="59"/>
        <v>497745.7982327408</v>
      </c>
      <c r="M479" s="358"/>
      <c r="N479" s="356"/>
    </row>
    <row r="480" spans="1:14" x14ac:dyDescent="0.25">
      <c r="A480" s="356">
        <f t="shared" si="60"/>
        <v>457</v>
      </c>
      <c r="B480" s="357">
        <f t="shared" si="54"/>
        <v>38</v>
      </c>
      <c r="C480" s="357">
        <f t="shared" si="55"/>
        <v>1</v>
      </c>
      <c r="D480" s="357">
        <f t="shared" si="56"/>
        <v>67</v>
      </c>
      <c r="E480" s="356">
        <f t="shared" si="61"/>
        <v>497745.7982327408</v>
      </c>
      <c r="G480" s="356">
        <f t="shared" si="57"/>
        <v>3587.414897111914</v>
      </c>
      <c r="H480" s="356">
        <v>0</v>
      </c>
      <c r="I480" s="356">
        <f t="shared" si="58"/>
        <v>-501.33321312985265</v>
      </c>
      <c r="J480" s="356">
        <f t="shared" si="59"/>
        <v>500831.8799167228</v>
      </c>
      <c r="M480" s="358"/>
      <c r="N480" s="356"/>
    </row>
    <row r="481" spans="1:14" x14ac:dyDescent="0.25">
      <c r="A481" s="356">
        <f t="shared" si="60"/>
        <v>458</v>
      </c>
      <c r="B481" s="357">
        <f t="shared" si="54"/>
        <v>38</v>
      </c>
      <c r="C481" s="357">
        <f t="shared" si="55"/>
        <v>2</v>
      </c>
      <c r="D481" s="357">
        <f t="shared" si="56"/>
        <v>67</v>
      </c>
      <c r="E481" s="356">
        <f t="shared" si="61"/>
        <v>500831.8799167228</v>
      </c>
      <c r="G481" s="356">
        <f t="shared" si="57"/>
        <v>3609.65728558838</v>
      </c>
      <c r="H481" s="356">
        <v>0</v>
      </c>
      <c r="I481" s="356">
        <f t="shared" si="58"/>
        <v>-504.4415372023112</v>
      </c>
      <c r="J481" s="356">
        <f t="shared" si="59"/>
        <v>503937.0956651089</v>
      </c>
      <c r="M481" s="358"/>
      <c r="N481" s="356"/>
    </row>
    <row r="482" spans="1:14" x14ac:dyDescent="0.25">
      <c r="A482" s="356">
        <f t="shared" si="60"/>
        <v>459</v>
      </c>
      <c r="B482" s="357">
        <f t="shared" si="54"/>
        <v>38</v>
      </c>
      <c r="C482" s="357">
        <f t="shared" si="55"/>
        <v>3</v>
      </c>
      <c r="D482" s="357">
        <f t="shared" si="56"/>
        <v>67</v>
      </c>
      <c r="E482" s="356">
        <f t="shared" si="61"/>
        <v>503937.0956651089</v>
      </c>
      <c r="G482" s="356">
        <f t="shared" si="57"/>
        <v>3632.037579453358</v>
      </c>
      <c r="H482" s="360">
        <f>-SUM(E482:G482)*$H$21</f>
        <v>-4568.1221992010605</v>
      </c>
      <c r="I482" s="356">
        <f t="shared" si="58"/>
        <v>-507.56913324456224</v>
      </c>
      <c r="J482" s="356">
        <f t="shared" si="59"/>
        <v>502493.4419121166</v>
      </c>
      <c r="M482" s="358"/>
      <c r="N482" s="356"/>
    </row>
    <row r="483" spans="1:14" x14ac:dyDescent="0.25">
      <c r="A483" s="356">
        <f t="shared" si="60"/>
        <v>460</v>
      </c>
      <c r="B483" s="357">
        <f t="shared" si="54"/>
        <v>38</v>
      </c>
      <c r="C483" s="357">
        <f t="shared" si="55"/>
        <v>4</v>
      </c>
      <c r="D483" s="357">
        <f t="shared" si="56"/>
        <v>67</v>
      </c>
      <c r="E483" s="356">
        <f t="shared" si="61"/>
        <v>502493.4419121166</v>
      </c>
      <c r="G483" s="356">
        <f t="shared" si="57"/>
        <v>3621.632700098988</v>
      </c>
      <c r="H483" s="356">
        <v>0</v>
      </c>
      <c r="I483" s="356">
        <f t="shared" si="58"/>
        <v>-506.11507461221555</v>
      </c>
      <c r="J483" s="356">
        <f t="shared" si="59"/>
        <v>505608.95953760337</v>
      </c>
      <c r="M483" s="358"/>
      <c r="N483" s="356"/>
    </row>
    <row r="484" spans="1:14" x14ac:dyDescent="0.25">
      <c r="A484" s="356">
        <f t="shared" si="60"/>
        <v>461</v>
      </c>
      <c r="B484" s="357">
        <f t="shared" ref="B484:B547" si="62">B472+1</f>
        <v>38</v>
      </c>
      <c r="C484" s="357">
        <f t="shared" ref="C484:C547" si="63">C472</f>
        <v>5</v>
      </c>
      <c r="D484" s="357">
        <f t="shared" ref="D484:D547" si="64">D472+1</f>
        <v>67</v>
      </c>
      <c r="E484" s="356">
        <f t="shared" si="61"/>
        <v>505608.95953760337</v>
      </c>
      <c r="G484" s="356">
        <f t="shared" si="57"/>
        <v>3644.087242922994</v>
      </c>
      <c r="H484" s="356">
        <v>0</v>
      </c>
      <c r="I484" s="356">
        <f t="shared" si="58"/>
        <v>-509.25304678052635</v>
      </c>
      <c r="J484" s="356">
        <f t="shared" si="59"/>
        <v>508743.7937337458</v>
      </c>
      <c r="M484" s="358"/>
      <c r="N484" s="356"/>
    </row>
    <row r="485" spans="1:14" x14ac:dyDescent="0.25">
      <c r="A485" s="356">
        <f t="shared" si="60"/>
        <v>462</v>
      </c>
      <c r="B485" s="357">
        <f t="shared" si="62"/>
        <v>38</v>
      </c>
      <c r="C485" s="357">
        <f t="shared" si="63"/>
        <v>6</v>
      </c>
      <c r="D485" s="357">
        <f t="shared" si="64"/>
        <v>67</v>
      </c>
      <c r="E485" s="356">
        <f t="shared" si="61"/>
        <v>508743.7937337458</v>
      </c>
      <c r="G485" s="356">
        <f t="shared" si="57"/>
        <v>3666.681006517074</v>
      </c>
      <c r="H485" s="360">
        <f>-SUM(E485:G485)*$H$21</f>
        <v>-4611.6942726623665</v>
      </c>
      <c r="I485" s="356">
        <f t="shared" si="58"/>
        <v>-512.4104747402629</v>
      </c>
      <c r="J485" s="356">
        <f t="shared" si="59"/>
        <v>507286.3699928603</v>
      </c>
      <c r="M485" s="358"/>
      <c r="N485" s="356"/>
    </row>
    <row r="486" spans="1:14" x14ac:dyDescent="0.25">
      <c r="A486" s="356">
        <f t="shared" si="60"/>
        <v>463</v>
      </c>
      <c r="B486" s="357">
        <f t="shared" si="62"/>
        <v>38</v>
      </c>
      <c r="C486" s="357">
        <f t="shared" si="63"/>
        <v>7</v>
      </c>
      <c r="D486" s="357">
        <f t="shared" si="64"/>
        <v>67</v>
      </c>
      <c r="E486" s="356">
        <f t="shared" si="61"/>
        <v>507286.3699928603</v>
      </c>
      <c r="G486" s="356">
        <f t="shared" si="57"/>
        <v>3656.1768824078986</v>
      </c>
      <c r="H486" s="356">
        <v>0</v>
      </c>
      <c r="I486" s="356">
        <f t="shared" si="58"/>
        <v>-510.94254687526825</v>
      </c>
      <c r="J486" s="356">
        <f t="shared" si="59"/>
        <v>510431.60432839295</v>
      </c>
      <c r="M486" s="358"/>
      <c r="N486" s="356"/>
    </row>
    <row r="487" spans="1:14" x14ac:dyDescent="0.25">
      <c r="A487" s="356">
        <f t="shared" si="60"/>
        <v>464</v>
      </c>
      <c r="B487" s="357">
        <f t="shared" si="62"/>
        <v>38</v>
      </c>
      <c r="C487" s="357">
        <f t="shared" si="63"/>
        <v>8</v>
      </c>
      <c r="D487" s="357">
        <f t="shared" si="64"/>
        <v>67</v>
      </c>
      <c r="E487" s="356">
        <f t="shared" si="61"/>
        <v>510431.60432839295</v>
      </c>
      <c r="G487" s="356">
        <f t="shared" si="57"/>
        <v>3678.845603169097</v>
      </c>
      <c r="H487" s="356">
        <v>0</v>
      </c>
      <c r="I487" s="356">
        <f t="shared" si="58"/>
        <v>-514.1104499315621</v>
      </c>
      <c r="J487" s="356">
        <f t="shared" si="59"/>
        <v>513596.3394816305</v>
      </c>
      <c r="M487" s="358"/>
      <c r="N487" s="356"/>
    </row>
    <row r="488" spans="1:14" x14ac:dyDescent="0.25">
      <c r="A488" s="356">
        <f t="shared" si="60"/>
        <v>465</v>
      </c>
      <c r="B488" s="357">
        <f t="shared" si="62"/>
        <v>38</v>
      </c>
      <c r="C488" s="357">
        <f t="shared" si="63"/>
        <v>9</v>
      </c>
      <c r="D488" s="357">
        <f t="shared" si="64"/>
        <v>67</v>
      </c>
      <c r="E488" s="356">
        <f t="shared" si="61"/>
        <v>513596.3394816305</v>
      </c>
      <c r="G488" s="356">
        <f t="shared" si="57"/>
        <v>3701.654872628423</v>
      </c>
      <c r="H488" s="360">
        <f>-SUM(E488:G488)*$H$21</f>
        <v>-4655.681949188331</v>
      </c>
      <c r="I488" s="356">
        <f t="shared" si="58"/>
        <v>-517.2979943542589</v>
      </c>
      <c r="J488" s="356">
        <f t="shared" si="59"/>
        <v>512125.01441071625</v>
      </c>
      <c r="M488" s="358"/>
      <c r="N488" s="356"/>
    </row>
    <row r="489" spans="1:14" x14ac:dyDescent="0.25">
      <c r="A489" s="356">
        <f t="shared" si="60"/>
        <v>466</v>
      </c>
      <c r="B489" s="357">
        <f t="shared" si="62"/>
        <v>38</v>
      </c>
      <c r="C489" s="357">
        <f t="shared" si="63"/>
        <v>10</v>
      </c>
      <c r="D489" s="357">
        <f t="shared" si="64"/>
        <v>67</v>
      </c>
      <c r="E489" s="356">
        <f t="shared" si="61"/>
        <v>512125.01441071625</v>
      </c>
      <c r="G489" s="356">
        <f t="shared" si="57"/>
        <v>3691.050557139207</v>
      </c>
      <c r="H489" s="356">
        <v>0</v>
      </c>
      <c r="I489" s="356">
        <f t="shared" si="58"/>
        <v>-515.8160649678555</v>
      </c>
      <c r="J489" s="356">
        <f t="shared" si="59"/>
        <v>515300.24890288763</v>
      </c>
      <c r="M489" s="358"/>
      <c r="N489" s="356"/>
    </row>
    <row r="490" spans="1:14" x14ac:dyDescent="0.25">
      <c r="A490" s="356">
        <f t="shared" si="60"/>
        <v>467</v>
      </c>
      <c r="B490" s="357">
        <f t="shared" si="62"/>
        <v>38</v>
      </c>
      <c r="C490" s="357">
        <f t="shared" si="63"/>
        <v>11</v>
      </c>
      <c r="D490" s="357">
        <f t="shared" si="64"/>
        <v>67</v>
      </c>
      <c r="E490" s="356">
        <f t="shared" si="61"/>
        <v>515300.24890288763</v>
      </c>
      <c r="G490" s="356">
        <f t="shared" si="57"/>
        <v>3713.9354987288352</v>
      </c>
      <c r="H490" s="356">
        <v>0</v>
      </c>
      <c r="I490" s="356">
        <f t="shared" si="58"/>
        <v>-519.0141844016165</v>
      </c>
      <c r="J490" s="356">
        <f t="shared" si="59"/>
        <v>518495.17021721485</v>
      </c>
      <c r="M490" s="358"/>
      <c r="N490" s="356"/>
    </row>
    <row r="491" spans="1:14" x14ac:dyDescent="0.25">
      <c r="A491" s="356">
        <f t="shared" si="60"/>
        <v>468</v>
      </c>
      <c r="B491" s="357">
        <f t="shared" si="62"/>
        <v>38</v>
      </c>
      <c r="C491" s="357">
        <f t="shared" si="63"/>
        <v>12</v>
      </c>
      <c r="D491" s="357">
        <f t="shared" si="64"/>
        <v>67</v>
      </c>
      <c r="E491" s="356">
        <f t="shared" si="61"/>
        <v>518495.17021721485</v>
      </c>
      <c r="G491" s="356">
        <f t="shared" si="57"/>
        <v>3736.962329610808</v>
      </c>
      <c r="H491" s="360">
        <f>-SUM(E491:G491)*$H$21</f>
        <v>-4700.089192921431</v>
      </c>
      <c r="I491" s="356">
        <f t="shared" si="58"/>
        <v>-522.2321325468257</v>
      </c>
      <c r="J491" s="356">
        <f t="shared" si="59"/>
        <v>517009.81122135743</v>
      </c>
      <c r="M491" s="358"/>
      <c r="N491" s="356"/>
    </row>
    <row r="492" spans="1:14" x14ac:dyDescent="0.25">
      <c r="A492" s="356">
        <f t="shared" si="60"/>
        <v>469</v>
      </c>
      <c r="B492" s="357">
        <f t="shared" si="62"/>
        <v>39</v>
      </c>
      <c r="C492" s="357">
        <f t="shared" si="63"/>
        <v>1</v>
      </c>
      <c r="D492" s="357">
        <f t="shared" si="64"/>
        <v>68</v>
      </c>
      <c r="E492" s="356">
        <f t="shared" si="61"/>
        <v>517009.81122135743</v>
      </c>
      <c r="G492" s="356">
        <f t="shared" si="57"/>
        <v>3726.256867087131</v>
      </c>
      <c r="H492" s="356">
        <v>0</v>
      </c>
      <c r="I492" s="356">
        <f t="shared" si="58"/>
        <v>-520.7360680884447</v>
      </c>
      <c r="J492" s="356">
        <f t="shared" si="59"/>
        <v>520215.33202035615</v>
      </c>
      <c r="M492" s="358"/>
      <c r="N492" s="356"/>
    </row>
    <row r="493" spans="1:14" x14ac:dyDescent="0.25">
      <c r="A493" s="356">
        <f t="shared" si="60"/>
        <v>470</v>
      </c>
      <c r="B493" s="357">
        <f t="shared" si="62"/>
        <v>39</v>
      </c>
      <c r="C493" s="357">
        <f t="shared" si="63"/>
        <v>2</v>
      </c>
      <c r="D493" s="357">
        <f t="shared" si="64"/>
        <v>68</v>
      </c>
      <c r="E493" s="356">
        <f t="shared" si="61"/>
        <v>520215.33202035615</v>
      </c>
      <c r="G493" s="356">
        <f t="shared" si="57"/>
        <v>3749.3600918821157</v>
      </c>
      <c r="H493" s="356">
        <v>0</v>
      </c>
      <c r="I493" s="356">
        <f t="shared" si="58"/>
        <v>-523.9646921122383</v>
      </c>
      <c r="J493" s="356">
        <f t="shared" si="59"/>
        <v>523440.72742012603</v>
      </c>
      <c r="M493" s="358"/>
      <c r="N493" s="356"/>
    </row>
    <row r="494" spans="1:14" x14ac:dyDescent="0.25">
      <c r="A494" s="356">
        <f t="shared" si="60"/>
        <v>471</v>
      </c>
      <c r="B494" s="357">
        <f t="shared" si="62"/>
        <v>39</v>
      </c>
      <c r="C494" s="357">
        <f t="shared" si="63"/>
        <v>3</v>
      </c>
      <c r="D494" s="357">
        <f t="shared" si="64"/>
        <v>68</v>
      </c>
      <c r="E494" s="356">
        <f t="shared" si="61"/>
        <v>523440.72742012603</v>
      </c>
      <c r="G494" s="356">
        <f t="shared" si="57"/>
        <v>3772.6065593506373</v>
      </c>
      <c r="H494" s="360">
        <f>-SUM(E494:G494)*$H$21</f>
        <v>-4744.920005815291</v>
      </c>
      <c r="I494" s="356">
        <f t="shared" si="58"/>
        <v>-527.2133339794767</v>
      </c>
      <c r="J494" s="356">
        <f t="shared" si="59"/>
        <v>521941.20063968195</v>
      </c>
      <c r="M494" s="358"/>
      <c r="N494" s="356"/>
    </row>
    <row r="495" spans="1:14" x14ac:dyDescent="0.25">
      <c r="A495" s="356">
        <f t="shared" si="60"/>
        <v>472</v>
      </c>
      <c r="B495" s="357">
        <f t="shared" si="62"/>
        <v>39</v>
      </c>
      <c r="C495" s="357">
        <f t="shared" si="63"/>
        <v>4</v>
      </c>
      <c r="D495" s="357">
        <f t="shared" si="64"/>
        <v>68</v>
      </c>
      <c r="E495" s="356">
        <f t="shared" si="61"/>
        <v>521941.20063968195</v>
      </c>
      <c r="G495" s="356">
        <f t="shared" si="57"/>
        <v>3761.7989850227714</v>
      </c>
      <c r="H495" s="356">
        <v>0</v>
      </c>
      <c r="I495" s="356">
        <f t="shared" si="58"/>
        <v>-525.7029996247047</v>
      </c>
      <c r="J495" s="356">
        <f t="shared" si="59"/>
        <v>525177.29662508</v>
      </c>
      <c r="M495" s="358"/>
      <c r="N495" s="356"/>
    </row>
    <row r="496" spans="1:14" x14ac:dyDescent="0.25">
      <c r="A496" s="356">
        <f t="shared" si="60"/>
        <v>473</v>
      </c>
      <c r="B496" s="357">
        <f t="shared" si="62"/>
        <v>39</v>
      </c>
      <c r="C496" s="357">
        <f t="shared" si="63"/>
        <v>5</v>
      </c>
      <c r="D496" s="357">
        <f t="shared" si="64"/>
        <v>68</v>
      </c>
      <c r="E496" s="356">
        <f t="shared" si="61"/>
        <v>525177.29662508</v>
      </c>
      <c r="G496" s="356">
        <f t="shared" si="57"/>
        <v>3785.1225750715876</v>
      </c>
      <c r="H496" s="356">
        <v>0</v>
      </c>
      <c r="I496" s="356">
        <f t="shared" si="58"/>
        <v>-528.9624192001517</v>
      </c>
      <c r="J496" s="356">
        <f t="shared" si="59"/>
        <v>528433.4567809516</v>
      </c>
      <c r="M496" s="358"/>
      <c r="N496" s="356"/>
    </row>
    <row r="497" spans="1:14" x14ac:dyDescent="0.25">
      <c r="A497" s="356">
        <f t="shared" si="60"/>
        <v>474</v>
      </c>
      <c r="B497" s="357">
        <f t="shared" si="62"/>
        <v>39</v>
      </c>
      <c r="C497" s="357">
        <f t="shared" si="63"/>
        <v>6</v>
      </c>
      <c r="D497" s="357">
        <f t="shared" si="64"/>
        <v>68</v>
      </c>
      <c r="E497" s="356">
        <f t="shared" si="61"/>
        <v>528433.4567809516</v>
      </c>
      <c r="G497" s="356">
        <f t="shared" si="57"/>
        <v>3808.5907740840757</v>
      </c>
      <c r="H497" s="360">
        <f>-SUM(E497:G497)*$H$21</f>
        <v>-4790.178427995322</v>
      </c>
      <c r="I497" s="356">
        <f t="shared" si="58"/>
        <v>-532.2420475550357</v>
      </c>
      <c r="J497" s="356">
        <f t="shared" si="59"/>
        <v>526919.6270794853</v>
      </c>
      <c r="M497" s="358"/>
      <c r="N497" s="356"/>
    </row>
    <row r="498" spans="1:14" x14ac:dyDescent="0.25">
      <c r="A498" s="356">
        <f t="shared" si="60"/>
        <v>475</v>
      </c>
      <c r="B498" s="357">
        <f t="shared" si="62"/>
        <v>39</v>
      </c>
      <c r="C498" s="357">
        <f t="shared" si="63"/>
        <v>7</v>
      </c>
      <c r="D498" s="357">
        <f t="shared" si="64"/>
        <v>68</v>
      </c>
      <c r="E498" s="356">
        <f t="shared" si="61"/>
        <v>526919.6270794853</v>
      </c>
      <c r="G498" s="356">
        <f t="shared" si="57"/>
        <v>3797.6801139800377</v>
      </c>
      <c r="H498" s="356">
        <v>0</v>
      </c>
      <c r="I498" s="356">
        <f t="shared" si="58"/>
        <v>-530.7173071934654</v>
      </c>
      <c r="J498" s="356">
        <f t="shared" si="59"/>
        <v>530186.589886272</v>
      </c>
      <c r="M498" s="358"/>
      <c r="N498" s="356"/>
    </row>
    <row r="499" spans="1:14" x14ac:dyDescent="0.25">
      <c r="A499" s="356">
        <f t="shared" si="60"/>
        <v>476</v>
      </c>
      <c r="B499" s="357">
        <f t="shared" si="62"/>
        <v>39</v>
      </c>
      <c r="C499" s="357">
        <f t="shared" si="63"/>
        <v>8</v>
      </c>
      <c r="D499" s="357">
        <f t="shared" si="64"/>
        <v>68</v>
      </c>
      <c r="E499" s="356">
        <f t="shared" si="61"/>
        <v>530186.589886272</v>
      </c>
      <c r="G499" s="356">
        <f t="shared" si="57"/>
        <v>3821.2261711903425</v>
      </c>
      <c r="H499" s="356">
        <v>0</v>
      </c>
      <c r="I499" s="356">
        <f t="shared" si="58"/>
        <v>-534.0078160574624</v>
      </c>
      <c r="J499" s="356">
        <f t="shared" si="59"/>
        <v>533473.808241405</v>
      </c>
      <c r="M499" s="358"/>
      <c r="N499" s="356"/>
    </row>
    <row r="500" spans="1:14" x14ac:dyDescent="0.25">
      <c r="A500" s="356">
        <f t="shared" si="60"/>
        <v>477</v>
      </c>
      <c r="B500" s="357">
        <f t="shared" si="62"/>
        <v>39</v>
      </c>
      <c r="C500" s="357">
        <f t="shared" si="63"/>
        <v>9</v>
      </c>
      <c r="D500" s="357">
        <f t="shared" si="64"/>
        <v>68</v>
      </c>
      <c r="E500" s="356">
        <f t="shared" si="61"/>
        <v>533473.808241405</v>
      </c>
      <c r="G500" s="356">
        <f t="shared" si="57"/>
        <v>3844.918216686525</v>
      </c>
      <c r="H500" s="360">
        <f>-SUM(E500:G500)*$H$21</f>
        <v>-4835.868538122824</v>
      </c>
      <c r="I500" s="356">
        <f t="shared" si="58"/>
        <v>-537.3187264580915</v>
      </c>
      <c r="J500" s="356">
        <f t="shared" si="59"/>
        <v>531945.5391935105</v>
      </c>
      <c r="M500" s="358"/>
      <c r="N500" s="356"/>
    </row>
    <row r="501" spans="1:14" x14ac:dyDescent="0.25">
      <c r="A501" s="356">
        <f t="shared" si="60"/>
        <v>478</v>
      </c>
      <c r="B501" s="357">
        <f t="shared" si="62"/>
        <v>39</v>
      </c>
      <c r="C501" s="357">
        <f t="shared" si="63"/>
        <v>10</v>
      </c>
      <c r="D501" s="357">
        <f t="shared" si="64"/>
        <v>68</v>
      </c>
      <c r="E501" s="356">
        <f t="shared" si="61"/>
        <v>531945.5391935105</v>
      </c>
      <c r="G501" s="356">
        <f t="shared" si="57"/>
        <v>3833.903487544306</v>
      </c>
      <c r="H501" s="356">
        <v>0</v>
      </c>
      <c r="I501" s="356">
        <f t="shared" si="58"/>
        <v>-535.7794426810548</v>
      </c>
      <c r="J501" s="356">
        <f t="shared" si="59"/>
        <v>535243.6632383738</v>
      </c>
      <c r="M501" s="358"/>
      <c r="N501" s="356"/>
    </row>
    <row r="502" spans="1:14" x14ac:dyDescent="0.25">
      <c r="A502" s="356">
        <f t="shared" si="60"/>
        <v>479</v>
      </c>
      <c r="B502" s="357">
        <f t="shared" si="62"/>
        <v>39</v>
      </c>
      <c r="C502" s="357">
        <f t="shared" si="63"/>
        <v>11</v>
      </c>
      <c r="D502" s="357">
        <f t="shared" si="64"/>
        <v>68</v>
      </c>
      <c r="E502" s="356">
        <f t="shared" si="61"/>
        <v>535243.6632383738</v>
      </c>
      <c r="G502" s="356">
        <f t="shared" si="57"/>
        <v>3857.67413387236</v>
      </c>
      <c r="H502" s="356">
        <v>0</v>
      </c>
      <c r="I502" s="356">
        <f t="shared" si="58"/>
        <v>-539.1013373722462</v>
      </c>
      <c r="J502" s="356">
        <f t="shared" si="59"/>
        <v>538562.236034874</v>
      </c>
      <c r="M502" s="358"/>
      <c r="N502" s="356"/>
    </row>
    <row r="503" spans="1:14" x14ac:dyDescent="0.25">
      <c r="A503" s="356">
        <f t="shared" si="60"/>
        <v>480</v>
      </c>
      <c r="B503" s="357">
        <f t="shared" si="62"/>
        <v>39</v>
      </c>
      <c r="C503" s="357">
        <f t="shared" si="63"/>
        <v>12</v>
      </c>
      <c r="D503" s="357">
        <f t="shared" si="64"/>
        <v>68</v>
      </c>
      <c r="E503" s="356">
        <f t="shared" si="61"/>
        <v>538562.236034874</v>
      </c>
      <c r="G503" s="356">
        <f t="shared" si="57"/>
        <v>3881.5921609648726</v>
      </c>
      <c r="H503" s="360">
        <f>-SUM(E503:G503)*$H$21</f>
        <v>-4881.99445376255</v>
      </c>
      <c r="I503" s="356">
        <f t="shared" si="58"/>
        <v>-542.4438281958388</v>
      </c>
      <c r="J503" s="356">
        <f t="shared" si="59"/>
        <v>537019.3899138805</v>
      </c>
      <c r="M503" s="358"/>
      <c r="N503" s="356"/>
    </row>
    <row r="504" spans="1:14" x14ac:dyDescent="0.25">
      <c r="A504" s="356">
        <f t="shared" si="60"/>
        <v>481</v>
      </c>
      <c r="B504" s="357">
        <f t="shared" si="62"/>
        <v>40</v>
      </c>
      <c r="C504" s="357">
        <f t="shared" si="63"/>
        <v>1</v>
      </c>
      <c r="D504" s="357">
        <f t="shared" si="64"/>
        <v>69</v>
      </c>
      <c r="E504" s="356">
        <f t="shared" si="61"/>
        <v>537019.3899138805</v>
      </c>
      <c r="G504" s="356">
        <f t="shared" si="57"/>
        <v>3870.472370143825</v>
      </c>
      <c r="H504" s="356">
        <v>0</v>
      </c>
      <c r="I504" s="356">
        <f t="shared" si="58"/>
        <v>-540.8898622840244</v>
      </c>
      <c r="J504" s="356">
        <f t="shared" si="59"/>
        <v>540348.9724217403</v>
      </c>
      <c r="M504" s="358"/>
      <c r="N504" s="356"/>
    </row>
    <row r="505" spans="1:14" x14ac:dyDescent="0.25">
      <c r="A505" s="356">
        <f t="shared" si="60"/>
        <v>482</v>
      </c>
      <c r="B505" s="357">
        <f t="shared" si="62"/>
        <v>40</v>
      </c>
      <c r="C505" s="357">
        <f t="shared" si="63"/>
        <v>2</v>
      </c>
      <c r="D505" s="357">
        <f t="shared" si="64"/>
        <v>69</v>
      </c>
      <c r="E505" s="356">
        <f t="shared" si="61"/>
        <v>540348.9724217403</v>
      </c>
      <c r="G505" s="356">
        <f t="shared" si="57"/>
        <v>3894.469747785724</v>
      </c>
      <c r="H505" s="356">
        <v>0</v>
      </c>
      <c r="I505" s="356">
        <f t="shared" si="58"/>
        <v>-544.243442169526</v>
      </c>
      <c r="J505" s="356">
        <f t="shared" si="59"/>
        <v>543699.1987273565</v>
      </c>
      <c r="M505" s="358"/>
      <c r="N505" s="356"/>
    </row>
    <row r="506" spans="1:14" x14ac:dyDescent="0.25">
      <c r="A506" s="356">
        <f t="shared" si="60"/>
        <v>483</v>
      </c>
      <c r="B506" s="357">
        <f t="shared" si="62"/>
        <v>40</v>
      </c>
      <c r="C506" s="357">
        <f t="shared" si="63"/>
        <v>3</v>
      </c>
      <c r="D506" s="357">
        <f t="shared" si="64"/>
        <v>69</v>
      </c>
      <c r="E506" s="356">
        <f t="shared" si="61"/>
        <v>543699.1987273565</v>
      </c>
      <c r="G506" s="356">
        <f t="shared" si="57"/>
        <v>3918.6159119525264</v>
      </c>
      <c r="H506" s="360">
        <f>-SUM(E506:G506)*$H$21</f>
        <v>-4928.5603317537825</v>
      </c>
      <c r="I506" s="356">
        <f t="shared" si="58"/>
        <v>-547.6178146393091</v>
      </c>
      <c r="J506" s="356">
        <f t="shared" si="59"/>
        <v>542141.6364929159</v>
      </c>
      <c r="M506" s="358"/>
      <c r="N506" s="356"/>
    </row>
    <row r="507" spans="1:14" x14ac:dyDescent="0.25">
      <c r="A507" s="356">
        <f t="shared" si="60"/>
        <v>484</v>
      </c>
      <c r="B507" s="357">
        <f t="shared" si="62"/>
        <v>40</v>
      </c>
      <c r="C507" s="357">
        <f t="shared" si="63"/>
        <v>4</v>
      </c>
      <c r="D507" s="357">
        <f t="shared" si="64"/>
        <v>69</v>
      </c>
      <c r="E507" s="356">
        <f t="shared" si="61"/>
        <v>542141.6364929159</v>
      </c>
      <c r="G507" s="356">
        <f t="shared" si="57"/>
        <v>3907.3900573439087</v>
      </c>
      <c r="H507" s="356">
        <v>0</v>
      </c>
      <c r="I507" s="356">
        <f t="shared" si="58"/>
        <v>-546.0490265502598</v>
      </c>
      <c r="J507" s="356">
        <f t="shared" si="59"/>
        <v>545502.9775237095</v>
      </c>
      <c r="M507" s="358"/>
      <c r="N507" s="356"/>
    </row>
    <row r="508" spans="1:14" x14ac:dyDescent="0.25">
      <c r="A508" s="356">
        <f t="shared" si="60"/>
        <v>485</v>
      </c>
      <c r="B508" s="357">
        <f t="shared" si="62"/>
        <v>40</v>
      </c>
      <c r="C508" s="357">
        <f t="shared" si="63"/>
        <v>5</v>
      </c>
      <c r="D508" s="357">
        <f t="shared" si="64"/>
        <v>69</v>
      </c>
      <c r="E508" s="356">
        <f t="shared" si="61"/>
        <v>545502.9775237095</v>
      </c>
      <c r="G508" s="356">
        <f t="shared" si="57"/>
        <v>3931.6163289286346</v>
      </c>
      <c r="H508" s="356">
        <v>0</v>
      </c>
      <c r="I508" s="356">
        <f t="shared" si="58"/>
        <v>-549.4345938526382</v>
      </c>
      <c r="J508" s="356">
        <f t="shared" si="59"/>
        <v>548885.1592587855</v>
      </c>
      <c r="M508" s="358"/>
      <c r="N508" s="356"/>
    </row>
    <row r="509" spans="1:14" x14ac:dyDescent="0.25">
      <c r="A509" s="356">
        <f t="shared" si="60"/>
        <v>486</v>
      </c>
      <c r="B509" s="357">
        <f t="shared" si="62"/>
        <v>40</v>
      </c>
      <c r="C509" s="357">
        <f t="shared" si="63"/>
        <v>6</v>
      </c>
      <c r="D509" s="357">
        <f t="shared" si="64"/>
        <v>69</v>
      </c>
      <c r="E509" s="356">
        <f t="shared" si="61"/>
        <v>548885.1592587855</v>
      </c>
      <c r="G509" s="356">
        <f t="shared" si="57"/>
        <v>3955.9928062072595</v>
      </c>
      <c r="H509" s="360">
        <f>-SUM(E509:G509)*$H$21</f>
        <v>-4975.570368584936</v>
      </c>
      <c r="I509" s="356">
        <f t="shared" si="58"/>
        <v>-552.8411520649928</v>
      </c>
      <c r="J509" s="356">
        <f t="shared" si="59"/>
        <v>547312.7405443429</v>
      </c>
      <c r="M509" s="358"/>
      <c r="N509" s="356"/>
    </row>
    <row r="510" spans="1:14" x14ac:dyDescent="0.25">
      <c r="A510" s="356">
        <f t="shared" si="60"/>
        <v>487</v>
      </c>
      <c r="B510" s="357">
        <f t="shared" si="62"/>
        <v>40</v>
      </c>
      <c r="C510" s="357">
        <f t="shared" si="63"/>
        <v>7</v>
      </c>
      <c r="D510" s="357">
        <f t="shared" si="64"/>
        <v>69</v>
      </c>
      <c r="E510" s="356">
        <f t="shared" si="61"/>
        <v>547312.7405443429</v>
      </c>
      <c r="G510" s="356">
        <f t="shared" si="57"/>
        <v>3944.6598761439272</v>
      </c>
      <c r="H510" s="356">
        <v>0</v>
      </c>
      <c r="I510" s="356">
        <f t="shared" si="58"/>
        <v>-551.2574004204869</v>
      </c>
      <c r="J510" s="356">
        <f t="shared" si="59"/>
        <v>550706.1430200663</v>
      </c>
      <c r="M510" s="358"/>
      <c r="N510" s="356"/>
    </row>
    <row r="511" spans="1:14" x14ac:dyDescent="0.25">
      <c r="A511" s="356">
        <f t="shared" si="60"/>
        <v>488</v>
      </c>
      <c r="B511" s="357">
        <f t="shared" si="62"/>
        <v>40</v>
      </c>
      <c r="C511" s="357">
        <f t="shared" si="63"/>
        <v>8</v>
      </c>
      <c r="D511" s="357">
        <f t="shared" si="64"/>
        <v>69</v>
      </c>
      <c r="E511" s="356">
        <f t="shared" si="61"/>
        <v>550706.1430200663</v>
      </c>
      <c r="G511" s="356">
        <f t="shared" si="57"/>
        <v>3969.117224928245</v>
      </c>
      <c r="H511" s="356">
        <v>0</v>
      </c>
      <c r="I511" s="356">
        <f t="shared" si="58"/>
        <v>-554.6752602449945</v>
      </c>
      <c r="J511" s="356">
        <f t="shared" si="59"/>
        <v>554120.5849847496</v>
      </c>
      <c r="M511" s="358"/>
      <c r="N511" s="356"/>
    </row>
    <row r="512" spans="1:14" x14ac:dyDescent="0.25">
      <c r="A512" s="356">
        <f t="shared" si="60"/>
        <v>489</v>
      </c>
      <c r="B512" s="357">
        <f t="shared" si="62"/>
        <v>40</v>
      </c>
      <c r="C512" s="357">
        <f t="shared" si="63"/>
        <v>9</v>
      </c>
      <c r="D512" s="357">
        <f t="shared" si="64"/>
        <v>69</v>
      </c>
      <c r="E512" s="356">
        <f t="shared" si="61"/>
        <v>554120.5849847496</v>
      </c>
      <c r="G512" s="356">
        <f t="shared" si="57"/>
        <v>3993.726212111902</v>
      </c>
      <c r="H512" s="360">
        <f>-SUM(E512:G512)*$H$21</f>
        <v>-5023.028800771754</v>
      </c>
      <c r="I512" s="356">
        <f t="shared" si="58"/>
        <v>-558.1143111968614</v>
      </c>
      <c r="J512" s="356">
        <f t="shared" si="59"/>
        <v>552533.1680848928</v>
      </c>
      <c r="M512" s="358"/>
      <c r="N512" s="356"/>
    </row>
    <row r="513" spans="1:14" x14ac:dyDescent="0.25">
      <c r="A513" s="356">
        <f t="shared" si="60"/>
        <v>490</v>
      </c>
      <c r="B513" s="357">
        <f t="shared" si="62"/>
        <v>40</v>
      </c>
      <c r="C513" s="357">
        <f t="shared" si="63"/>
        <v>10</v>
      </c>
      <c r="D513" s="357">
        <f t="shared" si="64"/>
        <v>69</v>
      </c>
      <c r="E513" s="356">
        <f t="shared" si="61"/>
        <v>552533.1680848928</v>
      </c>
      <c r="G513" s="356">
        <f t="shared" si="57"/>
        <v>3982.2851852771346</v>
      </c>
      <c r="H513" s="356">
        <v>0</v>
      </c>
      <c r="I513" s="356">
        <f t="shared" si="58"/>
        <v>-556.5154532701699</v>
      </c>
      <c r="J513" s="356">
        <f t="shared" si="59"/>
        <v>555958.9378168997</v>
      </c>
      <c r="M513" s="358"/>
      <c r="N513" s="356"/>
    </row>
    <row r="514" spans="1:14" x14ac:dyDescent="0.25">
      <c r="A514" s="356">
        <f t="shared" si="60"/>
        <v>491</v>
      </c>
      <c r="B514" s="357">
        <f t="shared" si="62"/>
        <v>40</v>
      </c>
      <c r="C514" s="357">
        <f t="shared" si="63"/>
        <v>11</v>
      </c>
      <c r="D514" s="357">
        <f t="shared" si="64"/>
        <v>69</v>
      </c>
      <c r="E514" s="356">
        <f t="shared" si="61"/>
        <v>555958.9378168997</v>
      </c>
      <c r="G514" s="356">
        <f t="shared" si="57"/>
        <v>4006.975815342344</v>
      </c>
      <c r="H514" s="356">
        <v>0</v>
      </c>
      <c r="I514" s="356">
        <f t="shared" si="58"/>
        <v>-559.9659136322422</v>
      </c>
      <c r="J514" s="356">
        <f t="shared" si="59"/>
        <v>559405.9477186099</v>
      </c>
      <c r="M514" s="358"/>
      <c r="N514" s="356"/>
    </row>
    <row r="515" spans="1:14" x14ac:dyDescent="0.25">
      <c r="A515" s="356">
        <f t="shared" si="60"/>
        <v>492</v>
      </c>
      <c r="B515" s="357">
        <f t="shared" si="62"/>
        <v>40</v>
      </c>
      <c r="C515" s="357">
        <f t="shared" si="63"/>
        <v>12</v>
      </c>
      <c r="D515" s="357">
        <f t="shared" si="64"/>
        <v>69</v>
      </c>
      <c r="E515" s="356">
        <f t="shared" si="61"/>
        <v>559405.9477186099</v>
      </c>
      <c r="G515" s="356">
        <f t="shared" si="57"/>
        <v>4031.8195301778937</v>
      </c>
      <c r="H515" s="360">
        <f>-SUM(E515:G515)*$H$21</f>
        <v>-5070.939905239091</v>
      </c>
      <c r="I515" s="356">
        <f t="shared" si="58"/>
        <v>-563.4377672487878</v>
      </c>
      <c r="J515" s="356">
        <f t="shared" si="59"/>
        <v>557803.3895762999</v>
      </c>
      <c r="M515" s="358"/>
      <c r="N515" s="356"/>
    </row>
    <row r="516" spans="1:14" x14ac:dyDescent="0.25">
      <c r="A516" s="356">
        <f t="shared" si="60"/>
        <v>493</v>
      </c>
      <c r="B516" s="357">
        <f t="shared" si="62"/>
        <v>41</v>
      </c>
      <c r="C516" s="357">
        <f t="shared" si="63"/>
        <v>1</v>
      </c>
      <c r="D516" s="357">
        <f t="shared" si="64"/>
        <v>70</v>
      </c>
      <c r="E516" s="356">
        <f t="shared" si="61"/>
        <v>557803.3895762999</v>
      </c>
      <c r="G516" s="356">
        <f t="shared" si="57"/>
        <v>4020.269375513358</v>
      </c>
      <c r="H516" s="356">
        <v>0</v>
      </c>
      <c r="I516" s="356">
        <f t="shared" si="58"/>
        <v>-561.8236589518133</v>
      </c>
      <c r="J516" s="356">
        <f t="shared" si="59"/>
        <v>561261.8352928614</v>
      </c>
      <c r="M516" s="358"/>
      <c r="N516" s="356"/>
    </row>
    <row r="517" spans="1:14" x14ac:dyDescent="0.25">
      <c r="A517" s="356">
        <f t="shared" si="60"/>
        <v>494</v>
      </c>
      <c r="B517" s="357">
        <f t="shared" si="62"/>
        <v>41</v>
      </c>
      <c r="C517" s="357">
        <f t="shared" si="63"/>
        <v>2</v>
      </c>
      <c r="D517" s="357">
        <f t="shared" si="64"/>
        <v>70</v>
      </c>
      <c r="E517" s="356">
        <f t="shared" si="61"/>
        <v>561261.8352928614</v>
      </c>
      <c r="G517" s="356">
        <f t="shared" si="57"/>
        <v>4045.195511963925</v>
      </c>
      <c r="H517" s="356">
        <v>0</v>
      </c>
      <c r="I517" s="356">
        <f t="shared" si="58"/>
        <v>-565.3070308048253</v>
      </c>
      <c r="J517" s="356">
        <f t="shared" si="59"/>
        <v>564741.7237740206</v>
      </c>
      <c r="M517" s="358"/>
      <c r="N517" s="356"/>
    </row>
    <row r="518" spans="1:14" x14ac:dyDescent="0.25">
      <c r="A518" s="356">
        <f t="shared" si="60"/>
        <v>495</v>
      </c>
      <c r="B518" s="357">
        <f t="shared" si="62"/>
        <v>41</v>
      </c>
      <c r="C518" s="357">
        <f t="shared" si="63"/>
        <v>3</v>
      </c>
      <c r="D518" s="357">
        <f t="shared" si="64"/>
        <v>70</v>
      </c>
      <c r="E518" s="356">
        <f t="shared" si="61"/>
        <v>564741.7237740206</v>
      </c>
      <c r="G518" s="356">
        <f t="shared" si="57"/>
        <v>4070.276193351739</v>
      </c>
      <c r="H518" s="360">
        <f>-SUM(E518:G518)*$H$21</f>
        <v>-5119.307999706351</v>
      </c>
      <c r="I518" s="356">
        <f t="shared" si="58"/>
        <v>-568.8119999673723</v>
      </c>
      <c r="J518" s="356">
        <f t="shared" si="59"/>
        <v>563123.8799676986</v>
      </c>
      <c r="M518" s="358"/>
      <c r="N518" s="356"/>
    </row>
    <row r="519" spans="1:14" x14ac:dyDescent="0.25">
      <c r="A519" s="356">
        <f t="shared" si="60"/>
        <v>496</v>
      </c>
      <c r="B519" s="357">
        <f t="shared" si="62"/>
        <v>41</v>
      </c>
      <c r="C519" s="357">
        <f t="shared" si="63"/>
        <v>4</v>
      </c>
      <c r="D519" s="357">
        <f t="shared" si="64"/>
        <v>70</v>
      </c>
      <c r="E519" s="356">
        <f t="shared" si="61"/>
        <v>563123.8799676986</v>
      </c>
      <c r="G519" s="356">
        <f t="shared" si="57"/>
        <v>4058.615869964567</v>
      </c>
      <c r="H519" s="356">
        <v>0</v>
      </c>
      <c r="I519" s="356">
        <f t="shared" si="58"/>
        <v>-567.1824958376632</v>
      </c>
      <c r="J519" s="356">
        <f t="shared" si="59"/>
        <v>566615.3133418255</v>
      </c>
      <c r="M519" s="358"/>
      <c r="N519" s="356"/>
    </row>
    <row r="520" spans="1:14" x14ac:dyDescent="0.25">
      <c r="A520" s="356">
        <f t="shared" si="60"/>
        <v>497</v>
      </c>
      <c r="B520" s="357">
        <f t="shared" si="62"/>
        <v>41</v>
      </c>
      <c r="C520" s="357">
        <f t="shared" si="63"/>
        <v>5</v>
      </c>
      <c r="D520" s="357">
        <f t="shared" si="64"/>
        <v>70</v>
      </c>
      <c r="E520" s="356">
        <f t="shared" si="61"/>
        <v>566615.3133418255</v>
      </c>
      <c r="G520" s="356">
        <f t="shared" si="57"/>
        <v>4083.77975912865</v>
      </c>
      <c r="H520" s="356">
        <v>0</v>
      </c>
      <c r="I520" s="356">
        <f t="shared" si="58"/>
        <v>-570.6990931009542</v>
      </c>
      <c r="J520" s="356">
        <f t="shared" si="59"/>
        <v>570128.3940078532</v>
      </c>
      <c r="M520" s="358"/>
      <c r="N520" s="356"/>
    </row>
    <row r="521" spans="1:14" x14ac:dyDescent="0.25">
      <c r="A521" s="356">
        <f t="shared" si="60"/>
        <v>498</v>
      </c>
      <c r="B521" s="357">
        <f t="shared" si="62"/>
        <v>41</v>
      </c>
      <c r="C521" s="357">
        <f t="shared" si="63"/>
        <v>6</v>
      </c>
      <c r="D521" s="357">
        <f t="shared" si="64"/>
        <v>70</v>
      </c>
      <c r="E521" s="356">
        <f t="shared" si="61"/>
        <v>570128.3940078532</v>
      </c>
      <c r="G521" s="356">
        <f t="shared" si="57"/>
        <v>4109.099667324381</v>
      </c>
      <c r="H521" s="360">
        <f>-SUM(E521:G521)*$H$21</f>
        <v>-5168.137443076599</v>
      </c>
      <c r="I521" s="356">
        <f t="shared" si="58"/>
        <v>-574.2374936751776</v>
      </c>
      <c r="J521" s="356">
        <f t="shared" si="59"/>
        <v>568495.1187384258</v>
      </c>
      <c r="M521" s="358"/>
      <c r="N521" s="356"/>
    </row>
    <row r="522" spans="1:14" x14ac:dyDescent="0.25">
      <c r="A522" s="356">
        <f t="shared" si="60"/>
        <v>499</v>
      </c>
      <c r="B522" s="357">
        <f t="shared" si="62"/>
        <v>41</v>
      </c>
      <c r="C522" s="357">
        <f t="shared" si="63"/>
        <v>7</v>
      </c>
      <c r="D522" s="357">
        <f t="shared" si="64"/>
        <v>70</v>
      </c>
      <c r="E522" s="356">
        <f t="shared" si="61"/>
        <v>568495.1187384258</v>
      </c>
      <c r="G522" s="356">
        <f t="shared" si="57"/>
        <v>4097.328124393367</v>
      </c>
      <c r="H522" s="356">
        <v>0</v>
      </c>
      <c r="I522" s="356">
        <f t="shared" si="58"/>
        <v>-572.5924468628192</v>
      </c>
      <c r="J522" s="356">
        <f t="shared" si="59"/>
        <v>572019.8544159563</v>
      </c>
      <c r="M522" s="358"/>
      <c r="N522" s="356"/>
    </row>
    <row r="523" spans="1:14" x14ac:dyDescent="0.25">
      <c r="A523" s="356">
        <f t="shared" si="60"/>
        <v>500</v>
      </c>
      <c r="B523" s="357">
        <f t="shared" si="62"/>
        <v>41</v>
      </c>
      <c r="C523" s="357">
        <f t="shared" si="63"/>
        <v>8</v>
      </c>
      <c r="D523" s="357">
        <f t="shared" si="64"/>
        <v>70</v>
      </c>
      <c r="E523" s="356">
        <f t="shared" si="61"/>
        <v>572019.8544159563</v>
      </c>
      <c r="G523" s="356">
        <f t="shared" si="57"/>
        <v>4122.732034025252</v>
      </c>
      <c r="H523" s="356">
        <v>0</v>
      </c>
      <c r="I523" s="356">
        <f t="shared" si="58"/>
        <v>-576.1425864499815</v>
      </c>
      <c r="J523" s="356">
        <f t="shared" si="59"/>
        <v>575566.4438635316</v>
      </c>
      <c r="M523" s="358"/>
      <c r="N523" s="356"/>
    </row>
    <row r="524" spans="1:14" x14ac:dyDescent="0.25">
      <c r="A524" s="356">
        <f t="shared" si="60"/>
        <v>501</v>
      </c>
      <c r="B524" s="357">
        <f t="shared" si="62"/>
        <v>41</v>
      </c>
      <c r="C524" s="357">
        <f t="shared" si="63"/>
        <v>9</v>
      </c>
      <c r="D524" s="357">
        <f t="shared" si="64"/>
        <v>70</v>
      </c>
      <c r="E524" s="356">
        <f t="shared" si="61"/>
        <v>575566.4438635316</v>
      </c>
      <c r="G524" s="356">
        <f t="shared" si="57"/>
        <v>4148.2934508435255</v>
      </c>
      <c r="H524" s="360">
        <f>-SUM(E524:G524)*$H$21</f>
        <v>-5217.4326358293765</v>
      </c>
      <c r="I524" s="356">
        <f t="shared" si="58"/>
        <v>-579.7147373143752</v>
      </c>
      <c r="J524" s="356">
        <f t="shared" si="59"/>
        <v>573917.5899412314</v>
      </c>
      <c r="M524" s="358"/>
      <c r="N524" s="356"/>
    </row>
    <row r="525" spans="1:14" x14ac:dyDescent="0.25">
      <c r="A525" s="356">
        <f t="shared" si="60"/>
        <v>502</v>
      </c>
      <c r="B525" s="357">
        <f t="shared" si="62"/>
        <v>41</v>
      </c>
      <c r="C525" s="357">
        <f t="shared" si="63"/>
        <v>10</v>
      </c>
      <c r="D525" s="357">
        <f t="shared" si="64"/>
        <v>70</v>
      </c>
      <c r="E525" s="356">
        <f t="shared" si="61"/>
        <v>573917.5899412314</v>
      </c>
      <c r="G525" s="356">
        <f t="shared" si="57"/>
        <v>4136.409627524427</v>
      </c>
      <c r="H525" s="356">
        <v>0</v>
      </c>
      <c r="I525" s="356">
        <f t="shared" si="58"/>
        <v>-578.0539995687559</v>
      </c>
      <c r="J525" s="356">
        <f t="shared" si="59"/>
        <v>577475.945569187</v>
      </c>
      <c r="M525" s="358"/>
      <c r="N525" s="356"/>
    </row>
    <row r="526" spans="1:14" x14ac:dyDescent="0.25">
      <c r="A526" s="356">
        <f t="shared" si="60"/>
        <v>503</v>
      </c>
      <c r="B526" s="357">
        <f t="shared" si="62"/>
        <v>41</v>
      </c>
      <c r="C526" s="357">
        <f t="shared" si="63"/>
        <v>11</v>
      </c>
      <c r="D526" s="357">
        <f t="shared" si="64"/>
        <v>70</v>
      </c>
      <c r="E526" s="356">
        <f t="shared" si="61"/>
        <v>577475.945569187</v>
      </c>
      <c r="G526" s="356">
        <f t="shared" si="57"/>
        <v>4162.055847008899</v>
      </c>
      <c r="H526" s="356">
        <v>0</v>
      </c>
      <c r="I526" s="356">
        <f t="shared" si="58"/>
        <v>-581.6380014161961</v>
      </c>
      <c r="J526" s="356">
        <f t="shared" si="59"/>
        <v>581056.3634147798</v>
      </c>
      <c r="M526" s="358"/>
      <c r="N526" s="356"/>
    </row>
    <row r="527" spans="1:14" x14ac:dyDescent="0.25">
      <c r="A527" s="356">
        <f t="shared" si="60"/>
        <v>504</v>
      </c>
      <c r="B527" s="357">
        <f t="shared" si="62"/>
        <v>41</v>
      </c>
      <c r="C527" s="357">
        <f t="shared" si="63"/>
        <v>12</v>
      </c>
      <c r="D527" s="357">
        <f t="shared" si="64"/>
        <v>70</v>
      </c>
      <c r="E527" s="356">
        <f t="shared" si="61"/>
        <v>581056.3634147798</v>
      </c>
      <c r="G527" s="356">
        <f t="shared" si="57"/>
        <v>4187.861076028951</v>
      </c>
      <c r="H527" s="360">
        <f>-SUM(E527:G527)*$H$21</f>
        <v>-5267.198020417279</v>
      </c>
      <c r="I527" s="356">
        <f t="shared" si="58"/>
        <v>-585.2442244908087</v>
      </c>
      <c r="J527" s="356">
        <f t="shared" si="59"/>
        <v>579391.7822459006</v>
      </c>
      <c r="M527" s="358"/>
      <c r="N527" s="356"/>
    </row>
    <row r="528" spans="1:14" x14ac:dyDescent="0.25">
      <c r="A528" s="356">
        <f t="shared" si="60"/>
        <v>505</v>
      </c>
      <c r="B528" s="357">
        <f t="shared" si="62"/>
        <v>42</v>
      </c>
      <c r="C528" s="357">
        <f t="shared" si="63"/>
        <v>1</v>
      </c>
      <c r="D528" s="357">
        <f t="shared" si="64"/>
        <v>71</v>
      </c>
      <c r="E528" s="356">
        <f t="shared" si="61"/>
        <v>579391.7822459006</v>
      </c>
      <c r="G528" s="356">
        <f t="shared" si="57"/>
        <v>4175.863901358886</v>
      </c>
      <c r="H528" s="356">
        <v>0</v>
      </c>
      <c r="I528" s="356">
        <f t="shared" si="58"/>
        <v>-583.5676461472596</v>
      </c>
      <c r="J528" s="356">
        <f t="shared" si="59"/>
        <v>582984.0785011123</v>
      </c>
      <c r="M528" s="358"/>
      <c r="N528" s="356"/>
    </row>
    <row r="529" spans="1:14" x14ac:dyDescent="0.25">
      <c r="A529" s="356">
        <f t="shared" si="60"/>
        <v>506</v>
      </c>
      <c r="B529" s="357">
        <f t="shared" si="62"/>
        <v>42</v>
      </c>
      <c r="C529" s="357">
        <f t="shared" si="63"/>
        <v>2</v>
      </c>
      <c r="D529" s="357">
        <f t="shared" si="64"/>
        <v>71</v>
      </c>
      <c r="E529" s="356">
        <f t="shared" si="61"/>
        <v>582984.0785011123</v>
      </c>
      <c r="G529" s="356">
        <f t="shared" si="57"/>
        <v>4201.754741917544</v>
      </c>
      <c r="H529" s="356">
        <v>0</v>
      </c>
      <c r="I529" s="356">
        <f t="shared" si="58"/>
        <v>-587.18583324303</v>
      </c>
      <c r="J529" s="356">
        <f t="shared" si="59"/>
        <v>586598.6474097868</v>
      </c>
      <c r="M529" s="358"/>
      <c r="N529" s="356"/>
    </row>
    <row r="530" spans="1:14" x14ac:dyDescent="0.25">
      <c r="A530" s="356">
        <f t="shared" si="60"/>
        <v>507</v>
      </c>
      <c r="B530" s="357">
        <f t="shared" si="62"/>
        <v>42</v>
      </c>
      <c r="C530" s="357">
        <f t="shared" si="63"/>
        <v>3</v>
      </c>
      <c r="D530" s="357">
        <f t="shared" si="64"/>
        <v>71</v>
      </c>
      <c r="E530" s="356">
        <f t="shared" si="61"/>
        <v>586598.6474097868</v>
      </c>
      <c r="G530" s="356">
        <f t="shared" si="57"/>
        <v>4227.8061086908165</v>
      </c>
      <c r="H530" s="360">
        <f>-SUM(E530:G530)*$H$21</f>
        <v>-5317.438081666299</v>
      </c>
      <c r="I530" s="356">
        <f t="shared" si="58"/>
        <v>-590.8264535184776</v>
      </c>
      <c r="J530" s="356">
        <f t="shared" si="59"/>
        <v>584918.1889832929</v>
      </c>
      <c r="M530" s="358"/>
      <c r="N530" s="356"/>
    </row>
    <row r="531" spans="1:14" x14ac:dyDescent="0.25">
      <c r="A531" s="356">
        <f t="shared" si="60"/>
        <v>508</v>
      </c>
      <c r="B531" s="357">
        <f t="shared" si="62"/>
        <v>42</v>
      </c>
      <c r="C531" s="357">
        <f t="shared" si="63"/>
        <v>4</v>
      </c>
      <c r="D531" s="357">
        <f t="shared" si="64"/>
        <v>71</v>
      </c>
      <c r="E531" s="356">
        <f t="shared" si="61"/>
        <v>584918.1889832929</v>
      </c>
      <c r="G531" s="356">
        <f t="shared" si="57"/>
        <v>4215.694501491748</v>
      </c>
      <c r="H531" s="356">
        <v>0</v>
      </c>
      <c r="I531" s="356">
        <f t="shared" si="58"/>
        <v>-589.1338834847846</v>
      </c>
      <c r="J531" s="356">
        <f t="shared" si="59"/>
        <v>588544.7496012999</v>
      </c>
      <c r="M531" s="358"/>
      <c r="N531" s="356"/>
    </row>
    <row r="532" spans="1:14" x14ac:dyDescent="0.25">
      <c r="A532" s="356">
        <f t="shared" si="60"/>
        <v>509</v>
      </c>
      <c r="B532" s="357">
        <f t="shared" si="62"/>
        <v>42</v>
      </c>
      <c r="C532" s="357">
        <f t="shared" si="63"/>
        <v>5</v>
      </c>
      <c r="D532" s="357">
        <f t="shared" si="64"/>
        <v>71</v>
      </c>
      <c r="E532" s="356">
        <f t="shared" si="61"/>
        <v>588544.7496012999</v>
      </c>
      <c r="G532" s="356">
        <f t="shared" si="57"/>
        <v>4241.832296391293</v>
      </c>
      <c r="H532" s="356">
        <v>0</v>
      </c>
      <c r="I532" s="356">
        <f t="shared" si="58"/>
        <v>-592.7865818976911</v>
      </c>
      <c r="J532" s="356">
        <f t="shared" si="59"/>
        <v>592193.7953157935</v>
      </c>
      <c r="M532" s="358"/>
      <c r="N532" s="356"/>
    </row>
    <row r="533" spans="1:14" x14ac:dyDescent="0.25">
      <c r="A533" s="356">
        <f t="shared" si="60"/>
        <v>510</v>
      </c>
      <c r="B533" s="357">
        <f t="shared" si="62"/>
        <v>42</v>
      </c>
      <c r="C533" s="357">
        <f t="shared" si="63"/>
        <v>6</v>
      </c>
      <c r="D533" s="357">
        <f t="shared" si="64"/>
        <v>71</v>
      </c>
      <c r="E533" s="356">
        <f t="shared" si="61"/>
        <v>592193.7953157935</v>
      </c>
      <c r="G533" s="356">
        <f t="shared" si="57"/>
        <v>4268.132148651012</v>
      </c>
      <c r="H533" s="360">
        <f>-SUM(E533:G533)*$H$21</f>
        <v>-5368.157347180001</v>
      </c>
      <c r="I533" s="356">
        <f t="shared" si="58"/>
        <v>-596.4619274644446</v>
      </c>
      <c r="J533" s="356">
        <f t="shared" si="59"/>
        <v>590497.3081898001</v>
      </c>
      <c r="M533" s="358"/>
      <c r="N533" s="356"/>
    </row>
    <row r="534" spans="1:14" x14ac:dyDescent="0.25">
      <c r="A534" s="356">
        <f t="shared" si="60"/>
        <v>511</v>
      </c>
      <c r="B534" s="357">
        <f t="shared" si="62"/>
        <v>42</v>
      </c>
      <c r="C534" s="357">
        <f t="shared" si="63"/>
        <v>7</v>
      </c>
      <c r="D534" s="357">
        <f t="shared" si="64"/>
        <v>71</v>
      </c>
      <c r="E534" s="356">
        <f t="shared" si="61"/>
        <v>590497.3081898001</v>
      </c>
      <c r="G534" s="356">
        <f t="shared" si="57"/>
        <v>4255.905017432315</v>
      </c>
      <c r="H534" s="356">
        <v>0</v>
      </c>
      <c r="I534" s="356">
        <f t="shared" si="58"/>
        <v>-594.7532132072324</v>
      </c>
      <c r="J534" s="356">
        <f t="shared" si="59"/>
        <v>594158.4599940252</v>
      </c>
      <c r="M534" s="358"/>
      <c r="N534" s="356"/>
    </row>
    <row r="535" spans="1:14" x14ac:dyDescent="0.25">
      <c r="A535" s="356">
        <f t="shared" si="60"/>
        <v>512</v>
      </c>
      <c r="B535" s="357">
        <f t="shared" si="62"/>
        <v>42</v>
      </c>
      <c r="C535" s="357">
        <f t="shared" si="63"/>
        <v>8</v>
      </c>
      <c r="D535" s="357">
        <f t="shared" si="64"/>
        <v>71</v>
      </c>
      <c r="E535" s="356">
        <f t="shared" si="61"/>
        <v>594158.4599940252</v>
      </c>
      <c r="G535" s="356">
        <f t="shared" si="57"/>
        <v>4282.292122194822</v>
      </c>
      <c r="H535" s="356">
        <v>0</v>
      </c>
      <c r="I535" s="356">
        <f t="shared" si="58"/>
        <v>-598.44075211622</v>
      </c>
      <c r="J535" s="356">
        <f t="shared" si="59"/>
        <v>597842.3113641037</v>
      </c>
      <c r="M535" s="358"/>
      <c r="N535" s="356"/>
    </row>
    <row r="536" spans="1:14" x14ac:dyDescent="0.25">
      <c r="A536" s="356">
        <f t="shared" si="60"/>
        <v>513</v>
      </c>
      <c r="B536" s="357">
        <f t="shared" si="62"/>
        <v>42</v>
      </c>
      <c r="C536" s="357">
        <f t="shared" si="63"/>
        <v>9</v>
      </c>
      <c r="D536" s="357">
        <f t="shared" si="64"/>
        <v>71</v>
      </c>
      <c r="E536" s="356">
        <f t="shared" si="61"/>
        <v>597842.3113641037</v>
      </c>
      <c r="G536" s="356">
        <f t="shared" ref="G536:G599" si="65">SUM(E536:F536)*$F$8</f>
        <v>4308.8428300675705</v>
      </c>
      <c r="H536" s="360">
        <f>-SUM(E536:G536)*$H$21</f>
        <v>-5419.3603877475425</v>
      </c>
      <c r="I536" s="356">
        <f t="shared" ref="I536:I599" si="66">-SUM(E536:G536)*0.1%</f>
        <v>-602.1511541941713</v>
      </c>
      <c r="J536" s="356">
        <f t="shared" ref="J536:J599" si="67">SUM(E536:I536)</f>
        <v>596129.6426522296</v>
      </c>
      <c r="M536" s="358"/>
      <c r="N536" s="356"/>
    </row>
    <row r="537" spans="1:14" x14ac:dyDescent="0.25">
      <c r="A537" s="356">
        <f t="shared" ref="A537:A600" si="68">+A536+1</f>
        <v>514</v>
      </c>
      <c r="B537" s="357">
        <f t="shared" si="62"/>
        <v>42</v>
      </c>
      <c r="C537" s="357">
        <f t="shared" si="63"/>
        <v>10</v>
      </c>
      <c r="D537" s="357">
        <f t="shared" si="64"/>
        <v>71</v>
      </c>
      <c r="E537" s="356">
        <f t="shared" ref="E537:E600" si="69">J536</f>
        <v>596129.6426522296</v>
      </c>
      <c r="G537" s="356">
        <f t="shared" si="65"/>
        <v>4296.499072927663</v>
      </c>
      <c r="H537" s="356">
        <v>0</v>
      </c>
      <c r="I537" s="356">
        <f t="shared" si="66"/>
        <v>-600.4261417251573</v>
      </c>
      <c r="J537" s="356">
        <f t="shared" si="67"/>
        <v>599825.7155834321</v>
      </c>
      <c r="M537" s="358"/>
      <c r="N537" s="356"/>
    </row>
    <row r="538" spans="1:14" x14ac:dyDescent="0.25">
      <c r="A538" s="356">
        <f t="shared" si="68"/>
        <v>515</v>
      </c>
      <c r="B538" s="357">
        <f t="shared" si="62"/>
        <v>42</v>
      </c>
      <c r="C538" s="357">
        <f t="shared" si="63"/>
        <v>11</v>
      </c>
      <c r="D538" s="357">
        <f t="shared" si="64"/>
        <v>71</v>
      </c>
      <c r="E538" s="356">
        <f t="shared" si="69"/>
        <v>599825.7155834321</v>
      </c>
      <c r="G538" s="356">
        <f t="shared" si="65"/>
        <v>4323.137865542861</v>
      </c>
      <c r="H538" s="356">
        <v>0</v>
      </c>
      <c r="I538" s="356">
        <f t="shared" si="66"/>
        <v>-604.148853448975</v>
      </c>
      <c r="J538" s="356">
        <f t="shared" si="67"/>
        <v>603544.7045955261</v>
      </c>
      <c r="M538" s="358"/>
      <c r="N538" s="356"/>
    </row>
    <row r="539" spans="1:14" x14ac:dyDescent="0.25">
      <c r="A539" s="356">
        <f t="shared" si="68"/>
        <v>516</v>
      </c>
      <c r="B539" s="357">
        <f t="shared" si="62"/>
        <v>42</v>
      </c>
      <c r="C539" s="357">
        <f t="shared" si="63"/>
        <v>12</v>
      </c>
      <c r="D539" s="357">
        <f t="shared" si="64"/>
        <v>71</v>
      </c>
      <c r="E539" s="356">
        <f t="shared" si="69"/>
        <v>603544.7045955261</v>
      </c>
      <c r="G539" s="356">
        <f t="shared" si="65"/>
        <v>4349.9418217621815</v>
      </c>
      <c r="H539" s="360">
        <f>-SUM(E539:G539)*$H$21</f>
        <v>-5471.051817755595</v>
      </c>
      <c r="I539" s="356">
        <f t="shared" si="66"/>
        <v>-607.8946464172882</v>
      </c>
      <c r="J539" s="356">
        <f t="shared" si="67"/>
        <v>601815.6999531154</v>
      </c>
      <c r="M539" s="358"/>
      <c r="N539" s="356"/>
    </row>
    <row r="540" spans="1:14" x14ac:dyDescent="0.25">
      <c r="A540" s="356">
        <f t="shared" si="68"/>
        <v>517</v>
      </c>
      <c r="B540" s="357">
        <f t="shared" si="62"/>
        <v>43</v>
      </c>
      <c r="C540" s="357">
        <f t="shared" si="63"/>
        <v>1</v>
      </c>
      <c r="D540" s="357">
        <f t="shared" si="64"/>
        <v>72</v>
      </c>
      <c r="E540" s="356">
        <f t="shared" si="69"/>
        <v>601815.6999531154</v>
      </c>
      <c r="G540" s="356">
        <f t="shared" si="65"/>
        <v>4337.4803262892265</v>
      </c>
      <c r="H540" s="356">
        <v>0</v>
      </c>
      <c r="I540" s="356">
        <f t="shared" si="66"/>
        <v>-606.1531802794046</v>
      </c>
      <c r="J540" s="356">
        <f t="shared" si="67"/>
        <v>605547.0270991252</v>
      </c>
      <c r="M540" s="358"/>
      <c r="N540" s="356"/>
    </row>
    <row r="541" spans="1:14" x14ac:dyDescent="0.25">
      <c r="A541" s="356">
        <f t="shared" si="68"/>
        <v>518</v>
      </c>
      <c r="B541" s="357">
        <f t="shared" si="62"/>
        <v>43</v>
      </c>
      <c r="C541" s="357">
        <f t="shared" si="63"/>
        <v>2</v>
      </c>
      <c r="D541" s="357">
        <f t="shared" si="64"/>
        <v>72</v>
      </c>
      <c r="E541" s="356">
        <f t="shared" si="69"/>
        <v>605547.0270991252</v>
      </c>
      <c r="G541" s="356">
        <f t="shared" si="65"/>
        <v>4364.373207428796</v>
      </c>
      <c r="H541" s="356">
        <v>0</v>
      </c>
      <c r="I541" s="356">
        <f t="shared" si="66"/>
        <v>-609.911400306554</v>
      </c>
      <c r="J541" s="356">
        <f t="shared" si="67"/>
        <v>609301.4889062475</v>
      </c>
      <c r="M541" s="358"/>
      <c r="N541" s="356"/>
    </row>
    <row r="542" spans="1:14" x14ac:dyDescent="0.25">
      <c r="A542" s="356">
        <f t="shared" si="68"/>
        <v>519</v>
      </c>
      <c r="B542" s="357">
        <f t="shared" si="62"/>
        <v>43</v>
      </c>
      <c r="C542" s="357">
        <f t="shared" si="63"/>
        <v>3</v>
      </c>
      <c r="D542" s="357">
        <f t="shared" si="64"/>
        <v>72</v>
      </c>
      <c r="E542" s="356">
        <f t="shared" si="69"/>
        <v>609301.4889062475</v>
      </c>
      <c r="G542" s="356">
        <f t="shared" si="65"/>
        <v>4391.432827550814</v>
      </c>
      <c r="H542" s="360">
        <f>-SUM(E542:G542)*$H$21</f>
        <v>-5523.236295604186</v>
      </c>
      <c r="I542" s="356">
        <f t="shared" si="66"/>
        <v>-613.6929217337984</v>
      </c>
      <c r="J542" s="356">
        <f t="shared" si="67"/>
        <v>607555.9925164604</v>
      </c>
      <c r="M542" s="358"/>
      <c r="N542" s="356"/>
    </row>
    <row r="543" spans="1:14" x14ac:dyDescent="0.25">
      <c r="A543" s="356">
        <f t="shared" si="68"/>
        <v>520</v>
      </c>
      <c r="B543" s="357">
        <f t="shared" si="62"/>
        <v>43</v>
      </c>
      <c r="C543" s="357">
        <f t="shared" si="63"/>
        <v>4</v>
      </c>
      <c r="D543" s="357">
        <f t="shared" si="64"/>
        <v>72</v>
      </c>
      <c r="E543" s="356">
        <f t="shared" si="69"/>
        <v>607555.9925164604</v>
      </c>
      <c r="G543" s="356">
        <f t="shared" si="65"/>
        <v>4378.852470722469</v>
      </c>
      <c r="H543" s="356">
        <v>0</v>
      </c>
      <c r="I543" s="356">
        <f t="shared" si="66"/>
        <v>-611.9348449871829</v>
      </c>
      <c r="J543" s="356">
        <f t="shared" si="67"/>
        <v>611322.9101421956</v>
      </c>
      <c r="M543" s="358"/>
      <c r="N543" s="356"/>
    </row>
    <row r="544" spans="1:14" x14ac:dyDescent="0.25">
      <c r="A544" s="356">
        <f t="shared" si="68"/>
        <v>521</v>
      </c>
      <c r="B544" s="357">
        <f t="shared" si="62"/>
        <v>43</v>
      </c>
      <c r="C544" s="357">
        <f t="shared" si="63"/>
        <v>5</v>
      </c>
      <c r="D544" s="357">
        <f t="shared" si="64"/>
        <v>72</v>
      </c>
      <c r="E544" s="356">
        <f t="shared" si="69"/>
        <v>611322.9101421956</v>
      </c>
      <c r="G544" s="356">
        <f t="shared" si="65"/>
        <v>4406.001863956397</v>
      </c>
      <c r="H544" s="356">
        <v>0</v>
      </c>
      <c r="I544" s="356">
        <f t="shared" si="66"/>
        <v>-615.7289120061521</v>
      </c>
      <c r="J544" s="356">
        <f t="shared" si="67"/>
        <v>615113.183094146</v>
      </c>
      <c r="M544" s="358"/>
      <c r="N544" s="356"/>
    </row>
    <row r="545" spans="1:14" x14ac:dyDescent="0.25">
      <c r="A545" s="356">
        <f t="shared" si="68"/>
        <v>522</v>
      </c>
      <c r="B545" s="357">
        <f t="shared" si="62"/>
        <v>43</v>
      </c>
      <c r="C545" s="357">
        <f t="shared" si="63"/>
        <v>6</v>
      </c>
      <c r="D545" s="357">
        <f t="shared" si="64"/>
        <v>72</v>
      </c>
      <c r="E545" s="356">
        <f t="shared" si="69"/>
        <v>615113.183094146</v>
      </c>
      <c r="G545" s="356">
        <f t="shared" si="65"/>
        <v>4433.319586577511</v>
      </c>
      <c r="H545" s="360">
        <f>-SUM(E545:G545)*$H$21</f>
        <v>-5575.918524126511</v>
      </c>
      <c r="I545" s="356">
        <f t="shared" si="66"/>
        <v>-619.5465026807235</v>
      </c>
      <c r="J545" s="356">
        <f t="shared" si="67"/>
        <v>613351.0376539162</v>
      </c>
      <c r="M545" s="358"/>
      <c r="N545" s="356"/>
    </row>
    <row r="546" spans="1:14" x14ac:dyDescent="0.25">
      <c r="A546" s="356">
        <f t="shared" si="68"/>
        <v>523</v>
      </c>
      <c r="B546" s="357">
        <f t="shared" si="62"/>
        <v>43</v>
      </c>
      <c r="C546" s="357">
        <f t="shared" si="63"/>
        <v>7</v>
      </c>
      <c r="D546" s="357">
        <f t="shared" si="64"/>
        <v>72</v>
      </c>
      <c r="E546" s="356">
        <f t="shared" si="69"/>
        <v>613351.0376539162</v>
      </c>
      <c r="G546" s="356">
        <f t="shared" si="65"/>
        <v>4420.619234659719</v>
      </c>
      <c r="H546" s="356">
        <v>0</v>
      </c>
      <c r="I546" s="356">
        <f t="shared" si="66"/>
        <v>-617.7716568885759</v>
      </c>
      <c r="J546" s="356">
        <f t="shared" si="67"/>
        <v>617153.8852316873</v>
      </c>
      <c r="M546" s="358"/>
      <c r="N546" s="356"/>
    </row>
    <row r="547" spans="1:14" x14ac:dyDescent="0.25">
      <c r="A547" s="356">
        <f t="shared" si="68"/>
        <v>524</v>
      </c>
      <c r="B547" s="357">
        <f t="shared" si="62"/>
        <v>43</v>
      </c>
      <c r="C547" s="357">
        <f t="shared" si="63"/>
        <v>8</v>
      </c>
      <c r="D547" s="357">
        <f t="shared" si="64"/>
        <v>72</v>
      </c>
      <c r="E547" s="356">
        <f t="shared" si="69"/>
        <v>617153.8852316873</v>
      </c>
      <c r="G547" s="356">
        <f t="shared" si="65"/>
        <v>4448.027586674702</v>
      </c>
      <c r="H547" s="356">
        <v>0</v>
      </c>
      <c r="I547" s="356">
        <f t="shared" si="66"/>
        <v>-621.601912818362</v>
      </c>
      <c r="J547" s="356">
        <f t="shared" si="67"/>
        <v>620980.3109055436</v>
      </c>
      <c r="M547" s="358"/>
      <c r="N547" s="356"/>
    </row>
    <row r="548" spans="1:14" x14ac:dyDescent="0.25">
      <c r="A548" s="356">
        <f t="shared" si="68"/>
        <v>525</v>
      </c>
      <c r="B548" s="357">
        <f t="shared" ref="B548:B611" si="70">B536+1</f>
        <v>43</v>
      </c>
      <c r="C548" s="357">
        <f t="shared" ref="C548:C611" si="71">C536</f>
        <v>9</v>
      </c>
      <c r="D548" s="357">
        <f t="shared" ref="D548:D611" si="72">D536+1</f>
        <v>72</v>
      </c>
      <c r="E548" s="356">
        <f t="shared" si="69"/>
        <v>620980.3109055436</v>
      </c>
      <c r="G548" s="356">
        <f t="shared" si="65"/>
        <v>4475.605873651351</v>
      </c>
      <c r="H548" s="360">
        <f>-SUM(E548:G548)*$H$21</f>
        <v>-5629.103251012755</v>
      </c>
      <c r="I548" s="356">
        <f t="shared" si="66"/>
        <v>-625.4559167791949</v>
      </c>
      <c r="J548" s="356">
        <f t="shared" si="67"/>
        <v>619201.357611403</v>
      </c>
      <c r="M548" s="358"/>
      <c r="N548" s="356"/>
    </row>
    <row r="549" spans="1:14" x14ac:dyDescent="0.25">
      <c r="A549" s="356">
        <f t="shared" si="68"/>
        <v>526</v>
      </c>
      <c r="B549" s="357">
        <f t="shared" si="70"/>
        <v>43</v>
      </c>
      <c r="C549" s="357">
        <f t="shared" si="71"/>
        <v>10</v>
      </c>
      <c r="D549" s="357">
        <f t="shared" si="72"/>
        <v>72</v>
      </c>
      <c r="E549" s="356">
        <f t="shared" si="69"/>
        <v>619201.357611403</v>
      </c>
      <c r="G549" s="356">
        <f t="shared" si="65"/>
        <v>4462.784382096173</v>
      </c>
      <c r="H549" s="356">
        <v>0</v>
      </c>
      <c r="I549" s="356">
        <f t="shared" si="66"/>
        <v>-623.6641419934991</v>
      </c>
      <c r="J549" s="356">
        <f t="shared" si="67"/>
        <v>623040.4778515056</v>
      </c>
      <c r="M549" s="358"/>
      <c r="N549" s="356"/>
    </row>
    <row r="550" spans="1:14" x14ac:dyDescent="0.25">
      <c r="A550" s="356">
        <f t="shared" si="68"/>
        <v>527</v>
      </c>
      <c r="B550" s="357">
        <f t="shared" si="70"/>
        <v>43</v>
      </c>
      <c r="C550" s="357">
        <f t="shared" si="71"/>
        <v>11</v>
      </c>
      <c r="D550" s="357">
        <f t="shared" si="72"/>
        <v>72</v>
      </c>
      <c r="E550" s="356">
        <f t="shared" si="69"/>
        <v>623040.4778515056</v>
      </c>
      <c r="G550" s="356">
        <f t="shared" si="65"/>
        <v>4490.454162916118</v>
      </c>
      <c r="H550" s="356">
        <v>0</v>
      </c>
      <c r="I550" s="356">
        <f t="shared" si="66"/>
        <v>-627.5309320144218</v>
      </c>
      <c r="J550" s="356">
        <f t="shared" si="67"/>
        <v>626903.4010824073</v>
      </c>
      <c r="M550" s="358"/>
      <c r="N550" s="356"/>
    </row>
    <row r="551" spans="1:14" x14ac:dyDescent="0.25">
      <c r="A551" s="356">
        <f t="shared" si="68"/>
        <v>528</v>
      </c>
      <c r="B551" s="357">
        <f t="shared" si="70"/>
        <v>43</v>
      </c>
      <c r="C551" s="357">
        <f t="shared" si="71"/>
        <v>12</v>
      </c>
      <c r="D551" s="357">
        <f t="shared" si="72"/>
        <v>72</v>
      </c>
      <c r="E551" s="356">
        <f t="shared" si="69"/>
        <v>626903.4010824073</v>
      </c>
      <c r="G551" s="356">
        <f t="shared" si="65"/>
        <v>4518.295499586641</v>
      </c>
      <c r="H551" s="360">
        <f>-SUM(E551:G551)*$H$21</f>
        <v>-5682.795269237946</v>
      </c>
      <c r="I551" s="356">
        <f t="shared" si="66"/>
        <v>-631.421696581994</v>
      </c>
      <c r="J551" s="356">
        <f t="shared" si="67"/>
        <v>625107.479616174</v>
      </c>
      <c r="M551" s="358"/>
      <c r="N551" s="356"/>
    </row>
    <row r="552" spans="1:14" x14ac:dyDescent="0.25">
      <c r="A552" s="356">
        <f t="shared" si="68"/>
        <v>529</v>
      </c>
      <c r="B552" s="357">
        <f t="shared" si="70"/>
        <v>44</v>
      </c>
      <c r="C552" s="357">
        <f t="shared" si="71"/>
        <v>1</v>
      </c>
      <c r="D552" s="357">
        <f t="shared" si="72"/>
        <v>73</v>
      </c>
      <c r="E552" s="356">
        <f t="shared" si="69"/>
        <v>625107.479616174</v>
      </c>
      <c r="G552" s="356">
        <f t="shared" si="65"/>
        <v>4505.351712929108</v>
      </c>
      <c r="H552" s="356">
        <v>0</v>
      </c>
      <c r="I552" s="356">
        <f t="shared" si="66"/>
        <v>-629.6128313291031</v>
      </c>
      <c r="J552" s="356">
        <f t="shared" si="67"/>
        <v>628983.218497774</v>
      </c>
      <c r="M552" s="358"/>
      <c r="N552" s="356"/>
    </row>
    <row r="553" spans="1:14" x14ac:dyDescent="0.25">
      <c r="A553" s="356">
        <f t="shared" si="68"/>
        <v>530</v>
      </c>
      <c r="B553" s="357">
        <f t="shared" si="70"/>
        <v>44</v>
      </c>
      <c r="C553" s="357">
        <f t="shared" si="71"/>
        <v>2</v>
      </c>
      <c r="D553" s="357">
        <f t="shared" si="72"/>
        <v>73</v>
      </c>
      <c r="E553" s="356">
        <f t="shared" si="69"/>
        <v>628983.218497774</v>
      </c>
      <c r="G553" s="356">
        <f t="shared" si="65"/>
        <v>4533.285416137721</v>
      </c>
      <c r="H553" s="356">
        <v>0</v>
      </c>
      <c r="I553" s="356">
        <f t="shared" si="66"/>
        <v>-633.5165039139117</v>
      </c>
      <c r="J553" s="356">
        <f t="shared" si="67"/>
        <v>632882.9874099978</v>
      </c>
      <c r="M553" s="358"/>
      <c r="N553" s="356"/>
    </row>
    <row r="554" spans="1:14" x14ac:dyDescent="0.25">
      <c r="A554" s="356">
        <f t="shared" si="68"/>
        <v>531</v>
      </c>
      <c r="B554" s="357">
        <f t="shared" si="70"/>
        <v>44</v>
      </c>
      <c r="C554" s="357">
        <f t="shared" si="71"/>
        <v>3</v>
      </c>
      <c r="D554" s="357">
        <f t="shared" si="72"/>
        <v>73</v>
      </c>
      <c r="E554" s="356">
        <f t="shared" si="69"/>
        <v>632882.9874099978</v>
      </c>
      <c r="G554" s="356">
        <f t="shared" si="65"/>
        <v>4561.392311546337</v>
      </c>
      <c r="H554" s="360">
        <f>-SUM(E554:G554)*$H$21</f>
        <v>-5736.999417493898</v>
      </c>
      <c r="I554" s="356">
        <f t="shared" si="66"/>
        <v>-637.4443797215442</v>
      </c>
      <c r="J554" s="356">
        <f t="shared" si="67"/>
        <v>631069.9359243287</v>
      </c>
      <c r="M554" s="358"/>
      <c r="N554" s="356"/>
    </row>
    <row r="555" spans="1:14" x14ac:dyDescent="0.25">
      <c r="A555" s="356">
        <f t="shared" si="68"/>
        <v>532</v>
      </c>
      <c r="B555" s="357">
        <f t="shared" si="70"/>
        <v>44</v>
      </c>
      <c r="C555" s="357">
        <f t="shared" si="71"/>
        <v>4</v>
      </c>
      <c r="D555" s="357">
        <f t="shared" si="72"/>
        <v>73</v>
      </c>
      <c r="E555" s="356">
        <f t="shared" si="69"/>
        <v>631069.9359243287</v>
      </c>
      <c r="G555" s="356">
        <f t="shared" si="65"/>
        <v>4548.325063300318</v>
      </c>
      <c r="H555" s="356">
        <v>0</v>
      </c>
      <c r="I555" s="356">
        <f t="shared" si="66"/>
        <v>-635.6182609876291</v>
      </c>
      <c r="J555" s="356">
        <f t="shared" si="67"/>
        <v>634982.6427266414</v>
      </c>
      <c r="M555" s="358"/>
      <c r="N555" s="356"/>
    </row>
    <row r="556" spans="1:14" x14ac:dyDescent="0.25">
      <c r="A556" s="356">
        <f t="shared" si="68"/>
        <v>533</v>
      </c>
      <c r="B556" s="357">
        <f t="shared" si="70"/>
        <v>44</v>
      </c>
      <c r="C556" s="357">
        <f t="shared" si="71"/>
        <v>5</v>
      </c>
      <c r="D556" s="357">
        <f t="shared" si="72"/>
        <v>73</v>
      </c>
      <c r="E556" s="356">
        <f t="shared" si="69"/>
        <v>634982.6427266414</v>
      </c>
      <c r="G556" s="356">
        <f t="shared" si="65"/>
        <v>4576.525206265832</v>
      </c>
      <c r="H556" s="356">
        <v>0</v>
      </c>
      <c r="I556" s="356">
        <f t="shared" si="66"/>
        <v>-639.5591679329073</v>
      </c>
      <c r="J556" s="356">
        <f t="shared" si="67"/>
        <v>638919.6087649743</v>
      </c>
      <c r="M556" s="358"/>
      <c r="N556" s="356"/>
    </row>
    <row r="557" spans="1:14" x14ac:dyDescent="0.25">
      <c r="A557" s="356">
        <f t="shared" si="68"/>
        <v>534</v>
      </c>
      <c r="B557" s="357">
        <f t="shared" si="70"/>
        <v>44</v>
      </c>
      <c r="C557" s="357">
        <f t="shared" si="71"/>
        <v>6</v>
      </c>
      <c r="D557" s="357">
        <f t="shared" si="72"/>
        <v>73</v>
      </c>
      <c r="E557" s="356">
        <f t="shared" si="69"/>
        <v>638919.6087649743</v>
      </c>
      <c r="G557" s="356">
        <f t="shared" si="65"/>
        <v>4604.9001933887475</v>
      </c>
      <c r="H557" s="360">
        <f>-SUM(E557:G557)*$H$21</f>
        <v>-5791.720580625268</v>
      </c>
      <c r="I557" s="356">
        <f t="shared" si="66"/>
        <v>-643.524508958363</v>
      </c>
      <c r="J557" s="356">
        <f t="shared" si="67"/>
        <v>637089.2638687794</v>
      </c>
      <c r="M557" s="358"/>
      <c r="N557" s="356"/>
    </row>
    <row r="558" spans="1:14" x14ac:dyDescent="0.25">
      <c r="A558" s="356">
        <f t="shared" si="68"/>
        <v>535</v>
      </c>
      <c r="B558" s="357">
        <f t="shared" si="70"/>
        <v>44</v>
      </c>
      <c r="C558" s="357">
        <f t="shared" si="71"/>
        <v>7</v>
      </c>
      <c r="D558" s="357">
        <f t="shared" si="72"/>
        <v>73</v>
      </c>
      <c r="E558" s="356">
        <f t="shared" si="69"/>
        <v>637089.2638687794</v>
      </c>
      <c r="G558" s="356">
        <f t="shared" si="65"/>
        <v>4591.70830594183</v>
      </c>
      <c r="H558" s="356">
        <v>0</v>
      </c>
      <c r="I558" s="356">
        <f t="shared" si="66"/>
        <v>-641.6809721747212</v>
      </c>
      <c r="J558" s="356">
        <f t="shared" si="67"/>
        <v>641039.2912025464</v>
      </c>
      <c r="M558" s="358"/>
      <c r="N558" s="356"/>
    </row>
    <row r="559" spans="1:14" x14ac:dyDescent="0.25">
      <c r="A559" s="356">
        <f t="shared" si="68"/>
        <v>536</v>
      </c>
      <c r="B559" s="357">
        <f t="shared" si="70"/>
        <v>44</v>
      </c>
      <c r="C559" s="357">
        <f t="shared" si="71"/>
        <v>8</v>
      </c>
      <c r="D559" s="357">
        <f t="shared" si="72"/>
        <v>73</v>
      </c>
      <c r="E559" s="356">
        <f t="shared" si="69"/>
        <v>641039.2912025464</v>
      </c>
      <c r="G559" s="356">
        <f t="shared" si="65"/>
        <v>4620.1774300438665</v>
      </c>
      <c r="H559" s="356">
        <v>0</v>
      </c>
      <c r="I559" s="356">
        <f t="shared" si="66"/>
        <v>-645.6594686325902</v>
      </c>
      <c r="J559" s="356">
        <f t="shared" si="67"/>
        <v>645013.8091639577</v>
      </c>
      <c r="M559" s="358"/>
      <c r="N559" s="356"/>
    </row>
    <row r="560" spans="1:14" x14ac:dyDescent="0.25">
      <c r="A560" s="356">
        <f t="shared" si="68"/>
        <v>537</v>
      </c>
      <c r="B560" s="357">
        <f t="shared" si="70"/>
        <v>44</v>
      </c>
      <c r="C560" s="357">
        <f t="shared" si="71"/>
        <v>9</v>
      </c>
      <c r="D560" s="357">
        <f t="shared" si="72"/>
        <v>73</v>
      </c>
      <c r="E560" s="356">
        <f t="shared" si="69"/>
        <v>645013.8091639577</v>
      </c>
      <c r="G560" s="356">
        <f t="shared" si="65"/>
        <v>4648.82306601755</v>
      </c>
      <c r="H560" s="360">
        <f>-SUM(E560:G560)*$H$21</f>
        <v>-5846.963690069779</v>
      </c>
      <c r="I560" s="356">
        <f t="shared" si="66"/>
        <v>-649.6626322299753</v>
      </c>
      <c r="J560" s="356">
        <f t="shared" si="67"/>
        <v>643166.0059076756</v>
      </c>
      <c r="M560" s="358"/>
      <c r="N560" s="356"/>
    </row>
    <row r="561" spans="1:14" x14ac:dyDescent="0.25">
      <c r="A561" s="356">
        <f t="shared" si="68"/>
        <v>538</v>
      </c>
      <c r="B561" s="357">
        <f t="shared" si="70"/>
        <v>44</v>
      </c>
      <c r="C561" s="357">
        <f t="shared" si="71"/>
        <v>10</v>
      </c>
      <c r="D561" s="357">
        <f t="shared" si="72"/>
        <v>73</v>
      </c>
      <c r="E561" s="356">
        <f t="shared" si="69"/>
        <v>643166.0059076756</v>
      </c>
      <c r="G561" s="356">
        <f t="shared" si="65"/>
        <v>4635.505350524915</v>
      </c>
      <c r="H561" s="356">
        <v>0</v>
      </c>
      <c r="I561" s="356">
        <f t="shared" si="66"/>
        <v>-647.8015112582005</v>
      </c>
      <c r="J561" s="356">
        <f t="shared" si="67"/>
        <v>647153.7097469423</v>
      </c>
      <c r="M561" s="358"/>
      <c r="N561" s="356"/>
    </row>
    <row r="562" spans="1:14" x14ac:dyDescent="0.25">
      <c r="A562" s="356">
        <f t="shared" si="68"/>
        <v>539</v>
      </c>
      <c r="B562" s="357">
        <f t="shared" si="70"/>
        <v>44</v>
      </c>
      <c r="C562" s="357">
        <f t="shared" si="71"/>
        <v>11</v>
      </c>
      <c r="D562" s="357">
        <f t="shared" si="72"/>
        <v>73</v>
      </c>
      <c r="E562" s="356">
        <f t="shared" si="69"/>
        <v>647153.7097469423</v>
      </c>
      <c r="G562" s="356">
        <f t="shared" si="65"/>
        <v>4664.246021383509</v>
      </c>
      <c r="H562" s="356">
        <v>0</v>
      </c>
      <c r="I562" s="356">
        <f t="shared" si="66"/>
        <v>-651.8179557683259</v>
      </c>
      <c r="J562" s="356">
        <f t="shared" si="67"/>
        <v>651166.1378125575</v>
      </c>
      <c r="M562" s="358"/>
      <c r="N562" s="356"/>
    </row>
    <row r="563" spans="1:14" x14ac:dyDescent="0.25">
      <c r="A563" s="356">
        <f t="shared" si="68"/>
        <v>540</v>
      </c>
      <c r="B563" s="357">
        <f t="shared" si="70"/>
        <v>44</v>
      </c>
      <c r="C563" s="357">
        <f t="shared" si="71"/>
        <v>12</v>
      </c>
      <c r="D563" s="357">
        <f t="shared" si="72"/>
        <v>73</v>
      </c>
      <c r="E563" s="356">
        <f t="shared" si="69"/>
        <v>651166.1378125575</v>
      </c>
      <c r="G563" s="356">
        <f t="shared" si="65"/>
        <v>4693.16488773514</v>
      </c>
      <c r="H563" s="360">
        <f>-SUM(E563:G563)*$H$21</f>
        <v>-5902.733724302635</v>
      </c>
      <c r="I563" s="356">
        <f t="shared" si="66"/>
        <v>-655.8593027002927</v>
      </c>
      <c r="J563" s="356">
        <f t="shared" si="67"/>
        <v>649300.7096732898</v>
      </c>
      <c r="M563" s="358"/>
      <c r="N563" s="356"/>
    </row>
    <row r="564" spans="1:14" x14ac:dyDescent="0.25">
      <c r="A564" s="356">
        <f t="shared" si="68"/>
        <v>541</v>
      </c>
      <c r="B564" s="357">
        <f t="shared" si="70"/>
        <v>45</v>
      </c>
      <c r="C564" s="357">
        <f t="shared" si="71"/>
        <v>1</v>
      </c>
      <c r="D564" s="357">
        <f t="shared" si="72"/>
        <v>74</v>
      </c>
      <c r="E564" s="356">
        <f t="shared" si="69"/>
        <v>649300.7096732898</v>
      </c>
      <c r="G564" s="356">
        <f t="shared" si="65"/>
        <v>4679.720144012418</v>
      </c>
      <c r="H564" s="356">
        <v>0</v>
      </c>
      <c r="I564" s="356">
        <f t="shared" si="66"/>
        <v>-653.9804298173021</v>
      </c>
      <c r="J564" s="356">
        <f t="shared" si="67"/>
        <v>653326.4493874848</v>
      </c>
      <c r="M564" s="358"/>
      <c r="N564" s="356"/>
    </row>
    <row r="565" spans="1:14" x14ac:dyDescent="0.25">
      <c r="A565" s="356">
        <f t="shared" si="68"/>
        <v>542</v>
      </c>
      <c r="B565" s="357">
        <f t="shared" si="70"/>
        <v>45</v>
      </c>
      <c r="C565" s="357">
        <f t="shared" si="71"/>
        <v>2</v>
      </c>
      <c r="D565" s="357">
        <f t="shared" si="72"/>
        <v>74</v>
      </c>
      <c r="E565" s="356">
        <f t="shared" si="69"/>
        <v>653326.4493874848</v>
      </c>
      <c r="G565" s="356">
        <f t="shared" si="65"/>
        <v>4708.734951719233</v>
      </c>
      <c r="H565" s="356">
        <v>0</v>
      </c>
      <c r="I565" s="356">
        <f t="shared" si="66"/>
        <v>-658.035184339204</v>
      </c>
      <c r="J565" s="356">
        <f t="shared" si="67"/>
        <v>657377.1491548648</v>
      </c>
      <c r="M565" s="358"/>
      <c r="N565" s="356"/>
    </row>
    <row r="566" spans="1:14" x14ac:dyDescent="0.25">
      <c r="A566" s="356">
        <f t="shared" si="68"/>
        <v>543</v>
      </c>
      <c r="B566" s="357">
        <f t="shared" si="70"/>
        <v>45</v>
      </c>
      <c r="C566" s="357">
        <f t="shared" si="71"/>
        <v>3</v>
      </c>
      <c r="D566" s="357">
        <f t="shared" si="72"/>
        <v>74</v>
      </c>
      <c r="E566" s="356">
        <f t="shared" si="69"/>
        <v>657377.1491548648</v>
      </c>
      <c r="G566" s="356">
        <f t="shared" si="65"/>
        <v>4737.929654599341</v>
      </c>
      <c r="H566" s="360">
        <f>-SUM(E566:G566)*$H$21</f>
        <v>-5959.035709285178</v>
      </c>
      <c r="I566" s="356">
        <f t="shared" si="66"/>
        <v>-662.1150788094641</v>
      </c>
      <c r="J566" s="356">
        <f t="shared" si="67"/>
        <v>655493.9280213695</v>
      </c>
      <c r="M566" s="358"/>
      <c r="N566" s="356"/>
    </row>
    <row r="567" spans="1:14" x14ac:dyDescent="0.25">
      <c r="A567" s="356">
        <f t="shared" si="68"/>
        <v>544</v>
      </c>
      <c r="B567" s="357">
        <f t="shared" si="70"/>
        <v>45</v>
      </c>
      <c r="C567" s="357">
        <f t="shared" si="71"/>
        <v>4</v>
      </c>
      <c r="D567" s="357">
        <f t="shared" si="72"/>
        <v>74</v>
      </c>
      <c r="E567" s="356">
        <f t="shared" si="69"/>
        <v>655493.9280213695</v>
      </c>
      <c r="G567" s="356">
        <f t="shared" si="65"/>
        <v>4724.356671014459</v>
      </c>
      <c r="H567" s="356">
        <v>0</v>
      </c>
      <c r="I567" s="356">
        <f t="shared" si="66"/>
        <v>-660.2182846923839</v>
      </c>
      <c r="J567" s="356">
        <f t="shared" si="67"/>
        <v>659558.0664076916</v>
      </c>
      <c r="M567" s="358"/>
      <c r="N567" s="356"/>
    </row>
    <row r="568" spans="1:14" x14ac:dyDescent="0.25">
      <c r="A568" s="356">
        <f t="shared" si="68"/>
        <v>545</v>
      </c>
      <c r="B568" s="357">
        <f t="shared" si="70"/>
        <v>45</v>
      </c>
      <c r="C568" s="357">
        <f t="shared" si="71"/>
        <v>5</v>
      </c>
      <c r="D568" s="357">
        <f t="shared" si="72"/>
        <v>74</v>
      </c>
      <c r="E568" s="356">
        <f t="shared" si="69"/>
        <v>659558.0664076916</v>
      </c>
      <c r="G568" s="356">
        <f t="shared" si="65"/>
        <v>4753.648230366203</v>
      </c>
      <c r="H568" s="356">
        <v>0</v>
      </c>
      <c r="I568" s="356">
        <f t="shared" si="66"/>
        <v>-664.3117146380578</v>
      </c>
      <c r="J568" s="356">
        <f t="shared" si="67"/>
        <v>663647.4029234197</v>
      </c>
      <c r="M568" s="358"/>
      <c r="N568" s="356"/>
    </row>
    <row r="569" spans="1:14" x14ac:dyDescent="0.25">
      <c r="A569" s="356">
        <f t="shared" si="68"/>
        <v>546</v>
      </c>
      <c r="B569" s="357">
        <f t="shared" si="70"/>
        <v>45</v>
      </c>
      <c r="C569" s="357">
        <f t="shared" si="71"/>
        <v>6</v>
      </c>
      <c r="D569" s="357">
        <f t="shared" si="72"/>
        <v>74</v>
      </c>
      <c r="E569" s="356">
        <f t="shared" si="69"/>
        <v>663647.4029234197</v>
      </c>
      <c r="G569" s="356">
        <f t="shared" si="65"/>
        <v>4783.121400783541</v>
      </c>
      <c r="H569" s="360">
        <f>-SUM(E569:G569)*$H$21</f>
        <v>-6015.87471891783</v>
      </c>
      <c r="I569" s="356">
        <f t="shared" si="66"/>
        <v>-668.4305243242032</v>
      </c>
      <c r="J569" s="356">
        <f t="shared" si="67"/>
        <v>661746.2190809612</v>
      </c>
      <c r="M569" s="358"/>
      <c r="N569" s="356"/>
    </row>
    <row r="570" spans="1:14" x14ac:dyDescent="0.25">
      <c r="A570" s="356">
        <f t="shared" si="68"/>
        <v>547</v>
      </c>
      <c r="B570" s="357">
        <f t="shared" si="70"/>
        <v>45</v>
      </c>
      <c r="C570" s="357">
        <f t="shared" si="71"/>
        <v>7</v>
      </c>
      <c r="D570" s="357">
        <f t="shared" si="72"/>
        <v>74</v>
      </c>
      <c r="E570" s="356">
        <f t="shared" si="69"/>
        <v>661746.2190809612</v>
      </c>
      <c r="G570" s="356">
        <f t="shared" si="65"/>
        <v>4769.418954147527</v>
      </c>
      <c r="H570" s="356">
        <v>0</v>
      </c>
      <c r="I570" s="356">
        <f t="shared" si="66"/>
        <v>-666.5156380351087</v>
      </c>
      <c r="J570" s="356">
        <f t="shared" si="67"/>
        <v>665849.1223970735</v>
      </c>
      <c r="M570" s="358"/>
      <c r="N570" s="356"/>
    </row>
    <row r="571" spans="1:14" x14ac:dyDescent="0.25">
      <c r="A571" s="356">
        <f t="shared" si="68"/>
        <v>548</v>
      </c>
      <c r="B571" s="357">
        <f t="shared" si="70"/>
        <v>45</v>
      </c>
      <c r="C571" s="357">
        <f t="shared" si="71"/>
        <v>8</v>
      </c>
      <c r="D571" s="357">
        <f t="shared" si="72"/>
        <v>74</v>
      </c>
      <c r="E571" s="356">
        <f t="shared" si="69"/>
        <v>665849.1223970735</v>
      </c>
      <c r="G571" s="356">
        <f t="shared" si="65"/>
        <v>4798.989904881598</v>
      </c>
      <c r="H571" s="356">
        <v>0</v>
      </c>
      <c r="I571" s="356">
        <f t="shared" si="66"/>
        <v>-670.6481123019552</v>
      </c>
      <c r="J571" s="356">
        <f t="shared" si="67"/>
        <v>669977.4641896532</v>
      </c>
      <c r="M571" s="358"/>
      <c r="N571" s="356"/>
    </row>
    <row r="572" spans="1:14" x14ac:dyDescent="0.25">
      <c r="A572" s="356">
        <f t="shared" si="68"/>
        <v>549</v>
      </c>
      <c r="B572" s="357">
        <f t="shared" si="70"/>
        <v>45</v>
      </c>
      <c r="C572" s="357">
        <f t="shared" si="71"/>
        <v>9</v>
      </c>
      <c r="D572" s="357">
        <f t="shared" si="72"/>
        <v>74</v>
      </c>
      <c r="E572" s="356">
        <f t="shared" si="69"/>
        <v>669977.4641896532</v>
      </c>
      <c r="G572" s="356">
        <f t="shared" si="65"/>
        <v>4828.744198940239</v>
      </c>
      <c r="H572" s="360">
        <f>-SUM(E572:G572)*$H$21</f>
        <v>-6073.255875497342</v>
      </c>
      <c r="I572" s="356">
        <f t="shared" si="66"/>
        <v>-674.8062083885934</v>
      </c>
      <c r="J572" s="356">
        <f t="shared" si="67"/>
        <v>668058.1463047074</v>
      </c>
      <c r="M572" s="358"/>
      <c r="N572" s="356"/>
    </row>
    <row r="573" spans="1:14" x14ac:dyDescent="0.25">
      <c r="A573" s="356">
        <f t="shared" si="68"/>
        <v>550</v>
      </c>
      <c r="B573" s="357">
        <f t="shared" si="70"/>
        <v>45</v>
      </c>
      <c r="C573" s="357">
        <f t="shared" si="71"/>
        <v>10</v>
      </c>
      <c r="D573" s="357">
        <f t="shared" si="72"/>
        <v>74</v>
      </c>
      <c r="E573" s="356">
        <f t="shared" si="69"/>
        <v>668058.1463047074</v>
      </c>
      <c r="G573" s="356">
        <f t="shared" si="65"/>
        <v>4814.911054396991</v>
      </c>
      <c r="H573" s="356">
        <v>0</v>
      </c>
      <c r="I573" s="356">
        <f t="shared" si="66"/>
        <v>-672.8730573591045</v>
      </c>
      <c r="J573" s="356">
        <f t="shared" si="67"/>
        <v>672200.1843017453</v>
      </c>
      <c r="M573" s="358"/>
      <c r="N573" s="356"/>
    </row>
    <row r="574" spans="1:14" x14ac:dyDescent="0.25">
      <c r="A574" s="356">
        <f t="shared" si="68"/>
        <v>551</v>
      </c>
      <c r="B574" s="357">
        <f t="shared" si="70"/>
        <v>45</v>
      </c>
      <c r="C574" s="357">
        <f t="shared" si="71"/>
        <v>11</v>
      </c>
      <c r="D574" s="357">
        <f t="shared" si="72"/>
        <v>74</v>
      </c>
      <c r="E574" s="356">
        <f t="shared" si="69"/>
        <v>672200.1843017453</v>
      </c>
      <c r="G574" s="356">
        <f t="shared" si="65"/>
        <v>4844.764061429366</v>
      </c>
      <c r="H574" s="356">
        <v>0</v>
      </c>
      <c r="I574" s="356">
        <f t="shared" si="66"/>
        <v>-677.0449483631747</v>
      </c>
      <c r="J574" s="356">
        <f t="shared" si="67"/>
        <v>676367.9034148115</v>
      </c>
      <c r="M574" s="358"/>
      <c r="N574" s="356"/>
    </row>
    <row r="575" spans="1:14" x14ac:dyDescent="0.25">
      <c r="A575" s="356">
        <f t="shared" si="68"/>
        <v>552</v>
      </c>
      <c r="B575" s="357">
        <f t="shared" si="70"/>
        <v>45</v>
      </c>
      <c r="C575" s="357">
        <f t="shared" si="71"/>
        <v>12</v>
      </c>
      <c r="D575" s="357">
        <f t="shared" si="72"/>
        <v>74</v>
      </c>
      <c r="E575" s="356">
        <f t="shared" si="69"/>
        <v>676367.9034148115</v>
      </c>
      <c r="G575" s="356">
        <f t="shared" si="65"/>
        <v>4874.802160568077</v>
      </c>
      <c r="H575" s="360">
        <f>-SUM(E575:G575)*$H$21</f>
        <v>-6131.184350178417</v>
      </c>
      <c r="I575" s="356">
        <f t="shared" si="66"/>
        <v>-681.2427055753795</v>
      </c>
      <c r="J575" s="356">
        <f t="shared" si="67"/>
        <v>674430.2785196257</v>
      </c>
      <c r="M575" s="358"/>
      <c r="N575" s="356"/>
    </row>
    <row r="576" spans="1:14" x14ac:dyDescent="0.25">
      <c r="A576" s="356">
        <f t="shared" si="68"/>
        <v>553</v>
      </c>
      <c r="B576" s="357">
        <f t="shared" si="70"/>
        <v>46</v>
      </c>
      <c r="C576" s="357">
        <f t="shared" si="71"/>
        <v>1</v>
      </c>
      <c r="D576" s="357">
        <f t="shared" si="72"/>
        <v>75</v>
      </c>
      <c r="E576" s="356">
        <f t="shared" si="69"/>
        <v>674430.2785196257</v>
      </c>
      <c r="G576" s="356">
        <f t="shared" si="65"/>
        <v>4860.837071483077</v>
      </c>
      <c r="H576" s="356">
        <v>0</v>
      </c>
      <c r="I576" s="356">
        <f t="shared" si="66"/>
        <v>-679.2911155911087</v>
      </c>
      <c r="J576" s="356">
        <f t="shared" si="67"/>
        <v>678611.8244755176</v>
      </c>
      <c r="M576" s="358"/>
      <c r="N576" s="356"/>
    </row>
    <row r="577" spans="1:14" x14ac:dyDescent="0.25">
      <c r="A577" s="356">
        <f t="shared" si="68"/>
        <v>554</v>
      </c>
      <c r="B577" s="357">
        <f t="shared" si="70"/>
        <v>46</v>
      </c>
      <c r="C577" s="357">
        <f t="shared" si="71"/>
        <v>2</v>
      </c>
      <c r="D577" s="357">
        <f t="shared" si="72"/>
        <v>75</v>
      </c>
      <c r="E577" s="356">
        <f t="shared" si="69"/>
        <v>678611.8244755176</v>
      </c>
      <c r="G577" s="356">
        <f t="shared" si="65"/>
        <v>4890.974825148474</v>
      </c>
      <c r="H577" s="356">
        <v>0</v>
      </c>
      <c r="I577" s="356">
        <f t="shared" si="66"/>
        <v>-683.5027993006661</v>
      </c>
      <c r="J577" s="356">
        <f t="shared" si="67"/>
        <v>682819.2965013654</v>
      </c>
      <c r="M577" s="358"/>
      <c r="N577" s="356"/>
    </row>
    <row r="578" spans="1:14" x14ac:dyDescent="0.25">
      <c r="A578" s="356">
        <f t="shared" si="68"/>
        <v>555</v>
      </c>
      <c r="B578" s="357">
        <f t="shared" si="70"/>
        <v>46</v>
      </c>
      <c r="C578" s="357">
        <f t="shared" si="71"/>
        <v>3</v>
      </c>
      <c r="D578" s="357">
        <f t="shared" si="72"/>
        <v>75</v>
      </c>
      <c r="E578" s="356">
        <f t="shared" si="69"/>
        <v>682819.2965013654</v>
      </c>
      <c r="G578" s="356">
        <f t="shared" si="65"/>
        <v>4921.29943638236</v>
      </c>
      <c r="H578" s="360">
        <f>-SUM(E578:G578)*$H$21</f>
        <v>-6189.665363439731</v>
      </c>
      <c r="I578" s="356">
        <f t="shared" si="66"/>
        <v>-687.7405959377478</v>
      </c>
      <c r="J578" s="356">
        <f t="shared" si="67"/>
        <v>680863.1899783703</v>
      </c>
      <c r="M578" s="358"/>
      <c r="N578" s="356"/>
    </row>
    <row r="579" spans="1:14" x14ac:dyDescent="0.25">
      <c r="A579" s="356">
        <f t="shared" si="68"/>
        <v>556</v>
      </c>
      <c r="B579" s="357">
        <f t="shared" si="70"/>
        <v>46</v>
      </c>
      <c r="C579" s="357">
        <f t="shared" si="71"/>
        <v>4</v>
      </c>
      <c r="D579" s="357">
        <f t="shared" si="72"/>
        <v>75</v>
      </c>
      <c r="E579" s="356">
        <f t="shared" si="69"/>
        <v>680863.1899783703</v>
      </c>
      <c r="G579" s="356">
        <f t="shared" si="65"/>
        <v>4907.201144230331</v>
      </c>
      <c r="H579" s="356">
        <v>0</v>
      </c>
      <c r="I579" s="356">
        <f t="shared" si="66"/>
        <v>-685.7703911226007</v>
      </c>
      <c r="J579" s="356">
        <f t="shared" si="67"/>
        <v>685084.6207314781</v>
      </c>
      <c r="M579" s="358"/>
      <c r="N579" s="356"/>
    </row>
    <row r="580" spans="1:14" x14ac:dyDescent="0.25">
      <c r="A580" s="356">
        <f t="shared" si="68"/>
        <v>557</v>
      </c>
      <c r="B580" s="357">
        <f t="shared" si="70"/>
        <v>46</v>
      </c>
      <c r="C580" s="357">
        <f t="shared" si="71"/>
        <v>5</v>
      </c>
      <c r="D580" s="357">
        <f t="shared" si="72"/>
        <v>75</v>
      </c>
      <c r="E580" s="356">
        <f t="shared" si="69"/>
        <v>685084.6207314781</v>
      </c>
      <c r="G580" s="356">
        <f t="shared" si="65"/>
        <v>4937.62636052466</v>
      </c>
      <c r="H580" s="356">
        <v>0</v>
      </c>
      <c r="I580" s="356">
        <f t="shared" si="66"/>
        <v>-690.0222470920028</v>
      </c>
      <c r="J580" s="356">
        <f t="shared" si="67"/>
        <v>689332.2248449108</v>
      </c>
      <c r="M580" s="358"/>
      <c r="N580" s="356"/>
    </row>
    <row r="581" spans="1:14" x14ac:dyDescent="0.25">
      <c r="A581" s="356">
        <f t="shared" si="68"/>
        <v>558</v>
      </c>
      <c r="B581" s="357">
        <f t="shared" si="70"/>
        <v>46</v>
      </c>
      <c r="C581" s="357">
        <f t="shared" si="71"/>
        <v>6</v>
      </c>
      <c r="D581" s="357">
        <f t="shared" si="72"/>
        <v>75</v>
      </c>
      <c r="E581" s="356">
        <f t="shared" si="69"/>
        <v>689332.2248449108</v>
      </c>
      <c r="G581" s="356">
        <f t="shared" si="65"/>
        <v>4968.2402166891225</v>
      </c>
      <c r="H581" s="360">
        <f>-SUM(E581:G581)*$H$21</f>
        <v>-6248.704185554399</v>
      </c>
      <c r="I581" s="356">
        <f t="shared" si="66"/>
        <v>-694.3004650615999</v>
      </c>
      <c r="J581" s="356">
        <f t="shared" si="67"/>
        <v>687357.4604109839</v>
      </c>
      <c r="M581" s="358"/>
      <c r="N581" s="356"/>
    </row>
    <row r="582" spans="1:14" x14ac:dyDescent="0.25">
      <c r="A582" s="356">
        <f t="shared" si="68"/>
        <v>559</v>
      </c>
      <c r="B582" s="357">
        <f t="shared" si="70"/>
        <v>46</v>
      </c>
      <c r="C582" s="357">
        <f t="shared" si="71"/>
        <v>7</v>
      </c>
      <c r="D582" s="357">
        <f t="shared" si="72"/>
        <v>75</v>
      </c>
      <c r="E582" s="356">
        <f t="shared" si="69"/>
        <v>687357.4604109839</v>
      </c>
      <c r="G582" s="356">
        <f t="shared" si="65"/>
        <v>4954.007450940604</v>
      </c>
      <c r="H582" s="356">
        <v>0</v>
      </c>
      <c r="I582" s="356">
        <f t="shared" si="66"/>
        <v>-692.3114678619245</v>
      </c>
      <c r="J582" s="356">
        <f t="shared" si="67"/>
        <v>691619.1563940626</v>
      </c>
      <c r="M582" s="358"/>
      <c r="N582" s="356"/>
    </row>
    <row r="583" spans="1:14" x14ac:dyDescent="0.25">
      <c r="A583" s="356">
        <f t="shared" si="68"/>
        <v>560</v>
      </c>
      <c r="B583" s="357">
        <f t="shared" si="70"/>
        <v>46</v>
      </c>
      <c r="C583" s="357">
        <f t="shared" si="71"/>
        <v>8</v>
      </c>
      <c r="D583" s="357">
        <f t="shared" si="72"/>
        <v>75</v>
      </c>
      <c r="E583" s="356">
        <f t="shared" si="69"/>
        <v>691619.1563940626</v>
      </c>
      <c r="G583" s="356">
        <f t="shared" si="65"/>
        <v>4984.722871765733</v>
      </c>
      <c r="H583" s="356">
        <v>0</v>
      </c>
      <c r="I583" s="356">
        <f t="shared" si="66"/>
        <v>-696.6038792658283</v>
      </c>
      <c r="J583" s="356">
        <f t="shared" si="67"/>
        <v>695907.2753865625</v>
      </c>
      <c r="M583" s="358"/>
      <c r="N583" s="356"/>
    </row>
    <row r="584" spans="1:14" x14ac:dyDescent="0.25">
      <c r="A584" s="356">
        <f t="shared" si="68"/>
        <v>561</v>
      </c>
      <c r="B584" s="357">
        <f t="shared" si="70"/>
        <v>46</v>
      </c>
      <c r="C584" s="357">
        <f t="shared" si="71"/>
        <v>9</v>
      </c>
      <c r="D584" s="357">
        <f t="shared" si="72"/>
        <v>75</v>
      </c>
      <c r="E584" s="356">
        <f t="shared" si="69"/>
        <v>695907.2753865625</v>
      </c>
      <c r="G584" s="356">
        <f t="shared" si="65"/>
        <v>5015.628731762746</v>
      </c>
      <c r="H584" s="360">
        <f>-SUM(E584:G584)*$H$21</f>
        <v>-6308.3061370649275</v>
      </c>
      <c r="I584" s="356">
        <f t="shared" si="66"/>
        <v>-700.9229041183253</v>
      </c>
      <c r="J584" s="356">
        <f t="shared" si="67"/>
        <v>693913.675077142</v>
      </c>
      <c r="M584" s="358"/>
      <c r="N584" s="356"/>
    </row>
    <row r="585" spans="1:14" x14ac:dyDescent="0.25">
      <c r="A585" s="356">
        <f t="shared" si="68"/>
        <v>562</v>
      </c>
      <c r="B585" s="357">
        <f t="shared" si="70"/>
        <v>46</v>
      </c>
      <c r="C585" s="357">
        <f t="shared" si="71"/>
        <v>10</v>
      </c>
      <c r="D585" s="357">
        <f t="shared" si="72"/>
        <v>75</v>
      </c>
      <c r="E585" s="356">
        <f t="shared" si="69"/>
        <v>693913.675077142</v>
      </c>
      <c r="G585" s="356">
        <f t="shared" si="65"/>
        <v>5001.260209769603</v>
      </c>
      <c r="H585" s="356">
        <v>0</v>
      </c>
      <c r="I585" s="356">
        <f t="shared" si="66"/>
        <v>-698.9149352869116</v>
      </c>
      <c r="J585" s="356">
        <f t="shared" si="67"/>
        <v>698216.0203516247</v>
      </c>
      <c r="M585" s="358"/>
      <c r="N585" s="356"/>
    </row>
    <row r="586" spans="1:14" x14ac:dyDescent="0.25">
      <c r="A586" s="356">
        <f t="shared" si="68"/>
        <v>563</v>
      </c>
      <c r="B586" s="357">
        <f t="shared" si="70"/>
        <v>46</v>
      </c>
      <c r="C586" s="357">
        <f t="shared" si="71"/>
        <v>11</v>
      </c>
      <c r="D586" s="357">
        <f t="shared" si="72"/>
        <v>75</v>
      </c>
      <c r="E586" s="356">
        <f t="shared" si="69"/>
        <v>698216.0203516247</v>
      </c>
      <c r="G586" s="356">
        <f t="shared" si="65"/>
        <v>5032.268603180452</v>
      </c>
      <c r="H586" s="356">
        <v>0</v>
      </c>
      <c r="I586" s="356">
        <f t="shared" si="66"/>
        <v>-703.2482889548052</v>
      </c>
      <c r="J586" s="356">
        <f t="shared" si="67"/>
        <v>702545.0406658503</v>
      </c>
      <c r="M586" s="358"/>
      <c r="N586" s="356"/>
    </row>
    <row r="587" spans="1:14" x14ac:dyDescent="0.25">
      <c r="A587" s="356">
        <f t="shared" si="68"/>
        <v>564</v>
      </c>
      <c r="B587" s="357">
        <f t="shared" si="70"/>
        <v>46</v>
      </c>
      <c r="C587" s="357">
        <f t="shared" si="71"/>
        <v>12</v>
      </c>
      <c r="D587" s="357">
        <f t="shared" si="72"/>
        <v>75</v>
      </c>
      <c r="E587" s="356">
        <f t="shared" si="69"/>
        <v>702545.0406658503</v>
      </c>
      <c r="G587" s="356">
        <f t="shared" si="65"/>
        <v>5063.4692522272</v>
      </c>
      <c r="H587" s="360">
        <f>-SUM(E587:G587)*$H$21</f>
        <v>-6368.476589262698</v>
      </c>
      <c r="I587" s="356">
        <f t="shared" si="66"/>
        <v>-707.6085099180775</v>
      </c>
      <c r="J587" s="356">
        <f t="shared" si="67"/>
        <v>700532.4248188967</v>
      </c>
      <c r="M587" s="358"/>
      <c r="N587" s="356"/>
    </row>
    <row r="588" spans="1:14" x14ac:dyDescent="0.25">
      <c r="A588" s="356">
        <f t="shared" si="68"/>
        <v>565</v>
      </c>
      <c r="B588" s="357">
        <f t="shared" si="70"/>
        <v>47</v>
      </c>
      <c r="C588" s="357">
        <f t="shared" si="71"/>
        <v>1</v>
      </c>
      <c r="D588" s="357">
        <f t="shared" si="72"/>
        <v>76</v>
      </c>
      <c r="E588" s="356">
        <f t="shared" si="69"/>
        <v>700532.4248188967</v>
      </c>
      <c r="G588" s="356">
        <f t="shared" si="65"/>
        <v>5048.963679107025</v>
      </c>
      <c r="H588" s="356">
        <v>0</v>
      </c>
      <c r="I588" s="356">
        <f t="shared" si="66"/>
        <v>-705.5813884980038</v>
      </c>
      <c r="J588" s="356">
        <f t="shared" si="67"/>
        <v>704875.8071095058</v>
      </c>
      <c r="M588" s="358"/>
      <c r="N588" s="356"/>
    </row>
    <row r="589" spans="1:14" x14ac:dyDescent="0.25">
      <c r="A589" s="356">
        <f t="shared" si="68"/>
        <v>566</v>
      </c>
      <c r="B589" s="357">
        <f t="shared" si="70"/>
        <v>47</v>
      </c>
      <c r="C589" s="357">
        <f t="shared" si="71"/>
        <v>2</v>
      </c>
      <c r="D589" s="357">
        <f t="shared" si="72"/>
        <v>76</v>
      </c>
      <c r="E589" s="356">
        <f t="shared" si="69"/>
        <v>704875.8071095058</v>
      </c>
      <c r="G589" s="356">
        <f t="shared" si="65"/>
        <v>5080.267839561027</v>
      </c>
      <c r="H589" s="356">
        <v>0</v>
      </c>
      <c r="I589" s="356">
        <f t="shared" si="66"/>
        <v>-709.9560749490668</v>
      </c>
      <c r="J589" s="356">
        <f t="shared" si="67"/>
        <v>709246.1188741176</v>
      </c>
      <c r="M589" s="358"/>
      <c r="N589" s="356"/>
    </row>
    <row r="590" spans="1:14" x14ac:dyDescent="0.25">
      <c r="A590" s="356">
        <f t="shared" si="68"/>
        <v>567</v>
      </c>
      <c r="B590" s="357">
        <f t="shared" si="70"/>
        <v>47</v>
      </c>
      <c r="C590" s="357">
        <f t="shared" si="71"/>
        <v>3</v>
      </c>
      <c r="D590" s="357">
        <f t="shared" si="72"/>
        <v>76</v>
      </c>
      <c r="E590" s="356">
        <f t="shared" si="69"/>
        <v>709246.1188741176</v>
      </c>
      <c r="G590" s="356">
        <f t="shared" si="65"/>
        <v>5111.766089440901</v>
      </c>
      <c r="H590" s="360">
        <f>-SUM(E590:G590)*$H$21</f>
        <v>-6429.220964672028</v>
      </c>
      <c r="I590" s="356">
        <f t="shared" si="66"/>
        <v>-714.3578849635585</v>
      </c>
      <c r="J590" s="356">
        <f t="shared" si="67"/>
        <v>707214.306113923</v>
      </c>
      <c r="M590" s="358"/>
      <c r="N590" s="356"/>
    </row>
    <row r="591" spans="1:14" x14ac:dyDescent="0.25">
      <c r="A591" s="356">
        <f t="shared" si="68"/>
        <v>568</v>
      </c>
      <c r="B591" s="357">
        <f t="shared" si="70"/>
        <v>47</v>
      </c>
      <c r="C591" s="357">
        <f t="shared" si="71"/>
        <v>4</v>
      </c>
      <c r="D591" s="357">
        <f t="shared" si="72"/>
        <v>76</v>
      </c>
      <c r="E591" s="356">
        <f t="shared" si="69"/>
        <v>707214.306113923</v>
      </c>
      <c r="G591" s="356">
        <f t="shared" si="65"/>
        <v>5097.122157960325</v>
      </c>
      <c r="H591" s="356">
        <v>0</v>
      </c>
      <c r="I591" s="356">
        <f t="shared" si="66"/>
        <v>-712.3114282718833</v>
      </c>
      <c r="J591" s="356">
        <f t="shared" si="67"/>
        <v>711599.1168436114</v>
      </c>
      <c r="M591" s="358"/>
      <c r="N591" s="356"/>
    </row>
    <row r="592" spans="1:14" x14ac:dyDescent="0.25">
      <c r="A592" s="356">
        <f t="shared" si="68"/>
        <v>569</v>
      </c>
      <c r="B592" s="357">
        <f t="shared" si="70"/>
        <v>47</v>
      </c>
      <c r="C592" s="357">
        <f t="shared" si="71"/>
        <v>5</v>
      </c>
      <c r="D592" s="357">
        <f t="shared" si="72"/>
        <v>76</v>
      </c>
      <c r="E592" s="356">
        <f t="shared" si="69"/>
        <v>711599.1168436114</v>
      </c>
      <c r="G592" s="356">
        <f t="shared" si="65"/>
        <v>5128.724906569255</v>
      </c>
      <c r="H592" s="356">
        <v>0</v>
      </c>
      <c r="I592" s="356">
        <f t="shared" si="66"/>
        <v>-716.7278417501806</v>
      </c>
      <c r="J592" s="356">
        <f t="shared" si="67"/>
        <v>716011.1139084304</v>
      </c>
      <c r="M592" s="358"/>
      <c r="N592" s="356"/>
    </row>
    <row r="593" spans="1:14" x14ac:dyDescent="0.25">
      <c r="A593" s="356">
        <f t="shared" si="68"/>
        <v>570</v>
      </c>
      <c r="B593" s="357">
        <f t="shared" si="70"/>
        <v>47</v>
      </c>
      <c r="C593" s="357">
        <f t="shared" si="71"/>
        <v>6</v>
      </c>
      <c r="D593" s="357">
        <f t="shared" si="72"/>
        <v>76</v>
      </c>
      <c r="E593" s="356">
        <f t="shared" si="69"/>
        <v>716011.1139084304</v>
      </c>
      <c r="G593" s="356">
        <f t="shared" si="65"/>
        <v>5160.523595885253</v>
      </c>
      <c r="H593" s="360">
        <f>-SUM(E593:G593)*$H$21</f>
        <v>-6490.544737538842</v>
      </c>
      <c r="I593" s="356">
        <f t="shared" si="66"/>
        <v>-721.1716375043158</v>
      </c>
      <c r="J593" s="356">
        <f t="shared" si="67"/>
        <v>713959.9211292726</v>
      </c>
      <c r="M593" s="358"/>
      <c r="N593" s="356"/>
    </row>
    <row r="594" spans="1:14" x14ac:dyDescent="0.25">
      <c r="A594" s="356">
        <f t="shared" si="68"/>
        <v>571</v>
      </c>
      <c r="B594" s="357">
        <f t="shared" si="70"/>
        <v>47</v>
      </c>
      <c r="C594" s="357">
        <f t="shared" si="71"/>
        <v>7</v>
      </c>
      <c r="D594" s="357">
        <f t="shared" si="72"/>
        <v>76</v>
      </c>
      <c r="E594" s="356">
        <f t="shared" si="69"/>
        <v>713959.9211292726</v>
      </c>
      <c r="G594" s="356">
        <f t="shared" si="65"/>
        <v>5145.739986342137</v>
      </c>
      <c r="H594" s="356">
        <v>0</v>
      </c>
      <c r="I594" s="356">
        <f t="shared" si="66"/>
        <v>-719.1056611156147</v>
      </c>
      <c r="J594" s="356">
        <f t="shared" si="67"/>
        <v>718386.5554544991</v>
      </c>
      <c r="M594" s="358"/>
      <c r="N594" s="356"/>
    </row>
    <row r="595" spans="1:14" x14ac:dyDescent="0.25">
      <c r="A595" s="356">
        <f t="shared" si="68"/>
        <v>572</v>
      </c>
      <c r="B595" s="357">
        <f t="shared" si="70"/>
        <v>47</v>
      </c>
      <c r="C595" s="357">
        <f t="shared" si="71"/>
        <v>8</v>
      </c>
      <c r="D595" s="357">
        <f t="shared" si="72"/>
        <v>76</v>
      </c>
      <c r="E595" s="356">
        <f t="shared" si="69"/>
        <v>718386.5554544991</v>
      </c>
      <c r="G595" s="356">
        <f t="shared" si="65"/>
        <v>5177.644171126353</v>
      </c>
      <c r="H595" s="356">
        <v>0</v>
      </c>
      <c r="I595" s="356">
        <f t="shared" si="66"/>
        <v>-723.5641996256254</v>
      </c>
      <c r="J595" s="356">
        <f t="shared" si="67"/>
        <v>722840.6354259998</v>
      </c>
      <c r="M595" s="358"/>
      <c r="N595" s="356"/>
    </row>
    <row r="596" spans="1:14" x14ac:dyDescent="0.25">
      <c r="A596" s="356">
        <f t="shared" si="68"/>
        <v>573</v>
      </c>
      <c r="B596" s="357">
        <f t="shared" si="70"/>
        <v>47</v>
      </c>
      <c r="C596" s="357">
        <f t="shared" si="71"/>
        <v>9</v>
      </c>
      <c r="D596" s="357">
        <f t="shared" si="72"/>
        <v>76</v>
      </c>
      <c r="E596" s="356">
        <f t="shared" si="69"/>
        <v>722840.6354259998</v>
      </c>
      <c r="G596" s="356">
        <f t="shared" si="65"/>
        <v>5209.746165556888</v>
      </c>
      <c r="H596" s="360">
        <f>-SUM(E596:G596)*$H$21</f>
        <v>-6552.45343432401</v>
      </c>
      <c r="I596" s="356">
        <f t="shared" si="66"/>
        <v>-728.0503815915566</v>
      </c>
      <c r="J596" s="356">
        <f t="shared" si="67"/>
        <v>720769.877775641</v>
      </c>
      <c r="M596" s="358"/>
      <c r="N596" s="356"/>
    </row>
    <row r="597" spans="1:14" x14ac:dyDescent="0.25">
      <c r="A597" s="356">
        <f t="shared" si="68"/>
        <v>574</v>
      </c>
      <c r="B597" s="357">
        <f t="shared" si="70"/>
        <v>47</v>
      </c>
      <c r="C597" s="357">
        <f t="shared" si="71"/>
        <v>10</v>
      </c>
      <c r="D597" s="357">
        <f t="shared" si="72"/>
        <v>76</v>
      </c>
      <c r="E597" s="356">
        <f t="shared" si="69"/>
        <v>720769.877775641</v>
      </c>
      <c r="G597" s="356">
        <f t="shared" si="65"/>
        <v>5194.821545661388</v>
      </c>
      <c r="H597" s="356">
        <v>0</v>
      </c>
      <c r="I597" s="356">
        <f t="shared" si="66"/>
        <v>-725.9646993213025</v>
      </c>
      <c r="J597" s="356">
        <f t="shared" si="67"/>
        <v>725238.7346219812</v>
      </c>
      <c r="M597" s="358"/>
      <c r="N597" s="356"/>
    </row>
    <row r="598" spans="1:14" x14ac:dyDescent="0.25">
      <c r="A598" s="356">
        <f t="shared" si="68"/>
        <v>575</v>
      </c>
      <c r="B598" s="357">
        <f t="shared" si="70"/>
        <v>47</v>
      </c>
      <c r="C598" s="357">
        <f t="shared" si="71"/>
        <v>11</v>
      </c>
      <c r="D598" s="357">
        <f t="shared" si="72"/>
        <v>76</v>
      </c>
      <c r="E598" s="356">
        <f t="shared" si="69"/>
        <v>725238.7346219812</v>
      </c>
      <c r="G598" s="356">
        <f t="shared" si="65"/>
        <v>5227.030041806493</v>
      </c>
      <c r="H598" s="356">
        <v>0</v>
      </c>
      <c r="I598" s="356">
        <f t="shared" si="66"/>
        <v>-730.4657646637877</v>
      </c>
      <c r="J598" s="356">
        <f t="shared" si="67"/>
        <v>729735.2988991239</v>
      </c>
      <c r="M598" s="358"/>
      <c r="N598" s="356"/>
    </row>
    <row r="599" spans="1:14" x14ac:dyDescent="0.25">
      <c r="A599" s="356">
        <f t="shared" si="68"/>
        <v>576</v>
      </c>
      <c r="B599" s="357">
        <f t="shared" si="70"/>
        <v>47</v>
      </c>
      <c r="C599" s="357">
        <f t="shared" si="71"/>
        <v>12</v>
      </c>
      <c r="D599" s="357">
        <f t="shared" si="72"/>
        <v>76</v>
      </c>
      <c r="E599" s="356">
        <f t="shared" si="69"/>
        <v>729735.2988991239</v>
      </c>
      <c r="G599" s="356">
        <f t="shared" si="65"/>
        <v>5259.438234363651</v>
      </c>
      <c r="H599" s="360">
        <f>-SUM(E599:G599)*$H$21</f>
        <v>-6614.952634201389</v>
      </c>
      <c r="I599" s="356">
        <f t="shared" si="66"/>
        <v>-734.9947371334877</v>
      </c>
      <c r="J599" s="356">
        <f t="shared" si="67"/>
        <v>727644.7897621527</v>
      </c>
      <c r="M599" s="358"/>
      <c r="N599" s="356"/>
    </row>
    <row r="600" spans="1:14" x14ac:dyDescent="0.25">
      <c r="A600" s="356">
        <f t="shared" si="68"/>
        <v>577</v>
      </c>
      <c r="B600" s="357">
        <f t="shared" si="70"/>
        <v>48</v>
      </c>
      <c r="C600" s="357">
        <f t="shared" si="71"/>
        <v>1</v>
      </c>
      <c r="D600" s="357">
        <f t="shared" si="72"/>
        <v>77</v>
      </c>
      <c r="E600" s="356">
        <f t="shared" si="69"/>
        <v>727644.7897621527</v>
      </c>
      <c r="G600" s="356">
        <f t="shared" ref="G600:G663" si="73">SUM(E600:F600)*$F$8</f>
        <v>5244.371259118162</v>
      </c>
      <c r="H600" s="356">
        <v>0</v>
      </c>
      <c r="I600" s="356">
        <f t="shared" ref="I600:I663" si="74">-SUM(E600:G600)*0.1%</f>
        <v>-732.8891610212709</v>
      </c>
      <c r="J600" s="356">
        <f t="shared" ref="J600:J663" si="75">SUM(E600:I600)</f>
        <v>732156.2718602497</v>
      </c>
      <c r="M600" s="358"/>
      <c r="N600" s="356"/>
    </row>
    <row r="601" spans="1:14" x14ac:dyDescent="0.25">
      <c r="A601" s="356">
        <f t="shared" ref="A601:A664" si="76">+A600+1</f>
        <v>578</v>
      </c>
      <c r="B601" s="357">
        <f t="shared" si="70"/>
        <v>48</v>
      </c>
      <c r="C601" s="357">
        <f t="shared" si="71"/>
        <v>2</v>
      </c>
      <c r="D601" s="357">
        <f t="shared" si="72"/>
        <v>77</v>
      </c>
      <c r="E601" s="356">
        <f t="shared" ref="E601:E664" si="77">J600</f>
        <v>732156.2718602497</v>
      </c>
      <c r="G601" s="356">
        <f t="shared" si="73"/>
        <v>5276.8869692341095</v>
      </c>
      <c r="H601" s="356">
        <v>0</v>
      </c>
      <c r="I601" s="356">
        <f t="shared" si="74"/>
        <v>-737.4331588294838</v>
      </c>
      <c r="J601" s="356">
        <f t="shared" si="75"/>
        <v>736695.7256706543</v>
      </c>
      <c r="M601" s="358"/>
      <c r="N601" s="356"/>
    </row>
    <row r="602" spans="1:14" x14ac:dyDescent="0.25">
      <c r="A602" s="356">
        <f t="shared" si="76"/>
        <v>579</v>
      </c>
      <c r="B602" s="357">
        <f t="shared" si="70"/>
        <v>48</v>
      </c>
      <c r="C602" s="357">
        <f t="shared" si="71"/>
        <v>3</v>
      </c>
      <c r="D602" s="357">
        <f t="shared" si="72"/>
        <v>77</v>
      </c>
      <c r="E602" s="356">
        <f t="shared" si="77"/>
        <v>736695.7256706543</v>
      </c>
      <c r="G602" s="356">
        <f t="shared" si="73"/>
        <v>5309.604280524364</v>
      </c>
      <c r="H602" s="360">
        <f>-SUM(E602:G602)*$H$21</f>
        <v>-6678.047969560609</v>
      </c>
      <c r="I602" s="356">
        <f t="shared" si="74"/>
        <v>-742.0053299511787</v>
      </c>
      <c r="J602" s="356">
        <f t="shared" si="75"/>
        <v>734585.276651667</v>
      </c>
      <c r="M602" s="358"/>
      <c r="N602" s="356"/>
    </row>
    <row r="603" spans="1:14" x14ac:dyDescent="0.25">
      <c r="A603" s="356">
        <f t="shared" si="76"/>
        <v>580</v>
      </c>
      <c r="B603" s="357">
        <f t="shared" si="70"/>
        <v>48</v>
      </c>
      <c r="C603" s="357">
        <f t="shared" si="71"/>
        <v>4</v>
      </c>
      <c r="D603" s="357">
        <f t="shared" si="72"/>
        <v>77</v>
      </c>
      <c r="E603" s="356">
        <f t="shared" si="77"/>
        <v>734585.276651667</v>
      </c>
      <c r="G603" s="356">
        <f t="shared" si="73"/>
        <v>5294.393592102299</v>
      </c>
      <c r="H603" s="356">
        <v>0</v>
      </c>
      <c r="I603" s="356">
        <f t="shared" si="74"/>
        <v>-739.8796702437693</v>
      </c>
      <c r="J603" s="356">
        <f t="shared" si="75"/>
        <v>739139.7905735255</v>
      </c>
      <c r="M603" s="358"/>
      <c r="N603" s="356"/>
    </row>
    <row r="604" spans="1:14" x14ac:dyDescent="0.25">
      <c r="A604" s="356">
        <f t="shared" si="76"/>
        <v>581</v>
      </c>
      <c r="B604" s="357">
        <f t="shared" si="70"/>
        <v>48</v>
      </c>
      <c r="C604" s="357">
        <f t="shared" si="71"/>
        <v>5</v>
      </c>
      <c r="D604" s="357">
        <f t="shared" si="72"/>
        <v>77</v>
      </c>
      <c r="E604" s="356">
        <f t="shared" si="77"/>
        <v>739139.7905735255</v>
      </c>
      <c r="G604" s="356">
        <f t="shared" si="73"/>
        <v>5327.219446484979</v>
      </c>
      <c r="H604" s="356">
        <v>0</v>
      </c>
      <c r="I604" s="356">
        <f t="shared" si="74"/>
        <v>-744.4670100200104</v>
      </c>
      <c r="J604" s="356">
        <f t="shared" si="75"/>
        <v>743722.5430099904</v>
      </c>
      <c r="M604" s="358"/>
      <c r="N604" s="356"/>
    </row>
    <row r="605" spans="1:14" x14ac:dyDescent="0.25">
      <c r="A605" s="356">
        <f t="shared" si="76"/>
        <v>582</v>
      </c>
      <c r="B605" s="357">
        <f t="shared" si="70"/>
        <v>48</v>
      </c>
      <c r="C605" s="357">
        <f t="shared" si="71"/>
        <v>6</v>
      </c>
      <c r="D605" s="357">
        <f t="shared" si="72"/>
        <v>77</v>
      </c>
      <c r="E605" s="356">
        <f t="shared" si="77"/>
        <v>743722.5430099904</v>
      </c>
      <c r="G605" s="356">
        <f t="shared" si="73"/>
        <v>5360.248824972395</v>
      </c>
      <c r="H605" s="360">
        <f>-SUM(E605:G605)*$H$21</f>
        <v>-6741.745126514666</v>
      </c>
      <c r="I605" s="356">
        <f t="shared" si="74"/>
        <v>-749.0827918349628</v>
      </c>
      <c r="J605" s="356">
        <f t="shared" si="75"/>
        <v>741591.9639166131</v>
      </c>
      <c r="M605" s="358"/>
      <c r="N605" s="356"/>
    </row>
    <row r="606" spans="1:14" x14ac:dyDescent="0.25">
      <c r="A606" s="356">
        <f t="shared" si="76"/>
        <v>583</v>
      </c>
      <c r="B606" s="357">
        <f t="shared" si="70"/>
        <v>48</v>
      </c>
      <c r="C606" s="357">
        <f t="shared" si="71"/>
        <v>7</v>
      </c>
      <c r="D606" s="357">
        <f t="shared" si="72"/>
        <v>77</v>
      </c>
      <c r="E606" s="356">
        <f t="shared" si="77"/>
        <v>741591.9639166131</v>
      </c>
      <c r="G606" s="356">
        <f t="shared" si="73"/>
        <v>5344.893052595824</v>
      </c>
      <c r="H606" s="356">
        <v>0</v>
      </c>
      <c r="I606" s="356">
        <f t="shared" si="74"/>
        <v>-746.936856969209</v>
      </c>
      <c r="J606" s="356">
        <f t="shared" si="75"/>
        <v>746189.9201122397</v>
      </c>
      <c r="M606" s="358"/>
      <c r="N606" s="356"/>
    </row>
    <row r="607" spans="1:14" x14ac:dyDescent="0.25">
      <c r="A607" s="356">
        <f t="shared" si="76"/>
        <v>584</v>
      </c>
      <c r="B607" s="357">
        <f t="shared" si="70"/>
        <v>48</v>
      </c>
      <c r="C607" s="357">
        <f t="shared" si="71"/>
        <v>8</v>
      </c>
      <c r="D607" s="357">
        <f t="shared" si="72"/>
        <v>77</v>
      </c>
      <c r="E607" s="356">
        <f t="shared" si="77"/>
        <v>746189.9201122397</v>
      </c>
      <c r="G607" s="356">
        <f t="shared" si="73"/>
        <v>5378.0320094911385</v>
      </c>
      <c r="H607" s="356">
        <v>0</v>
      </c>
      <c r="I607" s="356">
        <f t="shared" si="74"/>
        <v>-751.5679521217307</v>
      </c>
      <c r="J607" s="356">
        <f t="shared" si="75"/>
        <v>750816.384169609</v>
      </c>
      <c r="M607" s="358"/>
      <c r="N607" s="356"/>
    </row>
    <row r="608" spans="1:14" x14ac:dyDescent="0.25">
      <c r="A608" s="356">
        <f t="shared" si="76"/>
        <v>585</v>
      </c>
      <c r="B608" s="357">
        <f t="shared" si="70"/>
        <v>48</v>
      </c>
      <c r="C608" s="357">
        <f t="shared" si="71"/>
        <v>9</v>
      </c>
      <c r="D608" s="357">
        <f t="shared" si="72"/>
        <v>77</v>
      </c>
      <c r="E608" s="356">
        <f t="shared" si="77"/>
        <v>750816.384169609</v>
      </c>
      <c r="G608" s="356">
        <f t="shared" si="73"/>
        <v>5411.376431763085</v>
      </c>
      <c r="H608" s="360">
        <f>-SUM(E608:G608)*$H$21</f>
        <v>-6806.04984541235</v>
      </c>
      <c r="I608" s="356">
        <f t="shared" si="74"/>
        <v>-756.2277606013721</v>
      </c>
      <c r="J608" s="356">
        <f t="shared" si="75"/>
        <v>748665.4829953584</v>
      </c>
      <c r="M608" s="358"/>
      <c r="N608" s="356"/>
    </row>
    <row r="609" spans="1:14" x14ac:dyDescent="0.25">
      <c r="A609" s="356">
        <f t="shared" si="76"/>
        <v>586</v>
      </c>
      <c r="B609" s="357">
        <f t="shared" si="70"/>
        <v>48</v>
      </c>
      <c r="C609" s="357">
        <f t="shared" si="71"/>
        <v>10</v>
      </c>
      <c r="D609" s="357">
        <f t="shared" si="72"/>
        <v>77</v>
      </c>
      <c r="E609" s="356">
        <f t="shared" si="77"/>
        <v>748665.4829953584</v>
      </c>
      <c r="G609" s="356">
        <f t="shared" si="73"/>
        <v>5395.8741915792025</v>
      </c>
      <c r="H609" s="356">
        <v>0</v>
      </c>
      <c r="I609" s="356">
        <f t="shared" si="74"/>
        <v>-754.0613571869376</v>
      </c>
      <c r="J609" s="356">
        <f t="shared" si="75"/>
        <v>753307.2958297506</v>
      </c>
      <c r="M609" s="358"/>
      <c r="N609" s="356"/>
    </row>
    <row r="610" spans="1:14" x14ac:dyDescent="0.25">
      <c r="A610" s="356">
        <f t="shared" si="76"/>
        <v>587</v>
      </c>
      <c r="B610" s="357">
        <f t="shared" si="70"/>
        <v>48</v>
      </c>
      <c r="C610" s="357">
        <f t="shared" si="71"/>
        <v>11</v>
      </c>
      <c r="D610" s="357">
        <f t="shared" si="72"/>
        <v>77</v>
      </c>
      <c r="E610" s="356">
        <f t="shared" si="77"/>
        <v>753307.2958297506</v>
      </c>
      <c r="G610" s="356">
        <f t="shared" si="73"/>
        <v>5429.32923744966</v>
      </c>
      <c r="H610" s="356">
        <v>0</v>
      </c>
      <c r="I610" s="356">
        <f t="shared" si="74"/>
        <v>-758.7366250672003</v>
      </c>
      <c r="J610" s="356">
        <f t="shared" si="75"/>
        <v>757977.8884421331</v>
      </c>
      <c r="M610" s="358"/>
      <c r="N610" s="356"/>
    </row>
    <row r="611" spans="1:14" x14ac:dyDescent="0.25">
      <c r="A611" s="356">
        <f t="shared" si="76"/>
        <v>588</v>
      </c>
      <c r="B611" s="357">
        <f t="shared" si="70"/>
        <v>48</v>
      </c>
      <c r="C611" s="357">
        <f t="shared" si="71"/>
        <v>12</v>
      </c>
      <c r="D611" s="357">
        <f t="shared" si="72"/>
        <v>77</v>
      </c>
      <c r="E611" s="356">
        <f t="shared" si="77"/>
        <v>757977.8884421331</v>
      </c>
      <c r="G611" s="356">
        <f t="shared" si="73"/>
        <v>5462.99170848506</v>
      </c>
      <c r="H611" s="360">
        <f>-SUM(E611:G611)*$H$21</f>
        <v>-6870.967921355564</v>
      </c>
      <c r="I611" s="356">
        <f t="shared" si="74"/>
        <v>-763.4408801506181</v>
      </c>
      <c r="J611" s="356">
        <f t="shared" si="75"/>
        <v>755806.471349112</v>
      </c>
      <c r="M611" s="358"/>
      <c r="N611" s="356"/>
    </row>
    <row r="612" spans="1:14" x14ac:dyDescent="0.25">
      <c r="A612" s="356">
        <f t="shared" si="76"/>
        <v>589</v>
      </c>
      <c r="B612" s="357">
        <f t="shared" ref="B612:B675" si="78">B600+1</f>
        <v>49</v>
      </c>
      <c r="C612" s="357">
        <f t="shared" ref="C612:C675" si="79">C600</f>
        <v>1</v>
      </c>
      <c r="D612" s="357">
        <f t="shared" ref="D612:D675" si="80">D600+1</f>
        <v>78</v>
      </c>
      <c r="E612" s="356">
        <f t="shared" si="77"/>
        <v>755806.471349112</v>
      </c>
      <c r="G612" s="356">
        <f t="shared" si="73"/>
        <v>5447.341603441471</v>
      </c>
      <c r="H612" s="356">
        <v>0</v>
      </c>
      <c r="I612" s="356">
        <f t="shared" si="74"/>
        <v>-761.2538129525535</v>
      </c>
      <c r="J612" s="356">
        <f t="shared" si="75"/>
        <v>760492.559139601</v>
      </c>
      <c r="M612" s="358"/>
      <c r="N612" s="356"/>
    </row>
    <row r="613" spans="1:14" x14ac:dyDescent="0.25">
      <c r="A613" s="356">
        <f t="shared" si="76"/>
        <v>590</v>
      </c>
      <c r="B613" s="357">
        <f t="shared" si="78"/>
        <v>49</v>
      </c>
      <c r="C613" s="357">
        <f t="shared" si="79"/>
        <v>2</v>
      </c>
      <c r="D613" s="357">
        <f t="shared" si="80"/>
        <v>78</v>
      </c>
      <c r="E613" s="356">
        <f t="shared" si="77"/>
        <v>760492.559139601</v>
      </c>
      <c r="G613" s="356">
        <f t="shared" si="73"/>
        <v>5481.115753235326</v>
      </c>
      <c r="H613" s="356">
        <v>0</v>
      </c>
      <c r="I613" s="356">
        <f t="shared" si="74"/>
        <v>-765.9736748928362</v>
      </c>
      <c r="J613" s="356">
        <f t="shared" si="75"/>
        <v>765207.7012179435</v>
      </c>
      <c r="M613" s="358"/>
      <c r="N613" s="356"/>
    </row>
    <row r="614" spans="1:14" x14ac:dyDescent="0.25">
      <c r="A614" s="356">
        <f t="shared" si="76"/>
        <v>591</v>
      </c>
      <c r="B614" s="357">
        <f t="shared" si="78"/>
        <v>49</v>
      </c>
      <c r="C614" s="357">
        <f t="shared" si="79"/>
        <v>3</v>
      </c>
      <c r="D614" s="357">
        <f t="shared" si="80"/>
        <v>78</v>
      </c>
      <c r="E614" s="356">
        <f t="shared" si="77"/>
        <v>765207.7012179435</v>
      </c>
      <c r="G614" s="356">
        <f t="shared" si="73"/>
        <v>5515.099306675461</v>
      </c>
      <c r="H614" s="360">
        <f>-SUM(E614:G614)*$H$21</f>
        <v>-6936.505204721571</v>
      </c>
      <c r="I614" s="356">
        <f t="shared" si="74"/>
        <v>-770.722800524619</v>
      </c>
      <c r="J614" s="356">
        <f t="shared" si="75"/>
        <v>763015.5725193727</v>
      </c>
      <c r="M614" s="358"/>
      <c r="N614" s="356"/>
    </row>
    <row r="615" spans="1:14" x14ac:dyDescent="0.25">
      <c r="A615" s="356">
        <f t="shared" si="76"/>
        <v>592</v>
      </c>
      <c r="B615" s="357">
        <f t="shared" si="78"/>
        <v>49</v>
      </c>
      <c r="C615" s="357">
        <f t="shared" si="79"/>
        <v>4</v>
      </c>
      <c r="D615" s="357">
        <f t="shared" si="80"/>
        <v>78</v>
      </c>
      <c r="E615" s="356">
        <f t="shared" si="77"/>
        <v>763015.5725193727</v>
      </c>
      <c r="G615" s="356">
        <f t="shared" si="73"/>
        <v>5499.29992639428</v>
      </c>
      <c r="H615" s="356">
        <v>0</v>
      </c>
      <c r="I615" s="356">
        <f t="shared" si="74"/>
        <v>-768.514872445767</v>
      </c>
      <c r="J615" s="356">
        <f t="shared" si="75"/>
        <v>767746.3575733212</v>
      </c>
      <c r="M615" s="358"/>
      <c r="N615" s="356"/>
    </row>
    <row r="616" spans="1:14" x14ac:dyDescent="0.25">
      <c r="A616" s="356">
        <f t="shared" si="76"/>
        <v>593</v>
      </c>
      <c r="B616" s="357">
        <f t="shared" si="78"/>
        <v>49</v>
      </c>
      <c r="C616" s="357">
        <f t="shared" si="79"/>
        <v>5</v>
      </c>
      <c r="D616" s="357">
        <f t="shared" si="80"/>
        <v>78</v>
      </c>
      <c r="E616" s="356">
        <f t="shared" si="77"/>
        <v>767746.3575733212</v>
      </c>
      <c r="G616" s="356">
        <f t="shared" si="73"/>
        <v>5533.396223817234</v>
      </c>
      <c r="H616" s="356">
        <v>0</v>
      </c>
      <c r="I616" s="356">
        <f t="shared" si="74"/>
        <v>-773.2797537971385</v>
      </c>
      <c r="J616" s="356">
        <f t="shared" si="75"/>
        <v>772506.4740433414</v>
      </c>
      <c r="M616" s="358"/>
      <c r="N616" s="356"/>
    </row>
    <row r="617" spans="1:14" x14ac:dyDescent="0.25">
      <c r="A617" s="356">
        <f t="shared" si="76"/>
        <v>594</v>
      </c>
      <c r="B617" s="357">
        <f t="shared" si="78"/>
        <v>49</v>
      </c>
      <c r="C617" s="357">
        <f t="shared" si="79"/>
        <v>6</v>
      </c>
      <c r="D617" s="357">
        <f t="shared" si="80"/>
        <v>78</v>
      </c>
      <c r="E617" s="356">
        <f t="shared" si="77"/>
        <v>772506.4740433414</v>
      </c>
      <c r="G617" s="356">
        <f t="shared" si="73"/>
        <v>5567.703922239137</v>
      </c>
      <c r="H617" s="360">
        <f>-SUM(E617:G617)*$H$21</f>
        <v>-7002.667601690226</v>
      </c>
      <c r="I617" s="356">
        <f t="shared" si="74"/>
        <v>-778.0741779655805</v>
      </c>
      <c r="J617" s="356">
        <f t="shared" si="75"/>
        <v>770293.4361859246</v>
      </c>
      <c r="M617" s="358"/>
      <c r="N617" s="356"/>
    </row>
    <row r="618" spans="1:14" x14ac:dyDescent="0.25">
      <c r="A618" s="356">
        <f t="shared" si="76"/>
        <v>595</v>
      </c>
      <c r="B618" s="357">
        <f t="shared" si="78"/>
        <v>49</v>
      </c>
      <c r="C618" s="357">
        <f t="shared" si="79"/>
        <v>7</v>
      </c>
      <c r="D618" s="357">
        <f t="shared" si="80"/>
        <v>78</v>
      </c>
      <c r="E618" s="356">
        <f t="shared" si="77"/>
        <v>770293.4361859246</v>
      </c>
      <c r="G618" s="356">
        <f t="shared" si="73"/>
        <v>5551.753842889883</v>
      </c>
      <c r="H618" s="356">
        <v>0</v>
      </c>
      <c r="I618" s="356">
        <f t="shared" si="74"/>
        <v>-775.8451900288145</v>
      </c>
      <c r="J618" s="356">
        <f t="shared" si="75"/>
        <v>775069.3448387857</v>
      </c>
      <c r="M618" s="358"/>
      <c r="N618" s="356"/>
    </row>
    <row r="619" spans="1:14" x14ac:dyDescent="0.25">
      <c r="A619" s="356">
        <f t="shared" si="76"/>
        <v>596</v>
      </c>
      <c r="B619" s="357">
        <f t="shared" si="78"/>
        <v>49</v>
      </c>
      <c r="C619" s="357">
        <f t="shared" si="79"/>
        <v>8</v>
      </c>
      <c r="D619" s="357">
        <f t="shared" si="80"/>
        <v>78</v>
      </c>
      <c r="E619" s="356">
        <f t="shared" si="77"/>
        <v>775069.3448387857</v>
      </c>
      <c r="G619" s="356">
        <f t="shared" si="73"/>
        <v>5586.175360679388</v>
      </c>
      <c r="H619" s="356">
        <v>0</v>
      </c>
      <c r="I619" s="356">
        <f t="shared" si="74"/>
        <v>-780.6555201994652</v>
      </c>
      <c r="J619" s="356">
        <f t="shared" si="75"/>
        <v>779874.8646792657</v>
      </c>
      <c r="M619" s="358"/>
      <c r="N619" s="356"/>
    </row>
    <row r="620" spans="1:14" x14ac:dyDescent="0.25">
      <c r="A620" s="356">
        <f t="shared" si="76"/>
        <v>597</v>
      </c>
      <c r="B620" s="357">
        <f t="shared" si="78"/>
        <v>49</v>
      </c>
      <c r="C620" s="357">
        <f t="shared" si="79"/>
        <v>9</v>
      </c>
      <c r="D620" s="357">
        <f t="shared" si="80"/>
        <v>78</v>
      </c>
      <c r="E620" s="356">
        <f t="shared" si="77"/>
        <v>779874.8646792657</v>
      </c>
      <c r="G620" s="356">
        <f t="shared" si="73"/>
        <v>5620.810295871837</v>
      </c>
      <c r="H620" s="360">
        <f>-SUM(E620:G620)*$H$21</f>
        <v>-7069.461074776238</v>
      </c>
      <c r="I620" s="356">
        <f t="shared" si="74"/>
        <v>-785.4956749751375</v>
      </c>
      <c r="J620" s="356">
        <f t="shared" si="75"/>
        <v>777640.7182253861</v>
      </c>
      <c r="M620" s="358"/>
      <c r="N620" s="356"/>
    </row>
    <row r="621" spans="1:14" x14ac:dyDescent="0.25">
      <c r="A621" s="356">
        <f t="shared" si="76"/>
        <v>598</v>
      </c>
      <c r="B621" s="357">
        <f t="shared" si="78"/>
        <v>49</v>
      </c>
      <c r="C621" s="357">
        <f t="shared" si="79"/>
        <v>10</v>
      </c>
      <c r="D621" s="357">
        <f t="shared" si="80"/>
        <v>78</v>
      </c>
      <c r="E621" s="356">
        <f t="shared" si="77"/>
        <v>777640.7182253861</v>
      </c>
      <c r="G621" s="356">
        <f t="shared" si="73"/>
        <v>5604.708080043127</v>
      </c>
      <c r="H621" s="356">
        <v>0</v>
      </c>
      <c r="I621" s="356">
        <f t="shared" si="74"/>
        <v>-783.2454263054292</v>
      </c>
      <c r="J621" s="356">
        <f t="shared" si="75"/>
        <v>782462.1808791237</v>
      </c>
      <c r="M621" s="358"/>
      <c r="N621" s="356"/>
    </row>
    <row r="622" spans="1:14" x14ac:dyDescent="0.25">
      <c r="A622" s="356">
        <f t="shared" si="76"/>
        <v>599</v>
      </c>
      <c r="B622" s="357">
        <f t="shared" si="78"/>
        <v>49</v>
      </c>
      <c r="C622" s="357">
        <f t="shared" si="79"/>
        <v>11</v>
      </c>
      <c r="D622" s="357">
        <f t="shared" si="80"/>
        <v>78</v>
      </c>
      <c r="E622" s="356">
        <f t="shared" si="77"/>
        <v>782462.1808791237</v>
      </c>
      <c r="G622" s="356">
        <f t="shared" si="73"/>
        <v>5639.457920245292</v>
      </c>
      <c r="H622" s="356">
        <v>0</v>
      </c>
      <c r="I622" s="356">
        <f t="shared" si="74"/>
        <v>-788.101638799369</v>
      </c>
      <c r="J622" s="356">
        <f t="shared" si="75"/>
        <v>787313.5371605696</v>
      </c>
      <c r="M622" s="358"/>
      <c r="N622" s="356"/>
    </row>
    <row r="623" spans="1:14" x14ac:dyDescent="0.25">
      <c r="A623" s="356">
        <f t="shared" si="76"/>
        <v>600</v>
      </c>
      <c r="B623" s="357">
        <f t="shared" si="78"/>
        <v>49</v>
      </c>
      <c r="C623" s="357">
        <f t="shared" si="79"/>
        <v>12</v>
      </c>
      <c r="D623" s="357">
        <f t="shared" si="80"/>
        <v>78</v>
      </c>
      <c r="E623" s="356">
        <f t="shared" si="77"/>
        <v>787313.5371605696</v>
      </c>
      <c r="G623" s="356">
        <f t="shared" si="73"/>
        <v>5674.423213487444</v>
      </c>
      <c r="H623" s="360">
        <f>-SUM(E623:G623)*$H$21</f>
        <v>-7136.8916433665145</v>
      </c>
      <c r="I623" s="356">
        <f t="shared" si="74"/>
        <v>-792.987960374057</v>
      </c>
      <c r="J623" s="356">
        <f t="shared" si="75"/>
        <v>785058.0807703164</v>
      </c>
      <c r="M623" s="358"/>
      <c r="N623" s="356"/>
    </row>
    <row r="624" spans="1:14" x14ac:dyDescent="0.25">
      <c r="A624" s="356">
        <f t="shared" si="76"/>
        <v>601</v>
      </c>
      <c r="B624" s="357">
        <f t="shared" si="78"/>
        <v>50</v>
      </c>
      <c r="C624" s="357">
        <f t="shared" si="79"/>
        <v>1</v>
      </c>
      <c r="D624" s="357">
        <f t="shared" si="80"/>
        <v>79</v>
      </c>
      <c r="E624" s="356">
        <f t="shared" si="77"/>
        <v>785058.0807703164</v>
      </c>
      <c r="G624" s="356">
        <f t="shared" si="73"/>
        <v>5658.167410057443</v>
      </c>
      <c r="H624" s="356">
        <v>0</v>
      </c>
      <c r="I624" s="356">
        <f t="shared" si="74"/>
        <v>-790.7162481803738</v>
      </c>
      <c r="J624" s="356">
        <f t="shared" si="75"/>
        <v>789925.5319321934</v>
      </c>
      <c r="M624" s="358"/>
      <c r="N624" s="356"/>
    </row>
    <row r="625" spans="1:14" x14ac:dyDescent="0.25">
      <c r="A625" s="356">
        <f t="shared" si="76"/>
        <v>602</v>
      </c>
      <c r="B625" s="357">
        <f t="shared" si="78"/>
        <v>50</v>
      </c>
      <c r="C625" s="357">
        <f t="shared" si="79"/>
        <v>2</v>
      </c>
      <c r="D625" s="357">
        <f t="shared" si="80"/>
        <v>79</v>
      </c>
      <c r="E625" s="356">
        <f t="shared" si="77"/>
        <v>789925.5319321934</v>
      </c>
      <c r="G625" s="356">
        <f t="shared" si="73"/>
        <v>5693.248704306596</v>
      </c>
      <c r="H625" s="356">
        <v>0</v>
      </c>
      <c r="I625" s="356">
        <f t="shared" si="74"/>
        <v>-795.6187806365</v>
      </c>
      <c r="J625" s="356">
        <f t="shared" si="75"/>
        <v>794823.1618558635</v>
      </c>
      <c r="M625" s="358"/>
      <c r="N625" s="356"/>
    </row>
    <row r="626" spans="1:14" x14ac:dyDescent="0.25">
      <c r="A626" s="356">
        <f t="shared" si="76"/>
        <v>603</v>
      </c>
      <c r="B626" s="357">
        <f t="shared" si="78"/>
        <v>50</v>
      </c>
      <c r="C626" s="357">
        <f t="shared" si="79"/>
        <v>3</v>
      </c>
      <c r="D626" s="357">
        <f t="shared" si="80"/>
        <v>79</v>
      </c>
      <c r="E626" s="356">
        <f t="shared" si="77"/>
        <v>794823.1618558635</v>
      </c>
      <c r="G626" s="356">
        <f t="shared" si="73"/>
        <v>5728.547506649272</v>
      </c>
      <c r="H626" s="360">
        <f>-SUM(E626:G626)*$H$21</f>
        <v>-7204.965384262616</v>
      </c>
      <c r="I626" s="356">
        <f t="shared" si="74"/>
        <v>-800.5517093625128</v>
      </c>
      <c r="J626" s="356">
        <f t="shared" si="75"/>
        <v>792546.1922688877</v>
      </c>
      <c r="M626" s="358"/>
      <c r="N626" s="356"/>
    </row>
    <row r="627" spans="1:14" x14ac:dyDescent="0.25">
      <c r="A627" s="356">
        <f t="shared" si="76"/>
        <v>604</v>
      </c>
      <c r="B627" s="357">
        <f t="shared" si="78"/>
        <v>50</v>
      </c>
      <c r="C627" s="357">
        <f t="shared" si="79"/>
        <v>4</v>
      </c>
      <c r="D627" s="357">
        <f t="shared" si="80"/>
        <v>79</v>
      </c>
      <c r="E627" s="356">
        <f t="shared" si="77"/>
        <v>792546.1922688877</v>
      </c>
      <c r="G627" s="356">
        <f t="shared" si="73"/>
        <v>5712.136650654927</v>
      </c>
      <c r="H627" s="356">
        <v>0</v>
      </c>
      <c r="I627" s="356">
        <f t="shared" si="74"/>
        <v>-798.2583289195426</v>
      </c>
      <c r="J627" s="356">
        <f t="shared" si="75"/>
        <v>797460.0705906231</v>
      </c>
      <c r="M627" s="358"/>
      <c r="N627" s="356"/>
    </row>
    <row r="628" spans="1:14" x14ac:dyDescent="0.25">
      <c r="A628" s="356">
        <f t="shared" si="76"/>
        <v>605</v>
      </c>
      <c r="B628" s="357">
        <f t="shared" si="78"/>
        <v>50</v>
      </c>
      <c r="C628" s="357">
        <f t="shared" si="79"/>
        <v>5</v>
      </c>
      <c r="D628" s="357">
        <f t="shared" si="80"/>
        <v>79</v>
      </c>
      <c r="E628" s="356">
        <f t="shared" si="77"/>
        <v>797460.0705906231</v>
      </c>
      <c r="G628" s="356">
        <f t="shared" si="73"/>
        <v>5747.552560455829</v>
      </c>
      <c r="H628" s="356">
        <v>0</v>
      </c>
      <c r="I628" s="356">
        <f t="shared" si="74"/>
        <v>-803.2076231510789</v>
      </c>
      <c r="J628" s="356">
        <f t="shared" si="75"/>
        <v>802404.4155279278</v>
      </c>
      <c r="M628" s="358"/>
      <c r="N628" s="356"/>
    </row>
    <row r="629" spans="1:14" x14ac:dyDescent="0.25">
      <c r="A629" s="356">
        <f t="shared" si="76"/>
        <v>606</v>
      </c>
      <c r="B629" s="357">
        <f t="shared" si="78"/>
        <v>50</v>
      </c>
      <c r="C629" s="357">
        <f t="shared" si="79"/>
        <v>6</v>
      </c>
      <c r="D629" s="357">
        <f t="shared" si="80"/>
        <v>79</v>
      </c>
      <c r="E629" s="356">
        <f t="shared" si="77"/>
        <v>802404.4155279278</v>
      </c>
      <c r="G629" s="356">
        <f t="shared" si="73"/>
        <v>5783.188053005488</v>
      </c>
      <c r="H629" s="360">
        <f>-SUM(E629:G629)*$H$21</f>
        <v>-7273.6884322284</v>
      </c>
      <c r="I629" s="356">
        <f t="shared" si="74"/>
        <v>-808.1876035809333</v>
      </c>
      <c r="J629" s="356">
        <f t="shared" si="75"/>
        <v>800105.727545124</v>
      </c>
      <c r="M629" s="358"/>
      <c r="N629" s="356"/>
    </row>
    <row r="630" spans="1:14" x14ac:dyDescent="0.25">
      <c r="A630" s="356">
        <f t="shared" si="76"/>
        <v>607</v>
      </c>
      <c r="B630" s="357">
        <f t="shared" si="78"/>
        <v>50</v>
      </c>
      <c r="C630" s="357">
        <f t="shared" si="79"/>
        <v>7</v>
      </c>
      <c r="D630" s="357">
        <f t="shared" si="80"/>
        <v>79</v>
      </c>
      <c r="E630" s="356">
        <f t="shared" si="77"/>
        <v>800105.727545124</v>
      </c>
      <c r="G630" s="356">
        <f t="shared" si="73"/>
        <v>5766.6206655105025</v>
      </c>
      <c r="H630" s="356">
        <v>0</v>
      </c>
      <c r="I630" s="356">
        <f t="shared" si="74"/>
        <v>-805.8723482106345</v>
      </c>
      <c r="J630" s="356">
        <f t="shared" si="75"/>
        <v>805066.4758624239</v>
      </c>
      <c r="M630" s="358"/>
      <c r="N630" s="356"/>
    </row>
    <row r="631" spans="1:14" x14ac:dyDescent="0.25">
      <c r="A631" s="356">
        <f t="shared" si="76"/>
        <v>608</v>
      </c>
      <c r="B631" s="357">
        <f t="shared" si="78"/>
        <v>50</v>
      </c>
      <c r="C631" s="357">
        <f t="shared" si="79"/>
        <v>8</v>
      </c>
      <c r="D631" s="357">
        <f t="shared" si="80"/>
        <v>79</v>
      </c>
      <c r="E631" s="356">
        <f t="shared" si="77"/>
        <v>805066.4758624239</v>
      </c>
      <c r="G631" s="356">
        <f t="shared" si="73"/>
        <v>5802.374382523264</v>
      </c>
      <c r="H631" s="356">
        <v>0</v>
      </c>
      <c r="I631" s="356">
        <f t="shared" si="74"/>
        <v>-810.8688502449471</v>
      </c>
      <c r="J631" s="356">
        <f t="shared" si="75"/>
        <v>810057.9813947022</v>
      </c>
      <c r="M631" s="358"/>
      <c r="N631" s="356"/>
    </row>
    <row r="632" spans="1:14" x14ac:dyDescent="0.25">
      <c r="A632" s="356">
        <f t="shared" si="76"/>
        <v>609</v>
      </c>
      <c r="B632" s="357">
        <f t="shared" si="78"/>
        <v>50</v>
      </c>
      <c r="C632" s="357">
        <f t="shared" si="79"/>
        <v>9</v>
      </c>
      <c r="D632" s="357">
        <f t="shared" si="80"/>
        <v>79</v>
      </c>
      <c r="E632" s="356">
        <f t="shared" si="77"/>
        <v>810057.9813947022</v>
      </c>
      <c r="G632" s="356">
        <f t="shared" si="73"/>
        <v>5838.349776728679</v>
      </c>
      <c r="H632" s="360">
        <f>-SUM(E632:G632)*$H$21</f>
        <v>-7343.066980542879</v>
      </c>
      <c r="I632" s="356">
        <f t="shared" si="74"/>
        <v>-815.8963311714309</v>
      </c>
      <c r="J632" s="356">
        <f t="shared" si="75"/>
        <v>807737.3678597166</v>
      </c>
      <c r="M632" s="358"/>
      <c r="N632" s="356"/>
    </row>
    <row r="633" spans="1:14" x14ac:dyDescent="0.25">
      <c r="A633" s="356">
        <f t="shared" si="76"/>
        <v>610</v>
      </c>
      <c r="B633" s="357">
        <f t="shared" si="78"/>
        <v>50</v>
      </c>
      <c r="C633" s="357">
        <f t="shared" si="79"/>
        <v>10</v>
      </c>
      <c r="D633" s="357">
        <f t="shared" si="80"/>
        <v>79</v>
      </c>
      <c r="E633" s="356">
        <f t="shared" si="77"/>
        <v>807737.3678597166</v>
      </c>
      <c r="G633" s="356">
        <f t="shared" si="73"/>
        <v>5821.624364690235</v>
      </c>
      <c r="H633" s="356">
        <v>0</v>
      </c>
      <c r="I633" s="356">
        <f t="shared" si="74"/>
        <v>-813.5589922244069</v>
      </c>
      <c r="J633" s="356">
        <f t="shared" si="75"/>
        <v>812745.4332321825</v>
      </c>
      <c r="M633" s="358"/>
      <c r="N633" s="356"/>
    </row>
    <row r="634" spans="1:14" x14ac:dyDescent="0.25">
      <c r="A634" s="356">
        <f t="shared" si="76"/>
        <v>611</v>
      </c>
      <c r="B634" s="357">
        <f t="shared" si="78"/>
        <v>50</v>
      </c>
      <c r="C634" s="357">
        <f t="shared" si="79"/>
        <v>11</v>
      </c>
      <c r="D634" s="357">
        <f t="shared" si="80"/>
        <v>79</v>
      </c>
      <c r="E634" s="356">
        <f t="shared" si="77"/>
        <v>812745.4332321825</v>
      </c>
      <c r="G634" s="356">
        <f t="shared" si="73"/>
        <v>5857.719111017946</v>
      </c>
      <c r="H634" s="356">
        <v>0</v>
      </c>
      <c r="I634" s="356">
        <f t="shared" si="74"/>
        <v>-818.6031523432006</v>
      </c>
      <c r="J634" s="356">
        <f t="shared" si="75"/>
        <v>817784.5491908573</v>
      </c>
      <c r="M634" s="358"/>
      <c r="N634" s="356"/>
    </row>
    <row r="635" spans="1:14" x14ac:dyDescent="0.25">
      <c r="A635" s="356">
        <f t="shared" si="76"/>
        <v>612</v>
      </c>
      <c r="B635" s="357">
        <f t="shared" si="78"/>
        <v>50</v>
      </c>
      <c r="C635" s="357">
        <f t="shared" si="79"/>
        <v>12</v>
      </c>
      <c r="D635" s="357">
        <f t="shared" si="80"/>
        <v>79</v>
      </c>
      <c r="E635" s="356">
        <f t="shared" si="77"/>
        <v>817784.5491908573</v>
      </c>
      <c r="G635" s="356">
        <f t="shared" si="73"/>
        <v>5894.037648959619</v>
      </c>
      <c r="H635" s="360">
        <f>-SUM(E635:G635)*$H$21</f>
        <v>-7413.107281558354</v>
      </c>
      <c r="I635" s="356">
        <f t="shared" si="74"/>
        <v>-823.6785868398171</v>
      </c>
      <c r="J635" s="356">
        <f t="shared" si="75"/>
        <v>815441.8009714189</v>
      </c>
      <c r="M635" s="358"/>
      <c r="N635" s="356"/>
    </row>
    <row r="636" spans="1:14" x14ac:dyDescent="0.25">
      <c r="A636" s="356">
        <f t="shared" si="76"/>
        <v>613</v>
      </c>
      <c r="B636" s="357">
        <f t="shared" si="78"/>
        <v>51</v>
      </c>
      <c r="C636" s="357">
        <f t="shared" si="79"/>
        <v>1</v>
      </c>
      <c r="D636" s="357">
        <f t="shared" si="80"/>
        <v>80</v>
      </c>
      <c r="E636" s="356">
        <f t="shared" si="77"/>
        <v>815441.8009714189</v>
      </c>
      <c r="G636" s="356">
        <f t="shared" si="73"/>
        <v>5877.152705093822</v>
      </c>
      <c r="H636" s="356">
        <v>0</v>
      </c>
      <c r="I636" s="356">
        <f t="shared" si="74"/>
        <v>-821.3189536765127</v>
      </c>
      <c r="J636" s="356">
        <f t="shared" si="75"/>
        <v>820497.6347228362</v>
      </c>
      <c r="M636" s="358"/>
      <c r="N636" s="356"/>
    </row>
    <row r="637" spans="1:14" x14ac:dyDescent="0.25">
      <c r="A637" s="356">
        <f t="shared" si="76"/>
        <v>614</v>
      </c>
      <c r="B637" s="357">
        <f t="shared" si="78"/>
        <v>51</v>
      </c>
      <c r="C637" s="357">
        <f t="shared" si="79"/>
        <v>2</v>
      </c>
      <c r="D637" s="357">
        <f t="shared" si="80"/>
        <v>80</v>
      </c>
      <c r="E637" s="356">
        <f t="shared" si="77"/>
        <v>820497.6347228362</v>
      </c>
      <c r="G637" s="356">
        <f t="shared" si="73"/>
        <v>5913.591733572924</v>
      </c>
      <c r="H637" s="356">
        <v>0</v>
      </c>
      <c r="I637" s="356">
        <f t="shared" si="74"/>
        <v>-826.411226456409</v>
      </c>
      <c r="J637" s="356">
        <f t="shared" si="75"/>
        <v>825584.8152299527</v>
      </c>
      <c r="M637" s="358"/>
      <c r="N637" s="356"/>
    </row>
    <row r="638" spans="1:14" x14ac:dyDescent="0.25">
      <c r="A638" s="356">
        <f t="shared" si="76"/>
        <v>615</v>
      </c>
      <c r="B638" s="357">
        <f t="shared" si="78"/>
        <v>51</v>
      </c>
      <c r="C638" s="357">
        <f t="shared" si="79"/>
        <v>3</v>
      </c>
      <c r="D638" s="357">
        <f t="shared" si="80"/>
        <v>80</v>
      </c>
      <c r="E638" s="356">
        <f t="shared" si="77"/>
        <v>825584.8152299527</v>
      </c>
      <c r="G638" s="356">
        <f t="shared" si="73"/>
        <v>5950.25668825526</v>
      </c>
      <c r="H638" s="360">
        <f>-SUM(E638:G638)*$H$21</f>
        <v>-7483.815647263872</v>
      </c>
      <c r="I638" s="356">
        <f t="shared" si="74"/>
        <v>-831.5350719182079</v>
      </c>
      <c r="J638" s="356">
        <f t="shared" si="75"/>
        <v>823219.7211990259</v>
      </c>
      <c r="M638" s="358"/>
      <c r="N638" s="356"/>
    </row>
    <row r="639" spans="1:14" x14ac:dyDescent="0.25">
      <c r="A639" s="356">
        <f t="shared" si="76"/>
        <v>616</v>
      </c>
      <c r="B639" s="357">
        <f t="shared" si="78"/>
        <v>51</v>
      </c>
      <c r="C639" s="357">
        <f t="shared" si="79"/>
        <v>4</v>
      </c>
      <c r="D639" s="357">
        <f t="shared" si="80"/>
        <v>80</v>
      </c>
      <c r="E639" s="356">
        <f t="shared" si="77"/>
        <v>823219.7211990259</v>
      </c>
      <c r="G639" s="356">
        <f t="shared" si="73"/>
        <v>5933.2106909013055</v>
      </c>
      <c r="H639" s="356">
        <v>0</v>
      </c>
      <c r="I639" s="356">
        <f t="shared" si="74"/>
        <v>-829.1529318899271</v>
      </c>
      <c r="J639" s="356">
        <f t="shared" si="75"/>
        <v>828323.7789580371</v>
      </c>
      <c r="M639" s="358"/>
      <c r="N639" s="356"/>
    </row>
    <row r="640" spans="1:14" x14ac:dyDescent="0.25">
      <c r="A640" s="356">
        <f t="shared" si="76"/>
        <v>617</v>
      </c>
      <c r="B640" s="357">
        <f t="shared" si="78"/>
        <v>51</v>
      </c>
      <c r="C640" s="357">
        <f t="shared" si="79"/>
        <v>5</v>
      </c>
      <c r="D640" s="357">
        <f t="shared" si="80"/>
        <v>80</v>
      </c>
      <c r="E640" s="356">
        <f t="shared" si="77"/>
        <v>828323.7789580371</v>
      </c>
      <c r="G640" s="356">
        <f t="shared" si="73"/>
        <v>5969.9972853947365</v>
      </c>
      <c r="H640" s="356">
        <v>0</v>
      </c>
      <c r="I640" s="356">
        <f t="shared" si="74"/>
        <v>-834.2937762434318</v>
      </c>
      <c r="J640" s="356">
        <f t="shared" si="75"/>
        <v>833459.4824671884</v>
      </c>
      <c r="M640" s="358"/>
      <c r="N640" s="356"/>
    </row>
    <row r="641" spans="1:14" x14ac:dyDescent="0.25">
      <c r="A641" s="356">
        <f t="shared" si="76"/>
        <v>618</v>
      </c>
      <c r="B641" s="357">
        <f t="shared" si="78"/>
        <v>51</v>
      </c>
      <c r="C641" s="357">
        <f t="shared" si="79"/>
        <v>6</v>
      </c>
      <c r="D641" s="357">
        <f t="shared" si="80"/>
        <v>80</v>
      </c>
      <c r="E641" s="356">
        <f t="shared" si="77"/>
        <v>833459.4824671884</v>
      </c>
      <c r="G641" s="356">
        <f t="shared" si="73"/>
        <v>6007.0119610410065</v>
      </c>
      <c r="H641" s="360">
        <f>-SUM(E641:G641)*$H$21</f>
        <v>-7555.198449854065</v>
      </c>
      <c r="I641" s="356">
        <f t="shared" si="74"/>
        <v>-839.4664944282295</v>
      </c>
      <c r="J641" s="356">
        <f t="shared" si="75"/>
        <v>831071.8294839471</v>
      </c>
      <c r="M641" s="358"/>
      <c r="N641" s="356"/>
    </row>
    <row r="642" spans="1:14" x14ac:dyDescent="0.25">
      <c r="A642" s="356">
        <f t="shared" si="76"/>
        <v>619</v>
      </c>
      <c r="B642" s="357">
        <f t="shared" si="78"/>
        <v>51</v>
      </c>
      <c r="C642" s="357">
        <f t="shared" si="79"/>
        <v>7</v>
      </c>
      <c r="D642" s="357">
        <f t="shared" si="80"/>
        <v>80</v>
      </c>
      <c r="E642" s="356">
        <f t="shared" si="77"/>
        <v>831071.8294839471</v>
      </c>
      <c r="G642" s="356">
        <f t="shared" si="73"/>
        <v>5989.803374024049</v>
      </c>
      <c r="H642" s="356">
        <v>0</v>
      </c>
      <c r="I642" s="356">
        <f t="shared" si="74"/>
        <v>-837.0616328579712</v>
      </c>
      <c r="J642" s="356">
        <f t="shared" si="75"/>
        <v>836224.5712251131</v>
      </c>
      <c r="M642" s="358"/>
      <c r="N642" s="356"/>
    </row>
    <row r="643" spans="1:14" x14ac:dyDescent="0.25">
      <c r="A643" s="356">
        <f t="shared" si="76"/>
        <v>620</v>
      </c>
      <c r="B643" s="357">
        <f t="shared" si="78"/>
        <v>51</v>
      </c>
      <c r="C643" s="357">
        <f t="shared" si="79"/>
        <v>8</v>
      </c>
      <c r="D643" s="357">
        <f t="shared" si="80"/>
        <v>80</v>
      </c>
      <c r="E643" s="356">
        <f t="shared" si="77"/>
        <v>836224.5712251131</v>
      </c>
      <c r="G643" s="356">
        <f t="shared" si="73"/>
        <v>6026.940849717185</v>
      </c>
      <c r="H643" s="356">
        <v>0</v>
      </c>
      <c r="I643" s="356">
        <f t="shared" si="74"/>
        <v>-842.2515120748304</v>
      </c>
      <c r="J643" s="356">
        <f t="shared" si="75"/>
        <v>841409.2605627555</v>
      </c>
      <c r="M643" s="358"/>
      <c r="N643" s="356"/>
    </row>
    <row r="644" spans="1:14" x14ac:dyDescent="0.25">
      <c r="A644" s="356">
        <f t="shared" si="76"/>
        <v>621</v>
      </c>
      <c r="B644" s="357">
        <f t="shared" si="78"/>
        <v>51</v>
      </c>
      <c r="C644" s="357">
        <f t="shared" si="79"/>
        <v>9</v>
      </c>
      <c r="D644" s="357">
        <f t="shared" si="80"/>
        <v>80</v>
      </c>
      <c r="E644" s="356">
        <f t="shared" si="77"/>
        <v>841409.2605627555</v>
      </c>
      <c r="G644" s="356">
        <f t="shared" si="73"/>
        <v>6064.308582067301</v>
      </c>
      <c r="H644" s="360">
        <f>-SUM(E644:G644)*$H$21</f>
        <v>-7627.262122303406</v>
      </c>
      <c r="I644" s="356">
        <f t="shared" si="74"/>
        <v>-847.4735691448228</v>
      </c>
      <c r="J644" s="356">
        <f t="shared" si="75"/>
        <v>838998.8334533746</v>
      </c>
      <c r="M644" s="358"/>
      <c r="N644" s="356"/>
    </row>
    <row r="645" spans="1:14" x14ac:dyDescent="0.25">
      <c r="A645" s="356">
        <f t="shared" si="76"/>
        <v>622</v>
      </c>
      <c r="B645" s="357">
        <f t="shared" si="78"/>
        <v>51</v>
      </c>
      <c r="C645" s="357">
        <f t="shared" si="79"/>
        <v>10</v>
      </c>
      <c r="D645" s="357">
        <f t="shared" si="80"/>
        <v>80</v>
      </c>
      <c r="E645" s="356">
        <f t="shared" si="77"/>
        <v>838998.8334533746</v>
      </c>
      <c r="G645" s="356">
        <f t="shared" si="73"/>
        <v>6046.935854560012</v>
      </c>
      <c r="H645" s="356">
        <v>0</v>
      </c>
      <c r="I645" s="356">
        <f t="shared" si="74"/>
        <v>-845.0457693079346</v>
      </c>
      <c r="J645" s="356">
        <f t="shared" si="75"/>
        <v>844200.7235386267</v>
      </c>
      <c r="M645" s="358"/>
      <c r="N645" s="356"/>
    </row>
    <row r="646" spans="1:14" x14ac:dyDescent="0.25">
      <c r="A646" s="356">
        <f t="shared" si="76"/>
        <v>623</v>
      </c>
      <c r="B646" s="357">
        <f t="shared" si="78"/>
        <v>51</v>
      </c>
      <c r="C646" s="357">
        <f t="shared" si="79"/>
        <v>11</v>
      </c>
      <c r="D646" s="357">
        <f t="shared" si="80"/>
        <v>80</v>
      </c>
      <c r="E646" s="356">
        <f t="shared" si="77"/>
        <v>844200.7235386267</v>
      </c>
      <c r="G646" s="356">
        <f t="shared" si="73"/>
        <v>6084.427558259429</v>
      </c>
      <c r="H646" s="356">
        <v>0</v>
      </c>
      <c r="I646" s="356">
        <f t="shared" si="74"/>
        <v>-850.2851510968861</v>
      </c>
      <c r="J646" s="356">
        <f t="shared" si="75"/>
        <v>849434.8659457893</v>
      </c>
      <c r="M646" s="358"/>
      <c r="N646" s="356"/>
    </row>
    <row r="647" spans="1:14" x14ac:dyDescent="0.25">
      <c r="A647" s="356">
        <f t="shared" si="76"/>
        <v>624</v>
      </c>
      <c r="B647" s="357">
        <f t="shared" si="78"/>
        <v>51</v>
      </c>
      <c r="C647" s="357">
        <f t="shared" si="79"/>
        <v>12</v>
      </c>
      <c r="D647" s="357">
        <f t="shared" si="80"/>
        <v>80</v>
      </c>
      <c r="E647" s="356">
        <f t="shared" si="77"/>
        <v>849434.8659457893</v>
      </c>
      <c r="G647" s="356">
        <f t="shared" si="73"/>
        <v>6122.1517148705525</v>
      </c>
      <c r="H647" s="360">
        <f>-SUM(E647:G647)*$H$21</f>
        <v>-7700.01315894594</v>
      </c>
      <c r="I647" s="356">
        <f t="shared" si="74"/>
        <v>-855.5570176606599</v>
      </c>
      <c r="J647" s="356">
        <f t="shared" si="75"/>
        <v>847001.4474840532</v>
      </c>
      <c r="M647" s="358"/>
      <c r="N647" s="356"/>
    </row>
    <row r="648" spans="1:14" x14ac:dyDescent="0.25">
      <c r="A648" s="356">
        <f t="shared" si="76"/>
        <v>625</v>
      </c>
      <c r="B648" s="357">
        <f t="shared" si="78"/>
        <v>52</v>
      </c>
      <c r="C648" s="357">
        <f t="shared" si="79"/>
        <v>1</v>
      </c>
      <c r="D648" s="357">
        <f t="shared" si="80"/>
        <v>81</v>
      </c>
      <c r="E648" s="356">
        <f t="shared" si="77"/>
        <v>847001.4474840532</v>
      </c>
      <c r="G648" s="356">
        <f t="shared" si="73"/>
        <v>6104.613281253364</v>
      </c>
      <c r="H648" s="356">
        <v>0</v>
      </c>
      <c r="I648" s="356">
        <f t="shared" si="74"/>
        <v>-853.1060607653066</v>
      </c>
      <c r="J648" s="356">
        <f t="shared" si="75"/>
        <v>852252.9547045412</v>
      </c>
      <c r="M648" s="358"/>
      <c r="N648" s="356"/>
    </row>
    <row r="649" spans="1:14" x14ac:dyDescent="0.25">
      <c r="A649" s="356">
        <f t="shared" si="76"/>
        <v>626</v>
      </c>
      <c r="B649" s="357">
        <f t="shared" si="78"/>
        <v>52</v>
      </c>
      <c r="C649" s="357">
        <f t="shared" si="79"/>
        <v>2</v>
      </c>
      <c r="D649" s="357">
        <f t="shared" si="80"/>
        <v>81</v>
      </c>
      <c r="E649" s="356">
        <f t="shared" si="77"/>
        <v>852252.9547045412</v>
      </c>
      <c r="G649" s="356">
        <f t="shared" si="73"/>
        <v>6142.462591688448</v>
      </c>
      <c r="H649" s="356">
        <v>0</v>
      </c>
      <c r="I649" s="356">
        <f t="shared" si="74"/>
        <v>-858.3954172962298</v>
      </c>
      <c r="J649" s="356">
        <f t="shared" si="75"/>
        <v>857537.0218789335</v>
      </c>
      <c r="M649" s="358"/>
      <c r="N649" s="356"/>
    </row>
    <row r="650" spans="1:14" x14ac:dyDescent="0.25">
      <c r="A650" s="356">
        <f t="shared" si="76"/>
        <v>627</v>
      </c>
      <c r="B650" s="357">
        <f t="shared" si="78"/>
        <v>52</v>
      </c>
      <c r="C650" s="357">
        <f t="shared" si="79"/>
        <v>3</v>
      </c>
      <c r="D650" s="357">
        <f t="shared" si="80"/>
        <v>81</v>
      </c>
      <c r="E650" s="356">
        <f t="shared" si="77"/>
        <v>857537.0218789335</v>
      </c>
      <c r="G650" s="356">
        <f t="shared" si="73"/>
        <v>6180.546572238479</v>
      </c>
      <c r="H650" s="360">
        <f>-SUM(E650:G650)*$H$21</f>
        <v>-7773.4581160605485</v>
      </c>
      <c r="I650" s="356">
        <f t="shared" si="74"/>
        <v>-863.717568451172</v>
      </c>
      <c r="J650" s="356">
        <f t="shared" si="75"/>
        <v>855080.3927666602</v>
      </c>
      <c r="M650" s="358"/>
      <c r="N650" s="356"/>
    </row>
    <row r="651" spans="1:14" x14ac:dyDescent="0.25">
      <c r="A651" s="356">
        <f t="shared" si="76"/>
        <v>628</v>
      </c>
      <c r="B651" s="357">
        <f t="shared" si="78"/>
        <v>52</v>
      </c>
      <c r="C651" s="357">
        <f t="shared" si="79"/>
        <v>4</v>
      </c>
      <c r="D651" s="357">
        <f t="shared" si="80"/>
        <v>81</v>
      </c>
      <c r="E651" s="356">
        <f t="shared" si="77"/>
        <v>855080.3927666602</v>
      </c>
      <c r="G651" s="356">
        <f t="shared" si="73"/>
        <v>6162.840851958491</v>
      </c>
      <c r="H651" s="356">
        <v>0</v>
      </c>
      <c r="I651" s="356">
        <f t="shared" si="74"/>
        <v>-861.2432336186187</v>
      </c>
      <c r="J651" s="356">
        <f t="shared" si="75"/>
        <v>860381.990385</v>
      </c>
      <c r="M651" s="358"/>
      <c r="N651" s="356"/>
    </row>
    <row r="652" spans="1:14" x14ac:dyDescent="0.25">
      <c r="A652" s="356">
        <f t="shared" si="76"/>
        <v>629</v>
      </c>
      <c r="B652" s="357">
        <f t="shared" si="78"/>
        <v>52</v>
      </c>
      <c r="C652" s="357">
        <f t="shared" si="79"/>
        <v>5</v>
      </c>
      <c r="D652" s="357">
        <f t="shared" si="80"/>
        <v>81</v>
      </c>
      <c r="E652" s="356">
        <f t="shared" si="77"/>
        <v>860381.990385</v>
      </c>
      <c r="G652" s="356">
        <f t="shared" si="73"/>
        <v>6201.051180085926</v>
      </c>
      <c r="H652" s="356">
        <v>0</v>
      </c>
      <c r="I652" s="356">
        <f t="shared" si="74"/>
        <v>-866.583041565086</v>
      </c>
      <c r="J652" s="356">
        <f t="shared" si="75"/>
        <v>865716.4585235209</v>
      </c>
      <c r="M652" s="358"/>
      <c r="N652" s="356"/>
    </row>
    <row r="653" spans="1:14" x14ac:dyDescent="0.25">
      <c r="A653" s="356">
        <f t="shared" si="76"/>
        <v>630</v>
      </c>
      <c r="B653" s="357">
        <f t="shared" si="78"/>
        <v>52</v>
      </c>
      <c r="C653" s="357">
        <f t="shared" si="79"/>
        <v>6</v>
      </c>
      <c r="D653" s="357">
        <f t="shared" si="80"/>
        <v>81</v>
      </c>
      <c r="E653" s="356">
        <f t="shared" si="77"/>
        <v>865716.4585235209</v>
      </c>
      <c r="G653" s="356">
        <f t="shared" si="73"/>
        <v>6239.498416679876</v>
      </c>
      <c r="H653" s="360">
        <f>-SUM(E653:G653)*$H$21</f>
        <v>-7847.603612461808</v>
      </c>
      <c r="I653" s="356">
        <f t="shared" si="74"/>
        <v>-871.9559569402007</v>
      </c>
      <c r="J653" s="356">
        <f t="shared" si="75"/>
        <v>863236.3973707987</v>
      </c>
      <c r="M653" s="358"/>
      <c r="N653" s="356"/>
    </row>
    <row r="654" spans="1:14" x14ac:dyDescent="0.25">
      <c r="A654" s="356">
        <f t="shared" si="76"/>
        <v>631</v>
      </c>
      <c r="B654" s="357">
        <f t="shared" si="78"/>
        <v>52</v>
      </c>
      <c r="C654" s="357">
        <f t="shared" si="79"/>
        <v>7</v>
      </c>
      <c r="D654" s="357">
        <f t="shared" si="80"/>
        <v>81</v>
      </c>
      <c r="E654" s="356">
        <f t="shared" si="77"/>
        <v>863236.3973707987</v>
      </c>
      <c r="G654" s="356">
        <f t="shared" si="73"/>
        <v>6221.623814108417</v>
      </c>
      <c r="H654" s="356">
        <v>0</v>
      </c>
      <c r="I654" s="356">
        <f t="shared" si="74"/>
        <v>-869.4580211849072</v>
      </c>
      <c r="J654" s="356">
        <f t="shared" si="75"/>
        <v>868588.5631637223</v>
      </c>
      <c r="M654" s="358"/>
      <c r="N654" s="356"/>
    </row>
    <row r="655" spans="1:14" x14ac:dyDescent="0.25">
      <c r="A655" s="356">
        <f t="shared" si="76"/>
        <v>632</v>
      </c>
      <c r="B655" s="357">
        <f t="shared" si="78"/>
        <v>52</v>
      </c>
      <c r="C655" s="357">
        <f t="shared" si="79"/>
        <v>8</v>
      </c>
      <c r="D655" s="357">
        <f t="shared" si="80"/>
        <v>81</v>
      </c>
      <c r="E655" s="356">
        <f t="shared" si="77"/>
        <v>868588.5631637223</v>
      </c>
      <c r="G655" s="356">
        <f t="shared" si="73"/>
        <v>6260.198603419584</v>
      </c>
      <c r="H655" s="356">
        <v>0</v>
      </c>
      <c r="I655" s="356">
        <f t="shared" si="74"/>
        <v>-874.8487617671419</v>
      </c>
      <c r="J655" s="356">
        <f t="shared" si="75"/>
        <v>873973.9130053747</v>
      </c>
      <c r="M655" s="358"/>
      <c r="N655" s="356"/>
    </row>
    <row r="656" spans="1:14" x14ac:dyDescent="0.25">
      <c r="A656" s="356">
        <f t="shared" si="76"/>
        <v>633</v>
      </c>
      <c r="B656" s="357">
        <f t="shared" si="78"/>
        <v>52</v>
      </c>
      <c r="C656" s="357">
        <f t="shared" si="79"/>
        <v>9</v>
      </c>
      <c r="D656" s="357">
        <f t="shared" si="80"/>
        <v>81</v>
      </c>
      <c r="E656" s="356">
        <f t="shared" si="77"/>
        <v>873973.9130053747</v>
      </c>
      <c r="G656" s="356">
        <f t="shared" si="73"/>
        <v>6299.012560898878</v>
      </c>
      <c r="H656" s="360">
        <f>-SUM(E656:G656)*$H$21</f>
        <v>-7922.456330096464</v>
      </c>
      <c r="I656" s="356">
        <f t="shared" si="74"/>
        <v>-880.2729255662737</v>
      </c>
      <c r="J656" s="356">
        <f t="shared" si="75"/>
        <v>871470.1963106109</v>
      </c>
      <c r="M656" s="358"/>
      <c r="N656" s="356"/>
    </row>
    <row r="657" spans="1:14" x14ac:dyDescent="0.25">
      <c r="A657" s="356">
        <f t="shared" si="76"/>
        <v>634</v>
      </c>
      <c r="B657" s="357">
        <f t="shared" si="78"/>
        <v>52</v>
      </c>
      <c r="C657" s="357">
        <f t="shared" si="79"/>
        <v>10</v>
      </c>
      <c r="D657" s="357">
        <f t="shared" si="80"/>
        <v>81</v>
      </c>
      <c r="E657" s="356">
        <f t="shared" si="77"/>
        <v>871470.1963106109</v>
      </c>
      <c r="G657" s="356">
        <f t="shared" si="73"/>
        <v>6280.967465187707</v>
      </c>
      <c r="H657" s="356">
        <v>0</v>
      </c>
      <c r="I657" s="356">
        <f t="shared" si="74"/>
        <v>-877.7511637757985</v>
      </c>
      <c r="J657" s="356">
        <f t="shared" si="75"/>
        <v>876873.4126120227</v>
      </c>
      <c r="M657" s="358"/>
      <c r="N657" s="356"/>
    </row>
    <row r="658" spans="1:14" x14ac:dyDescent="0.25">
      <c r="A658" s="356">
        <f t="shared" si="76"/>
        <v>635</v>
      </c>
      <c r="B658" s="357">
        <f t="shared" si="78"/>
        <v>52</v>
      </c>
      <c r="C658" s="357">
        <f t="shared" si="79"/>
        <v>11</v>
      </c>
      <c r="D658" s="357">
        <f t="shared" si="80"/>
        <v>81</v>
      </c>
      <c r="E658" s="356">
        <f t="shared" si="77"/>
        <v>876873.4126120227</v>
      </c>
      <c r="G658" s="356">
        <f t="shared" si="73"/>
        <v>6319.910192019002</v>
      </c>
      <c r="H658" s="356">
        <v>0</v>
      </c>
      <c r="I658" s="356">
        <f t="shared" si="74"/>
        <v>-883.1933228040417</v>
      </c>
      <c r="J658" s="356">
        <f t="shared" si="75"/>
        <v>882310.1294812376</v>
      </c>
      <c r="M658" s="358"/>
      <c r="N658" s="356"/>
    </row>
    <row r="659" spans="1:14" x14ac:dyDescent="0.25">
      <c r="A659" s="356">
        <f t="shared" si="76"/>
        <v>636</v>
      </c>
      <c r="B659" s="357">
        <f t="shared" si="78"/>
        <v>52</v>
      </c>
      <c r="C659" s="357">
        <f t="shared" si="79"/>
        <v>12</v>
      </c>
      <c r="D659" s="357">
        <f t="shared" si="80"/>
        <v>81</v>
      </c>
      <c r="E659" s="356">
        <f t="shared" si="77"/>
        <v>882310.1294812376</v>
      </c>
      <c r="G659" s="356">
        <f t="shared" si="73"/>
        <v>6359.094368273729</v>
      </c>
      <c r="H659" s="360">
        <f>-SUM(E659:G659)*$H$21</f>
        <v>-7998.023014645603</v>
      </c>
      <c r="I659" s="356">
        <f t="shared" si="74"/>
        <v>-888.6692238495114</v>
      </c>
      <c r="J659" s="356">
        <f t="shared" si="75"/>
        <v>879782.5316110163</v>
      </c>
      <c r="M659" s="358"/>
      <c r="N659" s="356"/>
    </row>
    <row r="660" spans="1:14" x14ac:dyDescent="0.25">
      <c r="A660" s="356">
        <f t="shared" si="76"/>
        <v>637</v>
      </c>
      <c r="B660" s="357">
        <f t="shared" si="78"/>
        <v>53</v>
      </c>
      <c r="C660" s="357">
        <f t="shared" si="79"/>
        <v>1</v>
      </c>
      <c r="D660" s="357">
        <f t="shared" si="80"/>
        <v>82</v>
      </c>
      <c r="E660" s="356">
        <f t="shared" si="77"/>
        <v>879782.5316110163</v>
      </c>
      <c r="G660" s="356">
        <f t="shared" si="73"/>
        <v>6340.877153209864</v>
      </c>
      <c r="H660" s="356">
        <v>0</v>
      </c>
      <c r="I660" s="356">
        <f t="shared" si="74"/>
        <v>-886.1234087642262</v>
      </c>
      <c r="J660" s="356">
        <f t="shared" si="75"/>
        <v>885237.2853554619</v>
      </c>
      <c r="M660" s="358"/>
      <c r="N660" s="356"/>
    </row>
    <row r="661" spans="1:14" x14ac:dyDescent="0.25">
      <c r="A661" s="356">
        <f t="shared" si="76"/>
        <v>638</v>
      </c>
      <c r="B661" s="357">
        <f t="shared" si="78"/>
        <v>53</v>
      </c>
      <c r="C661" s="357">
        <f t="shared" si="79"/>
        <v>2</v>
      </c>
      <c r="D661" s="357">
        <f t="shared" si="80"/>
        <v>82</v>
      </c>
      <c r="E661" s="356">
        <f t="shared" si="77"/>
        <v>885237.2853554619</v>
      </c>
      <c r="G661" s="356">
        <f t="shared" si="73"/>
        <v>6380.191327055992</v>
      </c>
      <c r="H661" s="356">
        <v>0</v>
      </c>
      <c r="I661" s="356">
        <f t="shared" si="74"/>
        <v>-891.6174766825179</v>
      </c>
      <c r="J661" s="356">
        <f t="shared" si="75"/>
        <v>890725.8592058354</v>
      </c>
      <c r="M661" s="358"/>
      <c r="N661" s="356"/>
    </row>
    <row r="662" spans="1:14" x14ac:dyDescent="0.25">
      <c r="A662" s="356">
        <f t="shared" si="76"/>
        <v>639</v>
      </c>
      <c r="B662" s="357">
        <f t="shared" si="78"/>
        <v>53</v>
      </c>
      <c r="C662" s="357">
        <f t="shared" si="79"/>
        <v>3</v>
      </c>
      <c r="D662" s="357">
        <f t="shared" si="80"/>
        <v>82</v>
      </c>
      <c r="E662" s="356">
        <f t="shared" si="77"/>
        <v>890725.8592058354</v>
      </c>
      <c r="G662" s="356">
        <f t="shared" si="73"/>
        <v>6419.749253340126</v>
      </c>
      <c r="H662" s="360">
        <f>-SUM(E662:G662)*$H$21</f>
        <v>-8074.310476132581</v>
      </c>
      <c r="I662" s="356">
        <f t="shared" si="74"/>
        <v>-897.1456084591756</v>
      </c>
      <c r="J662" s="356">
        <f t="shared" si="75"/>
        <v>888174.1523745839</v>
      </c>
      <c r="M662" s="358"/>
      <c r="N662" s="356"/>
    </row>
    <row r="663" spans="1:14" x14ac:dyDescent="0.25">
      <c r="A663" s="356">
        <f t="shared" si="76"/>
        <v>640</v>
      </c>
      <c r="B663" s="357">
        <f t="shared" si="78"/>
        <v>53</v>
      </c>
      <c r="C663" s="357">
        <f t="shared" si="79"/>
        <v>4</v>
      </c>
      <c r="D663" s="357">
        <f t="shared" si="80"/>
        <v>82</v>
      </c>
      <c r="E663" s="356">
        <f t="shared" si="77"/>
        <v>888174.1523745839</v>
      </c>
      <c r="G663" s="356">
        <f t="shared" si="73"/>
        <v>6401.358277199302</v>
      </c>
      <c r="H663" s="356">
        <v>0</v>
      </c>
      <c r="I663" s="356">
        <f t="shared" si="74"/>
        <v>-894.5755106517832</v>
      </c>
      <c r="J663" s="356">
        <f t="shared" si="75"/>
        <v>893680.9351411314</v>
      </c>
      <c r="M663" s="358"/>
      <c r="N663" s="356"/>
    </row>
    <row r="664" spans="1:14" x14ac:dyDescent="0.25">
      <c r="A664" s="356">
        <f t="shared" si="76"/>
        <v>641</v>
      </c>
      <c r="B664" s="357">
        <f t="shared" si="78"/>
        <v>53</v>
      </c>
      <c r="C664" s="357">
        <f t="shared" si="79"/>
        <v>5</v>
      </c>
      <c r="D664" s="357">
        <f t="shared" si="80"/>
        <v>82</v>
      </c>
      <c r="E664" s="356">
        <f t="shared" si="77"/>
        <v>893680.9351411314</v>
      </c>
      <c r="G664" s="356">
        <f t="shared" ref="G664:G727" si="81">SUM(E664:F664)*$F$8</f>
        <v>6441.04744102954</v>
      </c>
      <c r="H664" s="356">
        <v>0</v>
      </c>
      <c r="I664" s="356">
        <f t="shared" ref="I664:I727" si="82">-SUM(E664:G664)*0.1%</f>
        <v>-900.121982582161</v>
      </c>
      <c r="J664" s="356">
        <f t="shared" ref="J664:J727" si="83">SUM(E664:I664)</f>
        <v>899221.8605995788</v>
      </c>
      <c r="M664" s="358"/>
      <c r="N664" s="356"/>
    </row>
    <row r="665" spans="1:14" x14ac:dyDescent="0.25">
      <c r="A665" s="356">
        <f t="shared" ref="A665:A728" si="84">+A664+1</f>
        <v>642</v>
      </c>
      <c r="B665" s="357">
        <f t="shared" si="78"/>
        <v>53</v>
      </c>
      <c r="C665" s="357">
        <f t="shared" si="79"/>
        <v>6</v>
      </c>
      <c r="D665" s="357">
        <f t="shared" si="80"/>
        <v>82</v>
      </c>
      <c r="E665" s="356">
        <f t="shared" ref="E665:E728" si="85">J664</f>
        <v>899221.8605995788</v>
      </c>
      <c r="G665" s="356">
        <f t="shared" si="81"/>
        <v>6480.982682279184</v>
      </c>
      <c r="H665" s="360">
        <f>-SUM(E665:G665)*$H$21</f>
        <v>-8151.325589536723</v>
      </c>
      <c r="I665" s="356">
        <f t="shared" si="82"/>
        <v>-905.702843281858</v>
      </c>
      <c r="J665" s="356">
        <f t="shared" si="83"/>
        <v>896645.8148490394</v>
      </c>
      <c r="M665" s="358"/>
      <c r="N665" s="356"/>
    </row>
    <row r="666" spans="1:14" x14ac:dyDescent="0.25">
      <c r="A666" s="356">
        <f t="shared" si="84"/>
        <v>643</v>
      </c>
      <c r="B666" s="357">
        <f t="shared" si="78"/>
        <v>53</v>
      </c>
      <c r="C666" s="357">
        <f t="shared" si="79"/>
        <v>7</v>
      </c>
      <c r="D666" s="357">
        <f t="shared" si="80"/>
        <v>82</v>
      </c>
      <c r="E666" s="356">
        <f t="shared" si="85"/>
        <v>896645.8148490394</v>
      </c>
      <c r="G666" s="356">
        <f t="shared" si="81"/>
        <v>6462.416287677886</v>
      </c>
      <c r="H666" s="356">
        <v>0</v>
      </c>
      <c r="I666" s="356">
        <f t="shared" si="82"/>
        <v>-903.1082311367173</v>
      </c>
      <c r="J666" s="356">
        <f t="shared" si="83"/>
        <v>902205.1229055807</v>
      </c>
      <c r="M666" s="358"/>
      <c r="N666" s="356"/>
    </row>
    <row r="667" spans="1:14" x14ac:dyDescent="0.25">
      <c r="A667" s="356">
        <f t="shared" si="84"/>
        <v>644</v>
      </c>
      <c r="B667" s="357">
        <f t="shared" si="78"/>
        <v>53</v>
      </c>
      <c r="C667" s="357">
        <f t="shared" si="79"/>
        <v>8</v>
      </c>
      <c r="D667" s="357">
        <f t="shared" si="80"/>
        <v>82</v>
      </c>
      <c r="E667" s="356">
        <f t="shared" si="85"/>
        <v>902205.1229055807</v>
      </c>
      <c r="G667" s="356">
        <f t="shared" si="81"/>
        <v>6502.484018255383</v>
      </c>
      <c r="H667" s="356">
        <v>0</v>
      </c>
      <c r="I667" s="356">
        <f t="shared" si="82"/>
        <v>-908.7076069238361</v>
      </c>
      <c r="J667" s="356">
        <f t="shared" si="83"/>
        <v>907798.8993169122</v>
      </c>
      <c r="M667" s="358"/>
      <c r="N667" s="356"/>
    </row>
    <row r="668" spans="1:14" x14ac:dyDescent="0.25">
      <c r="A668" s="356">
        <f t="shared" si="84"/>
        <v>645</v>
      </c>
      <c r="B668" s="357">
        <f t="shared" si="78"/>
        <v>53</v>
      </c>
      <c r="C668" s="357">
        <f t="shared" si="79"/>
        <v>9</v>
      </c>
      <c r="D668" s="357">
        <f t="shared" si="80"/>
        <v>82</v>
      </c>
      <c r="E668" s="356">
        <f t="shared" si="85"/>
        <v>907798.8993169122</v>
      </c>
      <c r="G668" s="356">
        <f t="shared" si="81"/>
        <v>6542.800173410028</v>
      </c>
      <c r="H668" s="360">
        <f>-SUM(E668:G668)*$H$21</f>
        <v>-8229.0752954129</v>
      </c>
      <c r="I668" s="356">
        <f t="shared" si="82"/>
        <v>-914.3416994903222</v>
      </c>
      <c r="J668" s="356">
        <f t="shared" si="83"/>
        <v>905198.2824954189</v>
      </c>
      <c r="M668" s="358"/>
      <c r="N668" s="356"/>
    </row>
    <row r="669" spans="1:14" x14ac:dyDescent="0.25">
      <c r="A669" s="356">
        <f t="shared" si="84"/>
        <v>646</v>
      </c>
      <c r="B669" s="357">
        <f t="shared" si="78"/>
        <v>53</v>
      </c>
      <c r="C669" s="357">
        <f t="shared" si="79"/>
        <v>10</v>
      </c>
      <c r="D669" s="357">
        <f t="shared" si="80"/>
        <v>82</v>
      </c>
      <c r="E669" s="356">
        <f t="shared" si="85"/>
        <v>905198.2824954189</v>
      </c>
      <c r="G669" s="356">
        <f t="shared" si="81"/>
        <v>6524.056687156142</v>
      </c>
      <c r="H669" s="356">
        <v>0</v>
      </c>
      <c r="I669" s="356">
        <f t="shared" si="82"/>
        <v>-911.7223391825751</v>
      </c>
      <c r="J669" s="356">
        <f t="shared" si="83"/>
        <v>910810.6168433924</v>
      </c>
      <c r="M669" s="358"/>
      <c r="N669" s="356"/>
    </row>
    <row r="670" spans="1:14" x14ac:dyDescent="0.25">
      <c r="A670" s="356">
        <f t="shared" si="84"/>
        <v>647</v>
      </c>
      <c r="B670" s="357">
        <f t="shared" si="78"/>
        <v>53</v>
      </c>
      <c r="C670" s="357">
        <f t="shared" si="79"/>
        <v>11</v>
      </c>
      <c r="D670" s="357">
        <f t="shared" si="80"/>
        <v>82</v>
      </c>
      <c r="E670" s="356">
        <f t="shared" si="85"/>
        <v>910810.6168433924</v>
      </c>
      <c r="G670" s="356">
        <f t="shared" si="81"/>
        <v>6564.506595360246</v>
      </c>
      <c r="H670" s="356">
        <v>0</v>
      </c>
      <c r="I670" s="356">
        <f t="shared" si="82"/>
        <v>-917.3751234387527</v>
      </c>
      <c r="J670" s="356">
        <f t="shared" si="83"/>
        <v>916457.7483153138</v>
      </c>
      <c r="M670" s="358"/>
      <c r="N670" s="356"/>
    </row>
    <row r="671" spans="1:14" x14ac:dyDescent="0.25">
      <c r="A671" s="356">
        <f t="shared" si="84"/>
        <v>648</v>
      </c>
      <c r="B671" s="357">
        <f t="shared" si="78"/>
        <v>53</v>
      </c>
      <c r="C671" s="357">
        <f t="shared" si="79"/>
        <v>12</v>
      </c>
      <c r="D671" s="357">
        <f t="shared" si="80"/>
        <v>82</v>
      </c>
      <c r="E671" s="356">
        <f t="shared" si="85"/>
        <v>916457.7483153138</v>
      </c>
      <c r="G671" s="356">
        <f t="shared" si="81"/>
        <v>6605.207297687115</v>
      </c>
      <c r="H671" s="360">
        <f>-SUM(E671:G671)*$H$21</f>
        <v>-8307.56660051701</v>
      </c>
      <c r="I671" s="356">
        <f t="shared" si="82"/>
        <v>-923.0629556130009</v>
      </c>
      <c r="J671" s="356">
        <f t="shared" si="83"/>
        <v>913832.3260568709</v>
      </c>
      <c r="M671" s="358"/>
      <c r="N671" s="356"/>
    </row>
    <row r="672" spans="1:14" x14ac:dyDescent="0.25">
      <c r="A672" s="356">
        <f t="shared" si="84"/>
        <v>649</v>
      </c>
      <c r="B672" s="357">
        <f t="shared" si="78"/>
        <v>54</v>
      </c>
      <c r="C672" s="357">
        <f t="shared" si="79"/>
        <v>1</v>
      </c>
      <c r="D672" s="357">
        <f t="shared" si="80"/>
        <v>83</v>
      </c>
      <c r="E672" s="356">
        <f t="shared" si="85"/>
        <v>913832.3260568709</v>
      </c>
      <c r="G672" s="356">
        <f t="shared" si="81"/>
        <v>6586.285030629135</v>
      </c>
      <c r="H672" s="356">
        <v>0</v>
      </c>
      <c r="I672" s="356">
        <f t="shared" si="82"/>
        <v>-920.4186110875</v>
      </c>
      <c r="J672" s="356">
        <f t="shared" si="83"/>
        <v>919498.1924764125</v>
      </c>
      <c r="M672" s="358"/>
      <c r="N672" s="356"/>
    </row>
    <row r="673" spans="1:14" x14ac:dyDescent="0.25">
      <c r="A673" s="356">
        <f t="shared" si="84"/>
        <v>650</v>
      </c>
      <c r="B673" s="357">
        <f t="shared" si="78"/>
        <v>54</v>
      </c>
      <c r="C673" s="357">
        <f t="shared" si="79"/>
        <v>2</v>
      </c>
      <c r="D673" s="357">
        <f t="shared" si="80"/>
        <v>83</v>
      </c>
      <c r="E673" s="356">
        <f t="shared" si="85"/>
        <v>919498.1924764125</v>
      </c>
      <c r="G673" s="356">
        <f t="shared" si="81"/>
        <v>6627.120761780813</v>
      </c>
      <c r="H673" s="356">
        <v>0</v>
      </c>
      <c r="I673" s="356">
        <f t="shared" si="82"/>
        <v>-926.1253132381933</v>
      </c>
      <c r="J673" s="356">
        <f t="shared" si="83"/>
        <v>925199.187924955</v>
      </c>
      <c r="M673" s="358"/>
      <c r="N673" s="356"/>
    </row>
    <row r="674" spans="1:14" x14ac:dyDescent="0.25">
      <c r="A674" s="356">
        <f t="shared" si="84"/>
        <v>651</v>
      </c>
      <c r="B674" s="357">
        <f t="shared" si="78"/>
        <v>54</v>
      </c>
      <c r="C674" s="357">
        <f t="shared" si="79"/>
        <v>3</v>
      </c>
      <c r="D674" s="357">
        <f t="shared" si="80"/>
        <v>83</v>
      </c>
      <c r="E674" s="356">
        <f t="shared" si="85"/>
        <v>925199.187924955</v>
      </c>
      <c r="G674" s="356">
        <f t="shared" si="81"/>
        <v>6668.209679202283</v>
      </c>
      <c r="H674" s="360">
        <f>-SUM(E674:G674)*$H$21</f>
        <v>-8386.806578437418</v>
      </c>
      <c r="I674" s="356">
        <f t="shared" si="82"/>
        <v>-931.8673976041573</v>
      </c>
      <c r="J674" s="356">
        <f t="shared" si="83"/>
        <v>922548.7236281157</v>
      </c>
      <c r="M674" s="358"/>
      <c r="N674" s="356"/>
    </row>
    <row r="675" spans="1:14" x14ac:dyDescent="0.25">
      <c r="A675" s="356">
        <f t="shared" si="84"/>
        <v>652</v>
      </c>
      <c r="B675" s="357">
        <f t="shared" si="78"/>
        <v>54</v>
      </c>
      <c r="C675" s="357">
        <f t="shared" si="79"/>
        <v>4</v>
      </c>
      <c r="D675" s="357">
        <f t="shared" si="80"/>
        <v>83</v>
      </c>
      <c r="E675" s="356">
        <f t="shared" si="85"/>
        <v>922548.7236281157</v>
      </c>
      <c r="G675" s="356">
        <f t="shared" si="81"/>
        <v>6649.1069260770855</v>
      </c>
      <c r="H675" s="356">
        <v>0</v>
      </c>
      <c r="I675" s="356">
        <f t="shared" si="82"/>
        <v>-929.1978305541928</v>
      </c>
      <c r="J675" s="356">
        <f t="shared" si="83"/>
        <v>928268.6327236386</v>
      </c>
      <c r="M675" s="358"/>
      <c r="N675" s="356"/>
    </row>
    <row r="676" spans="1:14" x14ac:dyDescent="0.25">
      <c r="A676" s="356">
        <f t="shared" si="84"/>
        <v>653</v>
      </c>
      <c r="B676" s="357">
        <f t="shared" ref="B676:B739" si="86">B664+1</f>
        <v>54</v>
      </c>
      <c r="C676" s="357">
        <f t="shared" ref="C676:C739" si="87">C664</f>
        <v>5</v>
      </c>
      <c r="D676" s="357">
        <f t="shared" ref="D676:D739" si="88">D664+1</f>
        <v>83</v>
      </c>
      <c r="E676" s="356">
        <f t="shared" si="85"/>
        <v>928268.6327236386</v>
      </c>
      <c r="G676" s="356">
        <f t="shared" si="81"/>
        <v>6690.33216026743</v>
      </c>
      <c r="H676" s="356">
        <v>0</v>
      </c>
      <c r="I676" s="356">
        <f t="shared" si="82"/>
        <v>-934.958964883906</v>
      </c>
      <c r="J676" s="356">
        <f t="shared" si="83"/>
        <v>934024.005919022</v>
      </c>
      <c r="M676" s="358"/>
      <c r="N676" s="356"/>
    </row>
    <row r="677" spans="1:14" x14ac:dyDescent="0.25">
      <c r="A677" s="356">
        <f t="shared" si="84"/>
        <v>654</v>
      </c>
      <c r="B677" s="357">
        <f t="shared" si="86"/>
        <v>54</v>
      </c>
      <c r="C677" s="357">
        <f t="shared" si="87"/>
        <v>6</v>
      </c>
      <c r="D677" s="357">
        <f t="shared" si="88"/>
        <v>83</v>
      </c>
      <c r="E677" s="356">
        <f t="shared" si="85"/>
        <v>934024.005919022</v>
      </c>
      <c r="G677" s="356">
        <f t="shared" si="81"/>
        <v>6731.8129956915855</v>
      </c>
      <c r="H677" s="360">
        <f>-SUM(E677:G677)*$H$21</f>
        <v>-8466.802370232423</v>
      </c>
      <c r="I677" s="356">
        <f t="shared" si="82"/>
        <v>-940.7558189147136</v>
      </c>
      <c r="J677" s="356">
        <f t="shared" si="83"/>
        <v>931348.2607255664</v>
      </c>
      <c r="M677" s="358"/>
      <c r="N677" s="356"/>
    </row>
    <row r="678" spans="1:14" x14ac:dyDescent="0.25">
      <c r="A678" s="356">
        <f t="shared" si="84"/>
        <v>655</v>
      </c>
      <c r="B678" s="357">
        <f t="shared" si="86"/>
        <v>54</v>
      </c>
      <c r="C678" s="357">
        <f t="shared" si="87"/>
        <v>7</v>
      </c>
      <c r="D678" s="357">
        <f t="shared" si="88"/>
        <v>83</v>
      </c>
      <c r="E678" s="356">
        <f t="shared" si="85"/>
        <v>931348.2607255664</v>
      </c>
      <c r="G678" s="356">
        <f t="shared" si="81"/>
        <v>6712.528034970752</v>
      </c>
      <c r="H678" s="356">
        <v>0</v>
      </c>
      <c r="I678" s="356">
        <f t="shared" si="82"/>
        <v>-938.0607887605372</v>
      </c>
      <c r="J678" s="356">
        <f t="shared" si="83"/>
        <v>937122.7279717766</v>
      </c>
      <c r="M678" s="358"/>
      <c r="N678" s="356"/>
    </row>
    <row r="679" spans="1:14" x14ac:dyDescent="0.25">
      <c r="A679" s="356">
        <f t="shared" si="84"/>
        <v>656</v>
      </c>
      <c r="B679" s="357">
        <f t="shared" si="86"/>
        <v>54</v>
      </c>
      <c r="C679" s="357">
        <f t="shared" si="87"/>
        <v>8</v>
      </c>
      <c r="D679" s="357">
        <f t="shared" si="88"/>
        <v>83</v>
      </c>
      <c r="E679" s="356">
        <f t="shared" si="85"/>
        <v>937122.7279717766</v>
      </c>
      <c r="G679" s="356">
        <f t="shared" si="81"/>
        <v>6754.146487392631</v>
      </c>
      <c r="H679" s="356">
        <v>0</v>
      </c>
      <c r="I679" s="356">
        <f t="shared" si="82"/>
        <v>-943.8768744591692</v>
      </c>
      <c r="J679" s="356">
        <f t="shared" si="83"/>
        <v>942932.99758471</v>
      </c>
      <c r="M679" s="358"/>
      <c r="N679" s="356"/>
    </row>
    <row r="680" spans="1:14" x14ac:dyDescent="0.25">
      <c r="A680" s="356">
        <f t="shared" si="84"/>
        <v>657</v>
      </c>
      <c r="B680" s="357">
        <f t="shared" si="86"/>
        <v>54</v>
      </c>
      <c r="C680" s="357">
        <f t="shared" si="87"/>
        <v>9</v>
      </c>
      <c r="D680" s="357">
        <f t="shared" si="88"/>
        <v>83</v>
      </c>
      <c r="E680" s="356">
        <f t="shared" si="85"/>
        <v>942932.99758471</v>
      </c>
      <c r="G680" s="356">
        <f t="shared" si="81"/>
        <v>6796.022979046966</v>
      </c>
      <c r="H680" s="360">
        <f>-SUM(E680:G680)*$H$21</f>
        <v>-8547.561185073813</v>
      </c>
      <c r="I680" s="356">
        <f t="shared" si="82"/>
        <v>-949.729020563757</v>
      </c>
      <c r="J680" s="356">
        <f t="shared" si="83"/>
        <v>940231.7303581194</v>
      </c>
      <c r="M680" s="358"/>
      <c r="N680" s="356"/>
    </row>
    <row r="681" spans="1:14" x14ac:dyDescent="0.25">
      <c r="A681" s="356">
        <f t="shared" si="84"/>
        <v>658</v>
      </c>
      <c r="B681" s="357">
        <f t="shared" si="86"/>
        <v>54</v>
      </c>
      <c r="C681" s="357">
        <f t="shared" si="87"/>
        <v>10</v>
      </c>
      <c r="D681" s="357">
        <f t="shared" si="88"/>
        <v>83</v>
      </c>
      <c r="E681" s="356">
        <f t="shared" si="85"/>
        <v>940231.7303581194</v>
      </c>
      <c r="G681" s="356">
        <f t="shared" si="81"/>
        <v>6776.554072781643</v>
      </c>
      <c r="H681" s="356">
        <v>0</v>
      </c>
      <c r="I681" s="356">
        <f t="shared" si="82"/>
        <v>-947.0082844309011</v>
      </c>
      <c r="J681" s="356">
        <f t="shared" si="83"/>
        <v>946061.2761464701</v>
      </c>
      <c r="M681" s="358"/>
      <c r="N681" s="356"/>
    </row>
    <row r="682" spans="1:14" x14ac:dyDescent="0.25">
      <c r="A682" s="356">
        <f t="shared" si="84"/>
        <v>659</v>
      </c>
      <c r="B682" s="357">
        <f t="shared" si="86"/>
        <v>54</v>
      </c>
      <c r="C682" s="357">
        <f t="shared" si="87"/>
        <v>11</v>
      </c>
      <c r="D682" s="357">
        <f t="shared" si="88"/>
        <v>83</v>
      </c>
      <c r="E682" s="356">
        <f t="shared" si="85"/>
        <v>946061.2761464701</v>
      </c>
      <c r="G682" s="356">
        <f t="shared" si="81"/>
        <v>6818.56949406451</v>
      </c>
      <c r="H682" s="356">
        <v>0</v>
      </c>
      <c r="I682" s="356">
        <f t="shared" si="82"/>
        <v>-952.8798456405347</v>
      </c>
      <c r="J682" s="356">
        <f t="shared" si="83"/>
        <v>951926.9657948941</v>
      </c>
      <c r="M682" s="358"/>
      <c r="N682" s="356"/>
    </row>
    <row r="683" spans="1:14" x14ac:dyDescent="0.25">
      <c r="A683" s="356">
        <f t="shared" si="84"/>
        <v>660</v>
      </c>
      <c r="B683" s="357">
        <f t="shared" si="86"/>
        <v>54</v>
      </c>
      <c r="C683" s="357">
        <f t="shared" si="87"/>
        <v>12</v>
      </c>
      <c r="D683" s="357">
        <f t="shared" si="88"/>
        <v>83</v>
      </c>
      <c r="E683" s="356">
        <f t="shared" si="85"/>
        <v>951926.9657948941</v>
      </c>
      <c r="G683" s="356">
        <f t="shared" si="81"/>
        <v>6860.845415832819</v>
      </c>
      <c r="H683" s="360">
        <f>-SUM(E683:G683)*$H$21</f>
        <v>-8629.090300896543</v>
      </c>
      <c r="I683" s="356">
        <f t="shared" si="82"/>
        <v>-958.787811210727</v>
      </c>
      <c r="J683" s="356">
        <f t="shared" si="83"/>
        <v>949199.9330986197</v>
      </c>
      <c r="M683" s="358"/>
      <c r="N683" s="356"/>
    </row>
    <row r="684" spans="1:14" x14ac:dyDescent="0.25">
      <c r="A684" s="356">
        <f t="shared" si="84"/>
        <v>661</v>
      </c>
      <c r="B684" s="357">
        <f t="shared" si="86"/>
        <v>55</v>
      </c>
      <c r="C684" s="357">
        <f t="shared" si="87"/>
        <v>1</v>
      </c>
      <c r="D684" s="357">
        <f t="shared" si="88"/>
        <v>84</v>
      </c>
      <c r="E684" s="356">
        <f t="shared" si="85"/>
        <v>949199.9330986197</v>
      </c>
      <c r="G684" s="356">
        <f t="shared" si="81"/>
        <v>6841.190809497092</v>
      </c>
      <c r="H684" s="356">
        <v>0</v>
      </c>
      <c r="I684" s="356">
        <f t="shared" si="82"/>
        <v>-956.0411239081169</v>
      </c>
      <c r="J684" s="356">
        <f t="shared" si="83"/>
        <v>955085.0827842087</v>
      </c>
      <c r="M684" s="358"/>
      <c r="N684" s="356"/>
    </row>
    <row r="685" spans="1:14" x14ac:dyDescent="0.25">
      <c r="A685" s="356">
        <f t="shared" si="84"/>
        <v>662</v>
      </c>
      <c r="B685" s="357">
        <f t="shared" si="86"/>
        <v>55</v>
      </c>
      <c r="C685" s="357">
        <f t="shared" si="87"/>
        <v>2</v>
      </c>
      <c r="D685" s="357">
        <f t="shared" si="88"/>
        <v>84</v>
      </c>
      <c r="E685" s="356">
        <f t="shared" si="85"/>
        <v>955085.0827842087</v>
      </c>
      <c r="G685" s="356">
        <f t="shared" si="81"/>
        <v>6883.6069860449925</v>
      </c>
      <c r="H685" s="356">
        <v>0</v>
      </c>
      <c r="I685" s="356">
        <f t="shared" si="82"/>
        <v>-961.9686897702537</v>
      </c>
      <c r="J685" s="356">
        <f t="shared" si="83"/>
        <v>961006.7210804835</v>
      </c>
      <c r="M685" s="358"/>
      <c r="N685" s="356"/>
    </row>
    <row r="686" spans="1:14" x14ac:dyDescent="0.25">
      <c r="A686" s="356">
        <f t="shared" si="84"/>
        <v>663</v>
      </c>
      <c r="B686" s="357">
        <f t="shared" si="86"/>
        <v>55</v>
      </c>
      <c r="C686" s="357">
        <f t="shared" si="87"/>
        <v>3</v>
      </c>
      <c r="D686" s="357">
        <f t="shared" si="88"/>
        <v>84</v>
      </c>
      <c r="E686" s="356">
        <f t="shared" si="85"/>
        <v>961006.7210804835</v>
      </c>
      <c r="G686" s="356">
        <f t="shared" si="81"/>
        <v>6926.286147807462</v>
      </c>
      <c r="H686" s="360">
        <f>-SUM(E686:G686)*$H$21</f>
        <v>-8711.39706505462</v>
      </c>
      <c r="I686" s="356">
        <f t="shared" si="82"/>
        <v>-967.933007228291</v>
      </c>
      <c r="J686" s="356">
        <f t="shared" si="83"/>
        <v>958253.6771560081</v>
      </c>
      <c r="M686" s="358"/>
      <c r="N686" s="356"/>
    </row>
    <row r="687" spans="1:14" x14ac:dyDescent="0.25">
      <c r="A687" s="356">
        <f t="shared" si="84"/>
        <v>664</v>
      </c>
      <c r="B687" s="357">
        <f t="shared" si="86"/>
        <v>55</v>
      </c>
      <c r="C687" s="357">
        <f t="shared" si="87"/>
        <v>4</v>
      </c>
      <c r="D687" s="357">
        <f t="shared" si="88"/>
        <v>84</v>
      </c>
      <c r="E687" s="356">
        <f t="shared" si="85"/>
        <v>958253.6771560081</v>
      </c>
      <c r="G687" s="356">
        <f t="shared" si="81"/>
        <v>6906.444070140242</v>
      </c>
      <c r="H687" s="356">
        <v>0</v>
      </c>
      <c r="I687" s="356">
        <f t="shared" si="82"/>
        <v>-965.1601212261484</v>
      </c>
      <c r="J687" s="356">
        <f t="shared" si="83"/>
        <v>964194.9611049222</v>
      </c>
      <c r="M687" s="358"/>
      <c r="N687" s="356"/>
    </row>
    <row r="688" spans="1:14" x14ac:dyDescent="0.25">
      <c r="A688" s="356">
        <f t="shared" si="84"/>
        <v>665</v>
      </c>
      <c r="B688" s="357">
        <f t="shared" si="86"/>
        <v>55</v>
      </c>
      <c r="C688" s="357">
        <f t="shared" si="87"/>
        <v>5</v>
      </c>
      <c r="D688" s="357">
        <f t="shared" si="88"/>
        <v>84</v>
      </c>
      <c r="E688" s="356">
        <f t="shared" si="85"/>
        <v>964194.9611049222</v>
      </c>
      <c r="G688" s="356">
        <f t="shared" si="81"/>
        <v>6949.26482447304</v>
      </c>
      <c r="H688" s="356">
        <v>0</v>
      </c>
      <c r="I688" s="356">
        <f t="shared" si="82"/>
        <v>-971.1442259293954</v>
      </c>
      <c r="J688" s="356">
        <f t="shared" si="83"/>
        <v>970173.0817034659</v>
      </c>
      <c r="M688" s="358"/>
      <c r="N688" s="356"/>
    </row>
    <row r="689" spans="1:14" x14ac:dyDescent="0.25">
      <c r="A689" s="356">
        <f t="shared" si="84"/>
        <v>666</v>
      </c>
      <c r="B689" s="357">
        <f t="shared" si="86"/>
        <v>55</v>
      </c>
      <c r="C689" s="357">
        <f t="shared" si="87"/>
        <v>6</v>
      </c>
      <c r="D689" s="357">
        <f t="shared" si="88"/>
        <v>84</v>
      </c>
      <c r="E689" s="356">
        <f t="shared" si="85"/>
        <v>970173.0817034659</v>
      </c>
      <c r="G689" s="356">
        <f t="shared" si="81"/>
        <v>6992.351072449601</v>
      </c>
      <c r="H689" s="360">
        <f>-SUM(E689:G689)*$H$21</f>
        <v>-8794.48889498324</v>
      </c>
      <c r="I689" s="356">
        <f t="shared" si="82"/>
        <v>-977.1654327759155</v>
      </c>
      <c r="J689" s="356">
        <f t="shared" si="83"/>
        <v>967393.7784481564</v>
      </c>
      <c r="M689" s="358"/>
      <c r="N689" s="356"/>
    </row>
    <row r="690" spans="1:14" x14ac:dyDescent="0.25">
      <c r="A690" s="356">
        <f t="shared" si="84"/>
        <v>667</v>
      </c>
      <c r="B690" s="357">
        <f t="shared" si="86"/>
        <v>55</v>
      </c>
      <c r="C690" s="357">
        <f t="shared" si="87"/>
        <v>7</v>
      </c>
      <c r="D690" s="357">
        <f t="shared" si="88"/>
        <v>84</v>
      </c>
      <c r="E690" s="356">
        <f t="shared" si="85"/>
        <v>967393.7784481564</v>
      </c>
      <c r="G690" s="356">
        <f t="shared" si="81"/>
        <v>6972.319735294994</v>
      </c>
      <c r="H690" s="356">
        <v>0</v>
      </c>
      <c r="I690" s="356">
        <f t="shared" si="82"/>
        <v>-974.3660981834515</v>
      </c>
      <c r="J690" s="356">
        <f t="shared" si="83"/>
        <v>973391.732085268</v>
      </c>
      <c r="M690" s="358"/>
      <c r="N690" s="356"/>
    </row>
    <row r="691" spans="1:14" x14ac:dyDescent="0.25">
      <c r="A691" s="356">
        <f t="shared" si="84"/>
        <v>668</v>
      </c>
      <c r="B691" s="357">
        <f t="shared" si="86"/>
        <v>55</v>
      </c>
      <c r="C691" s="357">
        <f t="shared" si="87"/>
        <v>8</v>
      </c>
      <c r="D691" s="357">
        <f t="shared" si="88"/>
        <v>84</v>
      </c>
      <c r="E691" s="356">
        <f t="shared" si="85"/>
        <v>973391.732085268</v>
      </c>
      <c r="G691" s="356">
        <f t="shared" si="81"/>
        <v>7015.548926392856</v>
      </c>
      <c r="H691" s="356">
        <v>0</v>
      </c>
      <c r="I691" s="356">
        <f t="shared" si="82"/>
        <v>-980.4072810116609</v>
      </c>
      <c r="J691" s="356">
        <f t="shared" si="83"/>
        <v>979426.8737306491</v>
      </c>
      <c r="M691" s="358"/>
      <c r="N691" s="356"/>
    </row>
    <row r="692" spans="1:14" x14ac:dyDescent="0.25">
      <c r="A692" s="356">
        <f t="shared" si="84"/>
        <v>669</v>
      </c>
      <c r="B692" s="357">
        <f t="shared" si="86"/>
        <v>55</v>
      </c>
      <c r="C692" s="357">
        <f t="shared" si="87"/>
        <v>9</v>
      </c>
      <c r="D692" s="357">
        <f t="shared" si="88"/>
        <v>84</v>
      </c>
      <c r="E692" s="356">
        <f t="shared" si="85"/>
        <v>979426.8737306491</v>
      </c>
      <c r="G692" s="356">
        <f t="shared" si="81"/>
        <v>7059.046143489798</v>
      </c>
      <c r="H692" s="360">
        <f>-SUM(E692:G692)*$H$21</f>
        <v>-8878.373278867251</v>
      </c>
      <c r="I692" s="356">
        <f t="shared" si="82"/>
        <v>-986.485919874139</v>
      </c>
      <c r="J692" s="356">
        <f t="shared" si="83"/>
        <v>976621.0606753975</v>
      </c>
      <c r="M692" s="358"/>
      <c r="N692" s="356"/>
    </row>
    <row r="693" spans="1:14" x14ac:dyDescent="0.25">
      <c r="A693" s="356">
        <f t="shared" si="84"/>
        <v>670</v>
      </c>
      <c r="B693" s="357">
        <f t="shared" si="86"/>
        <v>55</v>
      </c>
      <c r="C693" s="357">
        <f t="shared" si="87"/>
        <v>10</v>
      </c>
      <c r="D693" s="357">
        <f t="shared" si="88"/>
        <v>84</v>
      </c>
      <c r="E693" s="356">
        <f t="shared" si="85"/>
        <v>976621.0606753975</v>
      </c>
      <c r="G693" s="356">
        <f t="shared" si="81"/>
        <v>7038.8237416359625</v>
      </c>
      <c r="H693" s="356">
        <v>0</v>
      </c>
      <c r="I693" s="356">
        <f t="shared" si="82"/>
        <v>-983.6598844170336</v>
      </c>
      <c r="J693" s="356">
        <f t="shared" si="83"/>
        <v>982676.2245326164</v>
      </c>
      <c r="M693" s="358"/>
      <c r="N693" s="356"/>
    </row>
    <row r="694" spans="1:14" x14ac:dyDescent="0.25">
      <c r="A694" s="356">
        <f t="shared" si="84"/>
        <v>671</v>
      </c>
      <c r="B694" s="357">
        <f t="shared" si="86"/>
        <v>55</v>
      </c>
      <c r="C694" s="357">
        <f t="shared" si="87"/>
        <v>11</v>
      </c>
      <c r="D694" s="357">
        <f t="shared" si="88"/>
        <v>84</v>
      </c>
      <c r="E694" s="356">
        <f t="shared" si="85"/>
        <v>982676.2245326164</v>
      </c>
      <c r="G694" s="356">
        <f t="shared" si="81"/>
        <v>7082.465265287125</v>
      </c>
      <c r="H694" s="356">
        <v>0</v>
      </c>
      <c r="I694" s="356">
        <f t="shared" si="82"/>
        <v>-989.7586897979036</v>
      </c>
      <c r="J694" s="356">
        <f t="shared" si="83"/>
        <v>988768.9311081056</v>
      </c>
      <c r="M694" s="358"/>
      <c r="N694" s="356"/>
    </row>
    <row r="695" spans="1:14" x14ac:dyDescent="0.25">
      <c r="A695" s="356">
        <f t="shared" si="84"/>
        <v>672</v>
      </c>
      <c r="B695" s="357">
        <f t="shared" si="86"/>
        <v>55</v>
      </c>
      <c r="C695" s="357">
        <f t="shared" si="87"/>
        <v>12</v>
      </c>
      <c r="D695" s="357">
        <f t="shared" si="88"/>
        <v>84</v>
      </c>
      <c r="E695" s="356">
        <f t="shared" si="85"/>
        <v>988768.9311081056</v>
      </c>
      <c r="G695" s="356">
        <f t="shared" si="81"/>
        <v>7126.377371447027</v>
      </c>
      <c r="H695" s="360">
        <f>-SUM(E695:G695)*$H$21</f>
        <v>-8963.057776315974</v>
      </c>
      <c r="I695" s="356">
        <f t="shared" si="82"/>
        <v>-995.8953084795527</v>
      </c>
      <c r="J695" s="356">
        <f t="shared" si="83"/>
        <v>985936.3553947571</v>
      </c>
      <c r="M695" s="358"/>
      <c r="N695" s="356"/>
    </row>
    <row r="696" spans="1:14" x14ac:dyDescent="0.25">
      <c r="A696" s="356">
        <f t="shared" si="84"/>
        <v>673</v>
      </c>
      <c r="B696" s="357">
        <f t="shared" si="86"/>
        <v>56</v>
      </c>
      <c r="C696" s="357">
        <f t="shared" si="87"/>
        <v>1</v>
      </c>
      <c r="D696" s="357">
        <f t="shared" si="88"/>
        <v>85</v>
      </c>
      <c r="E696" s="356">
        <f t="shared" si="85"/>
        <v>985936.3553947571</v>
      </c>
      <c r="G696" s="356">
        <f t="shared" si="81"/>
        <v>7105.9620824634885</v>
      </c>
      <c r="H696" s="356">
        <v>0</v>
      </c>
      <c r="I696" s="356">
        <f t="shared" si="82"/>
        <v>-993.0423174772205</v>
      </c>
      <c r="J696" s="356">
        <f t="shared" si="83"/>
        <v>992049.2751597434</v>
      </c>
      <c r="M696" s="358"/>
      <c r="N696" s="356"/>
    </row>
    <row r="697" spans="1:14" x14ac:dyDescent="0.25">
      <c r="A697" s="356">
        <f t="shared" si="84"/>
        <v>674</v>
      </c>
      <c r="B697" s="357">
        <f t="shared" si="86"/>
        <v>56</v>
      </c>
      <c r="C697" s="357">
        <f t="shared" si="87"/>
        <v>2</v>
      </c>
      <c r="D697" s="357">
        <f t="shared" si="88"/>
        <v>85</v>
      </c>
      <c r="E697" s="356">
        <f t="shared" si="85"/>
        <v>992049.2751597434</v>
      </c>
      <c r="G697" s="356">
        <f t="shared" si="81"/>
        <v>7150.019871615346</v>
      </c>
      <c r="H697" s="356">
        <v>0</v>
      </c>
      <c r="I697" s="356">
        <f t="shared" si="82"/>
        <v>-999.1992950313587</v>
      </c>
      <c r="J697" s="356">
        <f t="shared" si="83"/>
        <v>998200.0957363273</v>
      </c>
      <c r="M697" s="358"/>
      <c r="N697" s="356"/>
    </row>
    <row r="698" spans="1:14" x14ac:dyDescent="0.25">
      <c r="A698" s="356">
        <f t="shared" si="84"/>
        <v>675</v>
      </c>
      <c r="B698" s="357">
        <f t="shared" si="86"/>
        <v>56</v>
      </c>
      <c r="C698" s="357">
        <f t="shared" si="87"/>
        <v>3</v>
      </c>
      <c r="D698" s="357">
        <f t="shared" si="88"/>
        <v>85</v>
      </c>
      <c r="E698" s="356">
        <f t="shared" si="85"/>
        <v>998200.0957363273</v>
      </c>
      <c r="G698" s="356">
        <f t="shared" si="81"/>
        <v>7194.350824170334</v>
      </c>
      <c r="H698" s="360">
        <f>-SUM(E698:G698)*$H$21</f>
        <v>-9048.55001904448</v>
      </c>
      <c r="I698" s="356">
        <f t="shared" si="82"/>
        <v>-1005.3944465604976</v>
      </c>
      <c r="J698" s="356">
        <f t="shared" si="83"/>
        <v>995340.5020948927</v>
      </c>
      <c r="M698" s="358"/>
      <c r="N698" s="356"/>
    </row>
    <row r="699" spans="1:14" x14ac:dyDescent="0.25">
      <c r="A699" s="356">
        <f t="shared" si="84"/>
        <v>676</v>
      </c>
      <c r="B699" s="357">
        <f t="shared" si="86"/>
        <v>56</v>
      </c>
      <c r="C699" s="357">
        <f t="shared" si="87"/>
        <v>4</v>
      </c>
      <c r="D699" s="357">
        <f t="shared" si="88"/>
        <v>85</v>
      </c>
      <c r="E699" s="356">
        <f t="shared" si="85"/>
        <v>995340.5020948927</v>
      </c>
      <c r="G699" s="356">
        <f t="shared" si="81"/>
        <v>7173.740808243745</v>
      </c>
      <c r="H699" s="356">
        <v>0</v>
      </c>
      <c r="I699" s="356">
        <f t="shared" si="82"/>
        <v>-1002.5142429031364</v>
      </c>
      <c r="J699" s="356">
        <f t="shared" si="83"/>
        <v>1001511.7286602333</v>
      </c>
      <c r="M699" s="358"/>
      <c r="N699" s="356"/>
    </row>
    <row r="700" spans="1:14" x14ac:dyDescent="0.25">
      <c r="A700" s="356">
        <f t="shared" si="84"/>
        <v>677</v>
      </c>
      <c r="B700" s="357">
        <f t="shared" si="86"/>
        <v>56</v>
      </c>
      <c r="C700" s="357">
        <f t="shared" si="87"/>
        <v>5</v>
      </c>
      <c r="D700" s="357">
        <f t="shared" si="88"/>
        <v>85</v>
      </c>
      <c r="E700" s="356">
        <f t="shared" si="85"/>
        <v>1001511.7286602333</v>
      </c>
      <c r="G700" s="356">
        <f t="shared" si="81"/>
        <v>7218.218833357288</v>
      </c>
      <c r="H700" s="356">
        <v>0</v>
      </c>
      <c r="I700" s="356">
        <f t="shared" si="82"/>
        <v>-1008.7299474935907</v>
      </c>
      <c r="J700" s="356">
        <f t="shared" si="83"/>
        <v>1007721.217546097</v>
      </c>
      <c r="M700" s="358"/>
      <c r="N700" s="356"/>
    </row>
    <row r="701" spans="1:14" x14ac:dyDescent="0.25">
      <c r="A701" s="356">
        <f t="shared" si="84"/>
        <v>678</v>
      </c>
      <c r="B701" s="357">
        <f t="shared" si="86"/>
        <v>56</v>
      </c>
      <c r="C701" s="357">
        <f t="shared" si="87"/>
        <v>6</v>
      </c>
      <c r="D701" s="357">
        <f t="shared" si="88"/>
        <v>85</v>
      </c>
      <c r="E701" s="356">
        <f t="shared" si="85"/>
        <v>1007721.217546097</v>
      </c>
      <c r="G701" s="356">
        <f t="shared" si="81"/>
        <v>7262.972627385664</v>
      </c>
      <c r="H701" s="360">
        <f>-SUM(E701:G701)*$H$21</f>
        <v>-9134.857711561344</v>
      </c>
      <c r="I701" s="356">
        <f t="shared" si="82"/>
        <v>-1014.9841901734827</v>
      </c>
      <c r="J701" s="356">
        <f t="shared" si="83"/>
        <v>1004834.3482717478</v>
      </c>
      <c r="M701" s="358"/>
      <c r="N701" s="356"/>
    </row>
    <row r="702" spans="1:14" x14ac:dyDescent="0.25">
      <c r="A702" s="356">
        <f t="shared" si="84"/>
        <v>679</v>
      </c>
      <c r="B702" s="357">
        <f t="shared" si="86"/>
        <v>56</v>
      </c>
      <c r="C702" s="357">
        <f t="shared" si="87"/>
        <v>7</v>
      </c>
      <c r="D702" s="357">
        <f t="shared" si="88"/>
        <v>85</v>
      </c>
      <c r="E702" s="356">
        <f t="shared" si="85"/>
        <v>1004834.3482717478</v>
      </c>
      <c r="G702" s="356">
        <f t="shared" si="81"/>
        <v>7242.166027154009</v>
      </c>
      <c r="H702" s="356">
        <v>0</v>
      </c>
      <c r="I702" s="356">
        <f t="shared" si="82"/>
        <v>-1012.0765142989018</v>
      </c>
      <c r="J702" s="356">
        <f t="shared" si="83"/>
        <v>1011064.4377846029</v>
      </c>
      <c r="M702" s="358"/>
      <c r="N702" s="356"/>
    </row>
    <row r="703" spans="1:14" x14ac:dyDescent="0.25">
      <c r="A703" s="356">
        <f t="shared" si="84"/>
        <v>680</v>
      </c>
      <c r="B703" s="357">
        <f t="shared" si="86"/>
        <v>56</v>
      </c>
      <c r="C703" s="357">
        <f t="shared" si="87"/>
        <v>8</v>
      </c>
      <c r="D703" s="357">
        <f t="shared" si="88"/>
        <v>85</v>
      </c>
      <c r="E703" s="356">
        <f t="shared" si="85"/>
        <v>1011064.4377846029</v>
      </c>
      <c r="G703" s="356">
        <f t="shared" si="81"/>
        <v>7287.068296561628</v>
      </c>
      <c r="H703" s="356">
        <v>0</v>
      </c>
      <c r="I703" s="356">
        <f t="shared" si="82"/>
        <v>-1018.3515060811645</v>
      </c>
      <c r="J703" s="356">
        <f t="shared" si="83"/>
        <v>1017333.1545750833</v>
      </c>
      <c r="M703" s="358"/>
      <c r="N703" s="356"/>
    </row>
    <row r="704" spans="1:14" x14ac:dyDescent="0.25">
      <c r="A704" s="356">
        <f t="shared" si="84"/>
        <v>681</v>
      </c>
      <c r="B704" s="357">
        <f t="shared" si="86"/>
        <v>56</v>
      </c>
      <c r="C704" s="357">
        <f t="shared" si="87"/>
        <v>9</v>
      </c>
      <c r="D704" s="357">
        <f t="shared" si="88"/>
        <v>85</v>
      </c>
      <c r="E704" s="356">
        <f t="shared" si="85"/>
        <v>1017333.1545750833</v>
      </c>
      <c r="G704" s="356">
        <f t="shared" si="81"/>
        <v>7332.248965247915</v>
      </c>
      <c r="H704" s="360">
        <f>-SUM(E704:G704)*$H$21</f>
        <v>-9221.988631862981</v>
      </c>
      <c r="I704" s="356">
        <f t="shared" si="82"/>
        <v>-1024.6654035403312</v>
      </c>
      <c r="J704" s="356">
        <f t="shared" si="83"/>
        <v>1014418.7495049278</v>
      </c>
      <c r="M704" s="358"/>
      <c r="N704" s="356"/>
    </row>
    <row r="705" spans="1:14" x14ac:dyDescent="0.25">
      <c r="A705" s="356">
        <f t="shared" si="84"/>
        <v>682</v>
      </c>
      <c r="B705" s="357">
        <f t="shared" si="86"/>
        <v>56</v>
      </c>
      <c r="C705" s="357">
        <f t="shared" si="87"/>
        <v>10</v>
      </c>
      <c r="D705" s="357">
        <f t="shared" si="88"/>
        <v>85</v>
      </c>
      <c r="E705" s="356">
        <f t="shared" si="85"/>
        <v>1014418.7495049278</v>
      </c>
      <c r="G705" s="356">
        <f t="shared" si="81"/>
        <v>7311.243905633116</v>
      </c>
      <c r="H705" s="356">
        <v>0</v>
      </c>
      <c r="I705" s="356">
        <f t="shared" si="82"/>
        <v>-1021.729993410561</v>
      </c>
      <c r="J705" s="356">
        <f t="shared" si="83"/>
        <v>1020708.2634171504</v>
      </c>
      <c r="M705" s="358"/>
      <c r="N705" s="356"/>
    </row>
    <row r="706" spans="1:14" x14ac:dyDescent="0.25">
      <c r="A706" s="356">
        <f t="shared" si="84"/>
        <v>683</v>
      </c>
      <c r="B706" s="357">
        <f t="shared" si="86"/>
        <v>56</v>
      </c>
      <c r="C706" s="357">
        <f t="shared" si="87"/>
        <v>11</v>
      </c>
      <c r="D706" s="357">
        <f t="shared" si="88"/>
        <v>85</v>
      </c>
      <c r="E706" s="356">
        <f t="shared" si="85"/>
        <v>1020708.2634171504</v>
      </c>
      <c r="G706" s="356">
        <f t="shared" si="81"/>
        <v>7356.574465899845</v>
      </c>
      <c r="H706" s="356">
        <v>0</v>
      </c>
      <c r="I706" s="356">
        <f t="shared" si="82"/>
        <v>-1028.0648378830501</v>
      </c>
      <c r="J706" s="356">
        <f t="shared" si="83"/>
        <v>1027036.7730451672</v>
      </c>
      <c r="M706" s="358"/>
      <c r="N706" s="356"/>
    </row>
    <row r="707" spans="1:14" x14ac:dyDescent="0.25">
      <c r="A707" s="356">
        <f t="shared" si="84"/>
        <v>684</v>
      </c>
      <c r="B707" s="357">
        <f t="shared" si="86"/>
        <v>56</v>
      </c>
      <c r="C707" s="357">
        <f t="shared" si="87"/>
        <v>12</v>
      </c>
      <c r="D707" s="357">
        <f t="shared" si="88"/>
        <v>85</v>
      </c>
      <c r="E707" s="356">
        <f t="shared" si="85"/>
        <v>1027036.7730451672</v>
      </c>
      <c r="G707" s="356">
        <f t="shared" si="81"/>
        <v>7402.186080898246</v>
      </c>
      <c r="H707" s="360">
        <f>-SUM(E707:G707)*$H$21</f>
        <v>-9309.95063213459</v>
      </c>
      <c r="I707" s="356">
        <f t="shared" si="82"/>
        <v>-1034.4389591260656</v>
      </c>
      <c r="J707" s="356">
        <f t="shared" si="83"/>
        <v>1024094.5695348049</v>
      </c>
      <c r="M707" s="358"/>
      <c r="N707" s="356"/>
    </row>
    <row r="708" spans="1:14" x14ac:dyDescent="0.25">
      <c r="A708" s="356">
        <f t="shared" si="84"/>
        <v>685</v>
      </c>
      <c r="B708" s="357">
        <f t="shared" si="86"/>
        <v>57</v>
      </c>
      <c r="C708" s="357">
        <f t="shared" si="87"/>
        <v>1</v>
      </c>
      <c r="D708" s="357">
        <f t="shared" si="88"/>
        <v>86</v>
      </c>
      <c r="E708" s="356">
        <f t="shared" si="85"/>
        <v>1024094.5695348049</v>
      </c>
      <c r="G708" s="356">
        <f t="shared" si="81"/>
        <v>7380.980668937193</v>
      </c>
      <c r="H708" s="356">
        <v>0</v>
      </c>
      <c r="I708" s="356">
        <f t="shared" si="82"/>
        <v>-1031.4755502037422</v>
      </c>
      <c r="J708" s="356">
        <f t="shared" si="83"/>
        <v>1030444.0746535384</v>
      </c>
      <c r="M708" s="358"/>
      <c r="N708" s="356"/>
    </row>
    <row r="709" spans="1:14" x14ac:dyDescent="0.25">
      <c r="A709" s="356">
        <f t="shared" si="84"/>
        <v>686</v>
      </c>
      <c r="B709" s="357">
        <f t="shared" si="86"/>
        <v>57</v>
      </c>
      <c r="C709" s="357">
        <f t="shared" si="87"/>
        <v>2</v>
      </c>
      <c r="D709" s="357">
        <f t="shared" si="88"/>
        <v>86</v>
      </c>
      <c r="E709" s="356">
        <f t="shared" si="85"/>
        <v>1030444.0746535384</v>
      </c>
      <c r="G709" s="356">
        <f t="shared" si="81"/>
        <v>7426.74360522537</v>
      </c>
      <c r="H709" s="356">
        <v>0</v>
      </c>
      <c r="I709" s="356">
        <f t="shared" si="82"/>
        <v>-1037.8708182587638</v>
      </c>
      <c r="J709" s="356">
        <f t="shared" si="83"/>
        <v>1036832.947440505</v>
      </c>
      <c r="M709" s="358"/>
      <c r="N709" s="356"/>
    </row>
    <row r="710" spans="1:14" x14ac:dyDescent="0.25">
      <c r="A710" s="356">
        <f t="shared" si="84"/>
        <v>687</v>
      </c>
      <c r="B710" s="357">
        <f t="shared" si="86"/>
        <v>57</v>
      </c>
      <c r="C710" s="357">
        <f t="shared" si="87"/>
        <v>3</v>
      </c>
      <c r="D710" s="357">
        <f t="shared" si="88"/>
        <v>86</v>
      </c>
      <c r="E710" s="356">
        <f t="shared" si="85"/>
        <v>1036832.947440505</v>
      </c>
      <c r="G710" s="356">
        <f t="shared" si="81"/>
        <v>7472.790277026706</v>
      </c>
      <c r="H710" s="360">
        <f>-SUM(E710:G710)*$H$21</f>
        <v>-9398.751639457787</v>
      </c>
      <c r="I710" s="356">
        <f t="shared" si="82"/>
        <v>-1044.3057377175317</v>
      </c>
      <c r="J710" s="356">
        <f t="shared" si="83"/>
        <v>1033862.6803403564</v>
      </c>
      <c r="M710" s="358"/>
      <c r="N710" s="356"/>
    </row>
    <row r="711" spans="1:14" x14ac:dyDescent="0.25">
      <c r="A711" s="356">
        <f t="shared" si="84"/>
        <v>688</v>
      </c>
      <c r="B711" s="357">
        <f t="shared" si="86"/>
        <v>57</v>
      </c>
      <c r="C711" s="357">
        <f t="shared" si="87"/>
        <v>4</v>
      </c>
      <c r="D711" s="357">
        <f t="shared" si="88"/>
        <v>86</v>
      </c>
      <c r="E711" s="356">
        <f t="shared" si="85"/>
        <v>1033862.6803403564</v>
      </c>
      <c r="G711" s="356">
        <f t="shared" si="81"/>
        <v>7451.38260170065</v>
      </c>
      <c r="H711" s="356">
        <v>0</v>
      </c>
      <c r="I711" s="356">
        <f t="shared" si="82"/>
        <v>-1041.314062942057</v>
      </c>
      <c r="J711" s="356">
        <f t="shared" si="83"/>
        <v>1040272.748879115</v>
      </c>
      <c r="M711" s="358"/>
      <c r="N711" s="356"/>
    </row>
    <row r="712" spans="1:14" x14ac:dyDescent="0.25">
      <c r="A712" s="356">
        <f t="shared" si="84"/>
        <v>689</v>
      </c>
      <c r="B712" s="357">
        <f t="shared" si="86"/>
        <v>57</v>
      </c>
      <c r="C712" s="357">
        <f t="shared" si="87"/>
        <v>5</v>
      </c>
      <c r="D712" s="357">
        <f t="shared" si="88"/>
        <v>86</v>
      </c>
      <c r="E712" s="356">
        <f t="shared" si="85"/>
        <v>1040272.748879115</v>
      </c>
      <c r="G712" s="356">
        <f t="shared" si="81"/>
        <v>7497.58203813808</v>
      </c>
      <c r="H712" s="356">
        <v>0</v>
      </c>
      <c r="I712" s="356">
        <f t="shared" si="82"/>
        <v>-1047.770330917253</v>
      </c>
      <c r="J712" s="356">
        <f t="shared" si="83"/>
        <v>1046722.5605863358</v>
      </c>
      <c r="M712" s="358"/>
      <c r="N712" s="356"/>
    </row>
    <row r="713" spans="1:14" x14ac:dyDescent="0.25">
      <c r="A713" s="356">
        <f t="shared" si="84"/>
        <v>690</v>
      </c>
      <c r="B713" s="357">
        <f t="shared" si="86"/>
        <v>57</v>
      </c>
      <c r="C713" s="357">
        <f t="shared" si="87"/>
        <v>6</v>
      </c>
      <c r="D713" s="357">
        <f t="shared" si="88"/>
        <v>86</v>
      </c>
      <c r="E713" s="356">
        <f t="shared" si="85"/>
        <v>1046722.5605863358</v>
      </c>
      <c r="G713" s="356">
        <f t="shared" si="81"/>
        <v>7544.0679164402245</v>
      </c>
      <c r="H713" s="360">
        <f>-SUM(E713:G713)*$H$21</f>
        <v>-9488.399656524987</v>
      </c>
      <c r="I713" s="356">
        <f t="shared" si="82"/>
        <v>-1054.2666285027763</v>
      </c>
      <c r="J713" s="356">
        <f t="shared" si="83"/>
        <v>1043723.9622177484</v>
      </c>
      <c r="M713" s="358"/>
      <c r="N713" s="356"/>
    </row>
    <row r="714" spans="1:14" x14ac:dyDescent="0.25">
      <c r="A714" s="356">
        <f t="shared" si="84"/>
        <v>691</v>
      </c>
      <c r="B714" s="357">
        <f t="shared" si="86"/>
        <v>57</v>
      </c>
      <c r="C714" s="357">
        <f t="shared" si="87"/>
        <v>7</v>
      </c>
      <c r="D714" s="357">
        <f t="shared" si="88"/>
        <v>86</v>
      </c>
      <c r="E714" s="356">
        <f t="shared" si="85"/>
        <v>1043723.9622177484</v>
      </c>
      <c r="G714" s="356">
        <f t="shared" si="81"/>
        <v>7522.456048502574</v>
      </c>
      <c r="H714" s="356">
        <v>0</v>
      </c>
      <c r="I714" s="356">
        <f t="shared" si="82"/>
        <v>-1051.246418266251</v>
      </c>
      <c r="J714" s="356">
        <f t="shared" si="83"/>
        <v>1050195.1718479847</v>
      </c>
      <c r="M714" s="358"/>
      <c r="N714" s="356"/>
    </row>
    <row r="715" spans="1:14" x14ac:dyDescent="0.25">
      <c r="A715" s="356">
        <f t="shared" si="84"/>
        <v>692</v>
      </c>
      <c r="B715" s="357">
        <f t="shared" si="86"/>
        <v>57</v>
      </c>
      <c r="C715" s="357">
        <f t="shared" si="87"/>
        <v>8</v>
      </c>
      <c r="D715" s="357">
        <f t="shared" si="88"/>
        <v>86</v>
      </c>
      <c r="E715" s="356">
        <f t="shared" si="85"/>
        <v>1050195.1718479847</v>
      </c>
      <c r="G715" s="356">
        <f t="shared" si="81"/>
        <v>7569.096148554185</v>
      </c>
      <c r="H715" s="356">
        <v>0</v>
      </c>
      <c r="I715" s="356">
        <f t="shared" si="82"/>
        <v>-1057.7642679965388</v>
      </c>
      <c r="J715" s="356">
        <f t="shared" si="83"/>
        <v>1056706.5037285422</v>
      </c>
      <c r="M715" s="358"/>
      <c r="N715" s="356"/>
    </row>
    <row r="716" spans="1:14" x14ac:dyDescent="0.25">
      <c r="A716" s="356">
        <f t="shared" si="84"/>
        <v>693</v>
      </c>
      <c r="B716" s="357">
        <f t="shared" si="86"/>
        <v>57</v>
      </c>
      <c r="C716" s="357">
        <f t="shared" si="87"/>
        <v>9</v>
      </c>
      <c r="D716" s="357">
        <f t="shared" si="88"/>
        <v>86</v>
      </c>
      <c r="E716" s="356">
        <f t="shared" si="85"/>
        <v>1056706.5037285422</v>
      </c>
      <c r="G716" s="356">
        <f t="shared" si="81"/>
        <v>7616.025422636032</v>
      </c>
      <c r="H716" s="360">
        <f>-SUM(E716:G716)*$H$21</f>
        <v>-9578.902762360605</v>
      </c>
      <c r="I716" s="356">
        <f t="shared" si="82"/>
        <v>-1064.3225291511783</v>
      </c>
      <c r="J716" s="356">
        <f t="shared" si="83"/>
        <v>1053679.3038596665</v>
      </c>
      <c r="M716" s="358"/>
      <c r="N716" s="356"/>
    </row>
    <row r="717" spans="1:14" x14ac:dyDescent="0.25">
      <c r="A717" s="356">
        <f t="shared" si="84"/>
        <v>694</v>
      </c>
      <c r="B717" s="357">
        <f t="shared" si="86"/>
        <v>57</v>
      </c>
      <c r="C717" s="357">
        <f t="shared" si="87"/>
        <v>10</v>
      </c>
      <c r="D717" s="357">
        <f t="shared" si="88"/>
        <v>86</v>
      </c>
      <c r="E717" s="356">
        <f t="shared" si="85"/>
        <v>1053679.3038596665</v>
      </c>
      <c r="G717" s="356">
        <f t="shared" si="81"/>
        <v>7594.207414438477</v>
      </c>
      <c r="H717" s="356">
        <v>0</v>
      </c>
      <c r="I717" s="356">
        <f t="shared" si="82"/>
        <v>-1061.273511274105</v>
      </c>
      <c r="J717" s="356">
        <f t="shared" si="83"/>
        <v>1060212.237762831</v>
      </c>
      <c r="M717" s="358"/>
      <c r="N717" s="356"/>
    </row>
    <row r="718" spans="1:14" x14ac:dyDescent="0.25">
      <c r="A718" s="356">
        <f t="shared" si="84"/>
        <v>695</v>
      </c>
      <c r="B718" s="357">
        <f t="shared" si="86"/>
        <v>57</v>
      </c>
      <c r="C718" s="357">
        <f t="shared" si="87"/>
        <v>11</v>
      </c>
      <c r="D718" s="357">
        <f t="shared" si="88"/>
        <v>86</v>
      </c>
      <c r="E718" s="356">
        <f t="shared" si="85"/>
        <v>1060212.237762831</v>
      </c>
      <c r="G718" s="356">
        <f t="shared" si="81"/>
        <v>7641.292381281534</v>
      </c>
      <c r="H718" s="356">
        <v>0</v>
      </c>
      <c r="I718" s="356">
        <f t="shared" si="82"/>
        <v>-1067.8535301441125</v>
      </c>
      <c r="J718" s="356">
        <f t="shared" si="83"/>
        <v>1066785.6766139683</v>
      </c>
      <c r="M718" s="358"/>
      <c r="N718" s="356"/>
    </row>
    <row r="719" spans="1:14" x14ac:dyDescent="0.25">
      <c r="A719" s="356">
        <f t="shared" si="84"/>
        <v>696</v>
      </c>
      <c r="B719" s="357">
        <f t="shared" si="86"/>
        <v>57</v>
      </c>
      <c r="C719" s="357">
        <f t="shared" si="87"/>
        <v>12</v>
      </c>
      <c r="D719" s="357">
        <f t="shared" si="88"/>
        <v>86</v>
      </c>
      <c r="E719" s="356">
        <f t="shared" si="85"/>
        <v>1066785.6766139683</v>
      </c>
      <c r="G719" s="356">
        <f t="shared" si="81"/>
        <v>7688.669280380536</v>
      </c>
      <c r="H719" s="360">
        <f>-SUM(E719:G719)*$H$21</f>
        <v>-9670.26911304914</v>
      </c>
      <c r="I719" s="356">
        <f t="shared" si="82"/>
        <v>-1074.4743458943487</v>
      </c>
      <c r="J719" s="356">
        <f t="shared" si="83"/>
        <v>1063729.6024354054</v>
      </c>
      <c r="M719" s="358"/>
      <c r="N719" s="356"/>
    </row>
    <row r="720" spans="1:14" x14ac:dyDescent="0.25">
      <c r="A720" s="356">
        <f t="shared" si="84"/>
        <v>697</v>
      </c>
      <c r="B720" s="357">
        <f t="shared" si="86"/>
        <v>58</v>
      </c>
      <c r="C720" s="357">
        <f t="shared" si="87"/>
        <v>1</v>
      </c>
      <c r="D720" s="357">
        <f t="shared" si="88"/>
        <v>87</v>
      </c>
      <c r="E720" s="356">
        <f t="shared" si="85"/>
        <v>1063729.6024354054</v>
      </c>
      <c r="G720" s="356">
        <f t="shared" si="81"/>
        <v>7666.643165697536</v>
      </c>
      <c r="H720" s="356">
        <v>0</v>
      </c>
      <c r="I720" s="356">
        <f t="shared" si="82"/>
        <v>-1071.396245601103</v>
      </c>
      <c r="J720" s="356">
        <f t="shared" si="83"/>
        <v>1070324.8493555018</v>
      </c>
      <c r="M720" s="358"/>
      <c r="N720" s="356"/>
    </row>
    <row r="721" spans="1:14" x14ac:dyDescent="0.25">
      <c r="A721" s="356">
        <f t="shared" si="84"/>
        <v>698</v>
      </c>
      <c r="B721" s="357">
        <f t="shared" si="86"/>
        <v>58</v>
      </c>
      <c r="C721" s="357">
        <f t="shared" si="87"/>
        <v>2</v>
      </c>
      <c r="D721" s="357">
        <f t="shared" si="88"/>
        <v>87</v>
      </c>
      <c r="E721" s="356">
        <f t="shared" si="85"/>
        <v>1070324.8493555018</v>
      </c>
      <c r="G721" s="356">
        <f t="shared" si="81"/>
        <v>7714.177242600426</v>
      </c>
      <c r="H721" s="356">
        <v>0</v>
      </c>
      <c r="I721" s="356">
        <f t="shared" si="82"/>
        <v>-1078.0390265981023</v>
      </c>
      <c r="J721" s="356">
        <f t="shared" si="83"/>
        <v>1076960.987571504</v>
      </c>
      <c r="M721" s="358"/>
      <c r="N721" s="356"/>
    </row>
    <row r="722" spans="1:14" x14ac:dyDescent="0.25">
      <c r="A722" s="356">
        <f t="shared" si="84"/>
        <v>699</v>
      </c>
      <c r="B722" s="357">
        <f t="shared" si="86"/>
        <v>58</v>
      </c>
      <c r="C722" s="357">
        <f t="shared" si="87"/>
        <v>3</v>
      </c>
      <c r="D722" s="357">
        <f t="shared" si="88"/>
        <v>87</v>
      </c>
      <c r="E722" s="356">
        <f t="shared" si="85"/>
        <v>1076960.987571504</v>
      </c>
      <c r="G722" s="356">
        <f t="shared" si="81"/>
        <v>7762.006036293724</v>
      </c>
      <c r="H722" s="360">
        <f>-SUM(E722:G722)*$H$21</f>
        <v>-9762.50694247018</v>
      </c>
      <c r="I722" s="356">
        <f t="shared" si="82"/>
        <v>-1084.7229936077977</v>
      </c>
      <c r="J722" s="356">
        <f t="shared" si="83"/>
        <v>1073875.7636717197</v>
      </c>
      <c r="M722" s="358"/>
      <c r="N722" s="356"/>
    </row>
    <row r="723" spans="1:14" x14ac:dyDescent="0.25">
      <c r="A723" s="356">
        <f t="shared" si="84"/>
        <v>700</v>
      </c>
      <c r="B723" s="357">
        <f t="shared" si="86"/>
        <v>58</v>
      </c>
      <c r="C723" s="357">
        <f t="shared" si="87"/>
        <v>4</v>
      </c>
      <c r="D723" s="357">
        <f t="shared" si="88"/>
        <v>87</v>
      </c>
      <c r="E723" s="356">
        <f t="shared" si="85"/>
        <v>1073875.7636717197</v>
      </c>
      <c r="G723" s="356">
        <f t="shared" si="81"/>
        <v>7739.7698301453065</v>
      </c>
      <c r="H723" s="356">
        <v>0</v>
      </c>
      <c r="I723" s="356">
        <f t="shared" si="82"/>
        <v>-1081.6155335018652</v>
      </c>
      <c r="J723" s="356">
        <f t="shared" si="83"/>
        <v>1080533.9179683633</v>
      </c>
      <c r="M723" s="358"/>
      <c r="N723" s="356"/>
    </row>
    <row r="724" spans="1:14" x14ac:dyDescent="0.25">
      <c r="A724" s="356">
        <f t="shared" si="84"/>
        <v>701</v>
      </c>
      <c r="B724" s="357">
        <f t="shared" si="86"/>
        <v>58</v>
      </c>
      <c r="C724" s="357">
        <f t="shared" si="87"/>
        <v>5</v>
      </c>
      <c r="D724" s="357">
        <f t="shared" si="88"/>
        <v>87</v>
      </c>
      <c r="E724" s="356">
        <f t="shared" si="85"/>
        <v>1080533.9179683633</v>
      </c>
      <c r="G724" s="356">
        <f t="shared" si="81"/>
        <v>7787.757300849942</v>
      </c>
      <c r="H724" s="356">
        <v>0</v>
      </c>
      <c r="I724" s="356">
        <f t="shared" si="82"/>
        <v>-1088.3216752692133</v>
      </c>
      <c r="J724" s="356">
        <f t="shared" si="83"/>
        <v>1087233.353593944</v>
      </c>
      <c r="M724" s="358"/>
      <c r="N724" s="356"/>
    </row>
    <row r="725" spans="1:14" x14ac:dyDescent="0.25">
      <c r="A725" s="356">
        <f t="shared" si="84"/>
        <v>702</v>
      </c>
      <c r="B725" s="357">
        <f t="shared" si="86"/>
        <v>58</v>
      </c>
      <c r="C725" s="357">
        <f t="shared" si="87"/>
        <v>6</v>
      </c>
      <c r="D725" s="357">
        <f t="shared" si="88"/>
        <v>87</v>
      </c>
      <c r="E725" s="356">
        <f t="shared" si="85"/>
        <v>1087233.353593944</v>
      </c>
      <c r="G725" s="356">
        <f t="shared" si="81"/>
        <v>7836.042299439147</v>
      </c>
      <c r="H725" s="360">
        <f>-SUM(E725:G725)*$H$21</f>
        <v>-9855.62456304045</v>
      </c>
      <c r="I725" s="356">
        <f t="shared" si="82"/>
        <v>-1095.0693958933832</v>
      </c>
      <c r="J725" s="356">
        <f t="shared" si="83"/>
        <v>1084118.7019344494</v>
      </c>
      <c r="M725" s="358"/>
      <c r="N725" s="356"/>
    </row>
    <row r="726" spans="1:14" x14ac:dyDescent="0.25">
      <c r="A726" s="356">
        <f t="shared" si="84"/>
        <v>703</v>
      </c>
      <c r="B726" s="357">
        <f t="shared" si="86"/>
        <v>58</v>
      </c>
      <c r="C726" s="357">
        <f t="shared" si="87"/>
        <v>7</v>
      </c>
      <c r="D726" s="357">
        <f t="shared" si="88"/>
        <v>87</v>
      </c>
      <c r="E726" s="356">
        <f t="shared" si="85"/>
        <v>1084118.7019344494</v>
      </c>
      <c r="G726" s="356">
        <f t="shared" si="81"/>
        <v>7813.593997912028</v>
      </c>
      <c r="H726" s="356">
        <v>0</v>
      </c>
      <c r="I726" s="356">
        <f t="shared" si="82"/>
        <v>-1091.9322959323615</v>
      </c>
      <c r="J726" s="356">
        <f t="shared" si="83"/>
        <v>1090840.363636429</v>
      </c>
      <c r="M726" s="358"/>
      <c r="N726" s="356"/>
    </row>
    <row r="727" spans="1:14" x14ac:dyDescent="0.25">
      <c r="A727" s="356">
        <f t="shared" si="84"/>
        <v>704</v>
      </c>
      <c r="B727" s="357">
        <f t="shared" si="86"/>
        <v>58</v>
      </c>
      <c r="C727" s="357">
        <f t="shared" si="87"/>
        <v>8</v>
      </c>
      <c r="D727" s="357">
        <f t="shared" si="88"/>
        <v>87</v>
      </c>
      <c r="E727" s="356">
        <f t="shared" si="85"/>
        <v>1090840.363636429</v>
      </c>
      <c r="G727" s="356">
        <f t="shared" si="81"/>
        <v>7862.039187019888</v>
      </c>
      <c r="H727" s="356">
        <v>0</v>
      </c>
      <c r="I727" s="356">
        <f t="shared" si="82"/>
        <v>-1098.702402823449</v>
      </c>
      <c r="J727" s="356">
        <f t="shared" si="83"/>
        <v>1097603.7004206255</v>
      </c>
      <c r="M727" s="358"/>
      <c r="N727" s="356"/>
    </row>
    <row r="728" spans="1:14" x14ac:dyDescent="0.25">
      <c r="A728" s="356">
        <f t="shared" si="84"/>
        <v>705</v>
      </c>
      <c r="B728" s="357">
        <f t="shared" si="86"/>
        <v>58</v>
      </c>
      <c r="C728" s="357">
        <f t="shared" si="87"/>
        <v>9</v>
      </c>
      <c r="D728" s="357">
        <f t="shared" si="88"/>
        <v>87</v>
      </c>
      <c r="E728" s="356">
        <f t="shared" si="85"/>
        <v>1097603.7004206255</v>
      </c>
      <c r="G728" s="356">
        <f t="shared" ref="G728:G755" si="89">SUM(E728:F728)*$F$8</f>
        <v>7910.784741919513</v>
      </c>
      <c r="H728" s="360">
        <f>-SUM(E728:G728)*$H$21</f>
        <v>-9949.630366462907</v>
      </c>
      <c r="I728" s="356">
        <f t="shared" ref="I728:I755" si="90">-SUM(E728:G728)*0.1%</f>
        <v>-1105.514485162545</v>
      </c>
      <c r="J728" s="356">
        <f t="shared" ref="J728:J755" si="91">SUM(E728:I728)</f>
        <v>1094459.3403109196</v>
      </c>
      <c r="M728" s="358"/>
      <c r="N728" s="356"/>
    </row>
    <row r="729" spans="1:14" x14ac:dyDescent="0.25">
      <c r="A729" s="356">
        <f t="shared" ref="A729:A755" si="92">+A728+1</f>
        <v>706</v>
      </c>
      <c r="B729" s="357">
        <f t="shared" si="86"/>
        <v>58</v>
      </c>
      <c r="C729" s="357">
        <f t="shared" si="87"/>
        <v>10</v>
      </c>
      <c r="D729" s="357">
        <f t="shared" si="88"/>
        <v>87</v>
      </c>
      <c r="E729" s="356">
        <f t="shared" ref="E729:E755" si="93">J728</f>
        <v>1094459.3403109196</v>
      </c>
      <c r="G729" s="356">
        <f t="shared" si="89"/>
        <v>7888.122321986499</v>
      </c>
      <c r="H729" s="356">
        <v>0</v>
      </c>
      <c r="I729" s="356">
        <f t="shared" si="90"/>
        <v>-1102.3474626329062</v>
      </c>
      <c r="J729" s="356">
        <f t="shared" si="91"/>
        <v>1101245.1151702732</v>
      </c>
      <c r="M729" s="358"/>
      <c r="N729" s="356"/>
    </row>
    <row r="730" spans="1:14" x14ac:dyDescent="0.25">
      <c r="A730" s="356">
        <f t="shared" si="92"/>
        <v>707</v>
      </c>
      <c r="B730" s="357">
        <f t="shared" si="86"/>
        <v>58</v>
      </c>
      <c r="C730" s="357">
        <f t="shared" si="87"/>
        <v>11</v>
      </c>
      <c r="D730" s="357">
        <f t="shared" si="88"/>
        <v>87</v>
      </c>
      <c r="E730" s="356">
        <f t="shared" si="93"/>
        <v>1101245.1151702732</v>
      </c>
      <c r="G730" s="356">
        <f t="shared" si="89"/>
        <v>7937.029595348373</v>
      </c>
      <c r="H730" s="356">
        <v>0</v>
      </c>
      <c r="I730" s="356">
        <f t="shared" si="90"/>
        <v>-1109.1821447656216</v>
      </c>
      <c r="J730" s="356">
        <f t="shared" si="91"/>
        <v>1108072.962620856</v>
      </c>
      <c r="M730" s="358"/>
      <c r="N730" s="356"/>
    </row>
    <row r="731" spans="1:14" x14ac:dyDescent="0.25">
      <c r="A731" s="356">
        <f t="shared" si="92"/>
        <v>708</v>
      </c>
      <c r="B731" s="357">
        <f t="shared" si="86"/>
        <v>58</v>
      </c>
      <c r="C731" s="357">
        <f t="shared" si="87"/>
        <v>12</v>
      </c>
      <c r="D731" s="357">
        <f t="shared" si="88"/>
        <v>87</v>
      </c>
      <c r="E731" s="356">
        <f t="shared" si="93"/>
        <v>1108072.962620856</v>
      </c>
      <c r="G731" s="356">
        <f t="shared" si="89"/>
        <v>7986.240099477983</v>
      </c>
      <c r="H731" s="360">
        <f>-SUM(E731:G731)*$H$21</f>
        <v>-10044.532824483007</v>
      </c>
      <c r="I731" s="356">
        <f t="shared" si="90"/>
        <v>-1116.059202720334</v>
      </c>
      <c r="J731" s="356">
        <f t="shared" si="91"/>
        <v>1104898.6106931306</v>
      </c>
      <c r="M731" s="358"/>
      <c r="N731" s="356"/>
    </row>
    <row r="732" spans="1:14" x14ac:dyDescent="0.25">
      <c r="A732" s="356">
        <f t="shared" si="92"/>
        <v>709</v>
      </c>
      <c r="B732" s="357">
        <f t="shared" si="86"/>
        <v>59</v>
      </c>
      <c r="C732" s="357">
        <f t="shared" si="87"/>
        <v>1</v>
      </c>
      <c r="D732" s="357">
        <f t="shared" si="88"/>
        <v>88</v>
      </c>
      <c r="E732" s="356">
        <f t="shared" si="93"/>
        <v>1104898.6106931306</v>
      </c>
      <c r="G732" s="356">
        <f t="shared" si="89"/>
        <v>7963.361518815665</v>
      </c>
      <c r="H732" s="356">
        <v>0</v>
      </c>
      <c r="I732" s="356">
        <f t="shared" si="90"/>
        <v>-1112.8619722119463</v>
      </c>
      <c r="J732" s="356">
        <f t="shared" si="91"/>
        <v>1111749.1102397344</v>
      </c>
      <c r="M732" s="358"/>
      <c r="N732" s="356"/>
    </row>
    <row r="733" spans="1:14" x14ac:dyDescent="0.25">
      <c r="A733" s="356">
        <f t="shared" si="92"/>
        <v>710</v>
      </c>
      <c r="B733" s="357">
        <f t="shared" si="86"/>
        <v>59</v>
      </c>
      <c r="C733" s="357">
        <f t="shared" si="87"/>
        <v>2</v>
      </c>
      <c r="D733" s="357">
        <f t="shared" si="88"/>
        <v>88</v>
      </c>
      <c r="E733" s="356">
        <f t="shared" si="93"/>
        <v>1111749.1102397344</v>
      </c>
      <c r="G733" s="356">
        <f t="shared" si="89"/>
        <v>8012.735283925085</v>
      </c>
      <c r="H733" s="356">
        <v>0</v>
      </c>
      <c r="I733" s="356">
        <f t="shared" si="90"/>
        <v>-1119.7618455236595</v>
      </c>
      <c r="J733" s="356">
        <f t="shared" si="91"/>
        <v>1118642.0836781359</v>
      </c>
      <c r="M733" s="358"/>
      <c r="N733" s="356"/>
    </row>
    <row r="734" spans="1:14" x14ac:dyDescent="0.25">
      <c r="A734" s="356">
        <f t="shared" si="92"/>
        <v>711</v>
      </c>
      <c r="B734" s="357">
        <f t="shared" si="86"/>
        <v>59</v>
      </c>
      <c r="C734" s="357">
        <f t="shared" si="87"/>
        <v>3</v>
      </c>
      <c r="D734" s="357">
        <f t="shared" si="88"/>
        <v>88</v>
      </c>
      <c r="E734" s="356">
        <f t="shared" si="93"/>
        <v>1118642.0836781359</v>
      </c>
      <c r="G734" s="356">
        <f t="shared" si="89"/>
        <v>8062.415172105188</v>
      </c>
      <c r="H734" s="360">
        <f>-SUM(E734:G734)*$H$21</f>
        <v>-10140.340489652172</v>
      </c>
      <c r="I734" s="356">
        <f t="shared" si="90"/>
        <v>-1126.7044988502412</v>
      </c>
      <c r="J734" s="356">
        <f t="shared" si="91"/>
        <v>1115437.4538617386</v>
      </c>
      <c r="M734" s="358"/>
      <c r="N734" s="356"/>
    </row>
    <row r="735" spans="1:14" x14ac:dyDescent="0.25">
      <c r="A735" s="356">
        <f t="shared" si="92"/>
        <v>712</v>
      </c>
      <c r="B735" s="357">
        <f t="shared" si="86"/>
        <v>59</v>
      </c>
      <c r="C735" s="357">
        <f t="shared" si="87"/>
        <v>4</v>
      </c>
      <c r="D735" s="357">
        <f t="shared" si="88"/>
        <v>88</v>
      </c>
      <c r="E735" s="356">
        <f t="shared" si="93"/>
        <v>1115437.4538617386</v>
      </c>
      <c r="G735" s="356">
        <f t="shared" si="89"/>
        <v>8039.3183689098805</v>
      </c>
      <c r="H735" s="356">
        <v>0</v>
      </c>
      <c r="I735" s="356">
        <f t="shared" si="90"/>
        <v>-1123.4767722306485</v>
      </c>
      <c r="J735" s="356">
        <f t="shared" si="91"/>
        <v>1122353.2954584179</v>
      </c>
      <c r="M735" s="358"/>
      <c r="N735" s="356"/>
    </row>
    <row r="736" spans="1:14" x14ac:dyDescent="0.25">
      <c r="A736" s="356">
        <f t="shared" si="92"/>
        <v>713</v>
      </c>
      <c r="B736" s="357">
        <f t="shared" si="86"/>
        <v>59</v>
      </c>
      <c r="C736" s="357">
        <f t="shared" si="87"/>
        <v>5</v>
      </c>
      <c r="D736" s="357">
        <f t="shared" si="88"/>
        <v>88</v>
      </c>
      <c r="E736" s="356">
        <f t="shared" si="93"/>
        <v>1122353.2954584179</v>
      </c>
      <c r="G736" s="356">
        <f t="shared" si="89"/>
        <v>8089.163075300336</v>
      </c>
      <c r="H736" s="356">
        <v>0</v>
      </c>
      <c r="I736" s="356">
        <f t="shared" si="90"/>
        <v>-1130.4424585337183</v>
      </c>
      <c r="J736" s="356">
        <f t="shared" si="91"/>
        <v>1129312.0160751846</v>
      </c>
      <c r="M736" s="358"/>
      <c r="N736" s="356"/>
    </row>
    <row r="737" spans="1:14" x14ac:dyDescent="0.25">
      <c r="A737" s="356">
        <f t="shared" si="92"/>
        <v>714</v>
      </c>
      <c r="B737" s="357">
        <f t="shared" si="86"/>
        <v>59</v>
      </c>
      <c r="C737" s="357">
        <f t="shared" si="87"/>
        <v>6</v>
      </c>
      <c r="D737" s="357">
        <f t="shared" si="88"/>
        <v>88</v>
      </c>
      <c r="E737" s="356">
        <f t="shared" si="93"/>
        <v>1129312.0160751846</v>
      </c>
      <c r="G737" s="356">
        <f t="shared" si="89"/>
        <v>8139.316824652039</v>
      </c>
      <c r="H737" s="360">
        <f>-SUM(E737:G737)*$H$21</f>
        <v>-10237.061996098531</v>
      </c>
      <c r="I737" s="356">
        <f t="shared" si="90"/>
        <v>-1137.4513328998366</v>
      </c>
      <c r="J737" s="356">
        <f t="shared" si="91"/>
        <v>1126076.8195708382</v>
      </c>
      <c r="M737" s="358"/>
      <c r="N737" s="356"/>
    </row>
    <row r="738" spans="1:14" x14ac:dyDescent="0.25">
      <c r="A738" s="356">
        <f t="shared" si="92"/>
        <v>715</v>
      </c>
      <c r="B738" s="357">
        <f t="shared" si="86"/>
        <v>59</v>
      </c>
      <c r="C738" s="357">
        <f t="shared" si="87"/>
        <v>7</v>
      </c>
      <c r="D738" s="357">
        <f t="shared" si="88"/>
        <v>88</v>
      </c>
      <c r="E738" s="356">
        <f t="shared" si="93"/>
        <v>1126076.8195708382</v>
      </c>
      <c r="G738" s="356">
        <f t="shared" si="89"/>
        <v>8115.999717453979</v>
      </c>
      <c r="H738" s="356">
        <v>0</v>
      </c>
      <c r="I738" s="356">
        <f t="shared" si="90"/>
        <v>-1134.1928192882922</v>
      </c>
      <c r="J738" s="356">
        <f t="shared" si="91"/>
        <v>1133058.626469004</v>
      </c>
      <c r="M738" s="358"/>
      <c r="N738" s="356"/>
    </row>
    <row r="739" spans="1:14" x14ac:dyDescent="0.25">
      <c r="A739" s="356">
        <f t="shared" si="92"/>
        <v>716</v>
      </c>
      <c r="B739" s="357">
        <f t="shared" si="86"/>
        <v>59</v>
      </c>
      <c r="C739" s="357">
        <f t="shared" si="87"/>
        <v>8</v>
      </c>
      <c r="D739" s="357">
        <f t="shared" si="88"/>
        <v>88</v>
      </c>
      <c r="E739" s="356">
        <f t="shared" si="93"/>
        <v>1133058.626469004</v>
      </c>
      <c r="G739" s="356">
        <f t="shared" si="89"/>
        <v>8166.319857099894</v>
      </c>
      <c r="H739" s="356">
        <v>0</v>
      </c>
      <c r="I739" s="356">
        <f t="shared" si="90"/>
        <v>-1141.2249463261037</v>
      </c>
      <c r="J739" s="356">
        <f t="shared" si="91"/>
        <v>1140083.7213797776</v>
      </c>
      <c r="M739" s="358"/>
      <c r="N739" s="356"/>
    </row>
    <row r="740" spans="1:14" x14ac:dyDescent="0.25">
      <c r="A740" s="356">
        <f t="shared" si="92"/>
        <v>717</v>
      </c>
      <c r="B740" s="357">
        <f t="shared" ref="B740:B755" si="94">B728+1</f>
        <v>59</v>
      </c>
      <c r="C740" s="357">
        <f t="shared" ref="C740:C755" si="95">C728</f>
        <v>9</v>
      </c>
      <c r="D740" s="357">
        <f t="shared" ref="D740:D755" si="96">D728+1</f>
        <v>88</v>
      </c>
      <c r="E740" s="356">
        <f t="shared" si="93"/>
        <v>1140083.7213797776</v>
      </c>
      <c r="G740" s="356">
        <f t="shared" si="89"/>
        <v>8216.951987448387</v>
      </c>
      <c r="H740" s="360">
        <f>-SUM(E740:G740)*$H$21</f>
        <v>-10334.706060305036</v>
      </c>
      <c r="I740" s="356">
        <f t="shared" si="90"/>
        <v>-1148.300673367226</v>
      </c>
      <c r="J740" s="356">
        <f t="shared" si="91"/>
        <v>1136817.6666335538</v>
      </c>
      <c r="M740" s="358"/>
      <c r="N740" s="356"/>
    </row>
    <row r="741" spans="1:14" x14ac:dyDescent="0.25">
      <c r="A741" s="356">
        <f t="shared" si="92"/>
        <v>718</v>
      </c>
      <c r="B741" s="357">
        <f t="shared" si="94"/>
        <v>59</v>
      </c>
      <c r="C741" s="357">
        <f t="shared" si="95"/>
        <v>10</v>
      </c>
      <c r="D741" s="357">
        <f t="shared" si="96"/>
        <v>88</v>
      </c>
      <c r="E741" s="356">
        <f t="shared" si="93"/>
        <v>1136817.6666335538</v>
      </c>
      <c r="G741" s="356">
        <f t="shared" si="89"/>
        <v>8193.41247492415</v>
      </c>
      <c r="H741" s="356">
        <v>0</v>
      </c>
      <c r="I741" s="356">
        <f t="shared" si="90"/>
        <v>-1145.011079108478</v>
      </c>
      <c r="J741" s="356">
        <f t="shared" si="91"/>
        <v>1143866.0680293695</v>
      </c>
      <c r="M741" s="358"/>
      <c r="N741" s="356"/>
    </row>
    <row r="742" spans="1:14" x14ac:dyDescent="0.25">
      <c r="A742" s="356">
        <f t="shared" si="92"/>
        <v>719</v>
      </c>
      <c r="B742" s="357">
        <f t="shared" si="94"/>
        <v>59</v>
      </c>
      <c r="C742" s="357">
        <f t="shared" si="95"/>
        <v>11</v>
      </c>
      <c r="D742" s="357">
        <f t="shared" si="96"/>
        <v>88</v>
      </c>
      <c r="E742" s="356">
        <f t="shared" si="93"/>
        <v>1143866.0680293695</v>
      </c>
      <c r="G742" s="356">
        <f t="shared" si="89"/>
        <v>8244.212582645701</v>
      </c>
      <c r="H742" s="356">
        <v>0</v>
      </c>
      <c r="I742" s="356">
        <f t="shared" si="90"/>
        <v>-1152.1102806120152</v>
      </c>
      <c r="J742" s="356">
        <f t="shared" si="91"/>
        <v>1150958.1703314031</v>
      </c>
      <c r="M742" s="358"/>
      <c r="N742" s="356"/>
    </row>
    <row r="743" spans="1:14" x14ac:dyDescent="0.25">
      <c r="A743" s="356">
        <f t="shared" si="92"/>
        <v>720</v>
      </c>
      <c r="B743" s="357">
        <f t="shared" si="94"/>
        <v>59</v>
      </c>
      <c r="C743" s="357">
        <f t="shared" si="95"/>
        <v>12</v>
      </c>
      <c r="D743" s="357">
        <f t="shared" si="96"/>
        <v>88</v>
      </c>
      <c r="E743" s="356">
        <f t="shared" si="93"/>
        <v>1150958.1703314031</v>
      </c>
      <c r="G743" s="356">
        <f t="shared" si="89"/>
        <v>8295.327656927575</v>
      </c>
      <c r="H743" s="360">
        <f>-SUM(E743:G743)*$H$21</f>
        <v>-10433.281481894977</v>
      </c>
      <c r="I743" s="356">
        <f t="shared" si="90"/>
        <v>-1159.2534979883308</v>
      </c>
      <c r="J743" s="356">
        <f t="shared" si="91"/>
        <v>1147660.9630084476</v>
      </c>
      <c r="M743" s="358"/>
      <c r="N743" s="356"/>
    </row>
    <row r="744" spans="1:14" x14ac:dyDescent="0.25">
      <c r="A744" s="356">
        <f t="shared" si="92"/>
        <v>721</v>
      </c>
      <c r="B744" s="357">
        <f t="shared" si="94"/>
        <v>60</v>
      </c>
      <c r="C744" s="357">
        <f t="shared" si="95"/>
        <v>1</v>
      </c>
      <c r="D744" s="357">
        <f t="shared" si="96"/>
        <v>89</v>
      </c>
      <c r="E744" s="356">
        <f t="shared" si="93"/>
        <v>1147660.9630084476</v>
      </c>
      <c r="G744" s="356">
        <f t="shared" si="89"/>
        <v>8271.5636177107</v>
      </c>
      <c r="H744" s="356">
        <v>0</v>
      </c>
      <c r="I744" s="356">
        <f t="shared" si="90"/>
        <v>-1155.9325266261583</v>
      </c>
      <c r="J744" s="356">
        <f t="shared" si="91"/>
        <v>1154776.594099532</v>
      </c>
      <c r="M744" s="358"/>
      <c r="N744" s="356"/>
    </row>
    <row r="745" spans="1:14" x14ac:dyDescent="0.25">
      <c r="A745" s="356">
        <f t="shared" si="92"/>
        <v>722</v>
      </c>
      <c r="B745" s="357">
        <f t="shared" si="94"/>
        <v>60</v>
      </c>
      <c r="C745" s="357">
        <f t="shared" si="95"/>
        <v>2</v>
      </c>
      <c r="D745" s="357">
        <f t="shared" si="96"/>
        <v>89</v>
      </c>
      <c r="E745" s="356">
        <f t="shared" si="93"/>
        <v>1154776.594099532</v>
      </c>
      <c r="G745" s="356">
        <f t="shared" si="89"/>
        <v>8322.848271582501</v>
      </c>
      <c r="H745" s="356">
        <v>0</v>
      </c>
      <c r="I745" s="356">
        <f t="shared" si="90"/>
        <v>-1163.0994423711147</v>
      </c>
      <c r="J745" s="356">
        <f t="shared" si="91"/>
        <v>1161936.3429287435</v>
      </c>
      <c r="M745" s="358"/>
      <c r="N745" s="356"/>
    </row>
    <row r="746" spans="1:14" x14ac:dyDescent="0.25">
      <c r="A746" s="356">
        <f t="shared" si="92"/>
        <v>723</v>
      </c>
      <c r="B746" s="357">
        <f t="shared" si="94"/>
        <v>60</v>
      </c>
      <c r="C746" s="357">
        <f t="shared" si="95"/>
        <v>3</v>
      </c>
      <c r="D746" s="357">
        <f t="shared" si="96"/>
        <v>89</v>
      </c>
      <c r="E746" s="356">
        <f t="shared" si="93"/>
        <v>1161936.3429287435</v>
      </c>
      <c r="G746" s="356">
        <f t="shared" si="89"/>
        <v>8374.45089625696</v>
      </c>
      <c r="H746" s="360">
        <f>-SUM(E746:G746)*$H$21</f>
        <v>-10532.797144425005</v>
      </c>
      <c r="I746" s="356">
        <f t="shared" si="90"/>
        <v>-1170.3107938250005</v>
      </c>
      <c r="J746" s="356">
        <f t="shared" si="91"/>
        <v>1158607.6858867505</v>
      </c>
      <c r="M746" s="358"/>
      <c r="N746" s="356"/>
    </row>
    <row r="747" spans="1:14" x14ac:dyDescent="0.25">
      <c r="A747" s="356">
        <f t="shared" si="92"/>
        <v>724</v>
      </c>
      <c r="B747" s="357">
        <f t="shared" si="94"/>
        <v>60</v>
      </c>
      <c r="C747" s="357">
        <f t="shared" si="95"/>
        <v>4</v>
      </c>
      <c r="D747" s="357">
        <f t="shared" si="96"/>
        <v>89</v>
      </c>
      <c r="E747" s="356">
        <f t="shared" si="93"/>
        <v>1158607.6858867505</v>
      </c>
      <c r="G747" s="356">
        <f t="shared" si="89"/>
        <v>8350.46018874678</v>
      </c>
      <c r="H747" s="356">
        <v>0</v>
      </c>
      <c r="I747" s="356">
        <f t="shared" si="90"/>
        <v>-1166.958146075497</v>
      </c>
      <c r="J747" s="356">
        <f t="shared" si="91"/>
        <v>1165791.1879294217</v>
      </c>
      <c r="M747" s="358"/>
      <c r="N747" s="356"/>
    </row>
    <row r="748" spans="1:14" x14ac:dyDescent="0.25">
      <c r="A748" s="356">
        <f t="shared" si="92"/>
        <v>725</v>
      </c>
      <c r="B748" s="357">
        <f t="shared" si="94"/>
        <v>60</v>
      </c>
      <c r="C748" s="357">
        <f t="shared" si="95"/>
        <v>5</v>
      </c>
      <c r="D748" s="357">
        <f t="shared" si="96"/>
        <v>89</v>
      </c>
      <c r="E748" s="356">
        <f t="shared" si="93"/>
        <v>1165791.1879294217</v>
      </c>
      <c r="G748" s="356">
        <f t="shared" si="89"/>
        <v>8402.23401051044</v>
      </c>
      <c r="H748" s="356">
        <v>0</v>
      </c>
      <c r="I748" s="356">
        <f t="shared" si="90"/>
        <v>-1174.193421939932</v>
      </c>
      <c r="J748" s="356">
        <f t="shared" si="91"/>
        <v>1173019.2285179922</v>
      </c>
      <c r="M748" s="358"/>
      <c r="N748" s="356"/>
    </row>
    <row r="749" spans="1:14" x14ac:dyDescent="0.25">
      <c r="A749" s="356">
        <f t="shared" si="92"/>
        <v>726</v>
      </c>
      <c r="B749" s="357">
        <f t="shared" si="94"/>
        <v>60</v>
      </c>
      <c r="C749" s="357">
        <f t="shared" si="95"/>
        <v>6</v>
      </c>
      <c r="D749" s="357">
        <f t="shared" si="96"/>
        <v>89</v>
      </c>
      <c r="E749" s="356">
        <f t="shared" si="93"/>
        <v>1173019.2285179922</v>
      </c>
      <c r="G749" s="356">
        <f t="shared" si="89"/>
        <v>8454.328835974427</v>
      </c>
      <c r="H749" s="360">
        <f>-SUM(E749:G749)*$H$21</f>
        <v>-10633.262016185701</v>
      </c>
      <c r="I749" s="356">
        <f t="shared" si="90"/>
        <v>-1181.4735573539667</v>
      </c>
      <c r="J749" s="356">
        <f t="shared" si="91"/>
        <v>1169658.821780427</v>
      </c>
      <c r="M749" s="358"/>
      <c r="N749" s="356"/>
    </row>
    <row r="750" spans="1:14" x14ac:dyDescent="0.25">
      <c r="A750" s="356">
        <f t="shared" si="92"/>
        <v>727</v>
      </c>
      <c r="B750" s="357">
        <f t="shared" si="94"/>
        <v>60</v>
      </c>
      <c r="C750" s="357">
        <f t="shared" si="95"/>
        <v>7</v>
      </c>
      <c r="D750" s="357">
        <f t="shared" si="96"/>
        <v>89</v>
      </c>
      <c r="E750" s="356">
        <f t="shared" si="93"/>
        <v>1169658.821780427</v>
      </c>
      <c r="G750" s="356">
        <f t="shared" si="89"/>
        <v>8430.10929814307</v>
      </c>
      <c r="H750" s="356">
        <v>0</v>
      </c>
      <c r="I750" s="356">
        <f t="shared" si="90"/>
        <v>-1178.0889310785699</v>
      </c>
      <c r="J750" s="356">
        <f t="shared" si="91"/>
        <v>1176910.8421474914</v>
      </c>
      <c r="M750" s="358"/>
      <c r="N750" s="356"/>
    </row>
    <row r="751" spans="1:14" x14ac:dyDescent="0.25">
      <c r="A751" s="356">
        <f t="shared" si="92"/>
        <v>728</v>
      </c>
      <c r="B751" s="357">
        <f t="shared" si="94"/>
        <v>60</v>
      </c>
      <c r="C751" s="357">
        <f t="shared" si="95"/>
        <v>8</v>
      </c>
      <c r="D751" s="357">
        <f t="shared" si="96"/>
        <v>89</v>
      </c>
      <c r="E751" s="356">
        <f t="shared" si="93"/>
        <v>1176910.8421474914</v>
      </c>
      <c r="G751" s="356">
        <f t="shared" si="89"/>
        <v>8482.376953623712</v>
      </c>
      <c r="H751" s="356">
        <v>0</v>
      </c>
      <c r="I751" s="356">
        <f t="shared" si="90"/>
        <v>-1185.3932191011152</v>
      </c>
      <c r="J751" s="356">
        <f t="shared" si="91"/>
        <v>1184207.8258820141</v>
      </c>
      <c r="M751" s="358"/>
      <c r="N751" s="356"/>
    </row>
    <row r="752" spans="1:14" x14ac:dyDescent="0.25">
      <c r="A752" s="356">
        <f t="shared" si="92"/>
        <v>729</v>
      </c>
      <c r="B752" s="357">
        <f t="shared" si="94"/>
        <v>60</v>
      </c>
      <c r="C752" s="357">
        <f t="shared" si="95"/>
        <v>9</v>
      </c>
      <c r="D752" s="357">
        <f t="shared" si="96"/>
        <v>89</v>
      </c>
      <c r="E752" s="356">
        <f t="shared" si="93"/>
        <v>1184207.8258820141</v>
      </c>
      <c r="G752" s="356">
        <f t="shared" si="89"/>
        <v>8534.968674631009</v>
      </c>
      <c r="H752" s="360">
        <f>-SUM(E752:G752)*$H$21</f>
        <v>-10734.685151009808</v>
      </c>
      <c r="I752" s="356">
        <f t="shared" si="90"/>
        <v>-1192.7427945566453</v>
      </c>
      <c r="J752" s="356">
        <f t="shared" si="91"/>
        <v>1180815.3666110788</v>
      </c>
      <c r="M752" s="358"/>
      <c r="N752" s="356"/>
    </row>
    <row r="753" spans="1:14" x14ac:dyDescent="0.25">
      <c r="A753" s="356">
        <f t="shared" si="92"/>
        <v>730</v>
      </c>
      <c r="B753" s="357">
        <f t="shared" si="94"/>
        <v>60</v>
      </c>
      <c r="C753" s="357">
        <f t="shared" si="95"/>
        <v>10</v>
      </c>
      <c r="D753" s="357">
        <f t="shared" si="96"/>
        <v>89</v>
      </c>
      <c r="E753" s="356">
        <f t="shared" si="93"/>
        <v>1180815.3666110788</v>
      </c>
      <c r="G753" s="356">
        <f t="shared" si="89"/>
        <v>8510.518123828553</v>
      </c>
      <c r="H753" s="356">
        <v>0</v>
      </c>
      <c r="I753" s="356">
        <f t="shared" si="90"/>
        <v>-1189.3258847349075</v>
      </c>
      <c r="J753" s="356">
        <f t="shared" si="91"/>
        <v>1188136.5588501724</v>
      </c>
      <c r="M753" s="358"/>
      <c r="N753" s="356"/>
    </row>
    <row r="754" spans="1:14" x14ac:dyDescent="0.25">
      <c r="A754" s="356">
        <f t="shared" si="92"/>
        <v>731</v>
      </c>
      <c r="B754" s="357">
        <f t="shared" si="94"/>
        <v>60</v>
      </c>
      <c r="C754" s="357">
        <f t="shared" si="95"/>
        <v>11</v>
      </c>
      <c r="D754" s="357">
        <f t="shared" si="96"/>
        <v>89</v>
      </c>
      <c r="E754" s="356">
        <f t="shared" si="93"/>
        <v>1188136.5588501724</v>
      </c>
      <c r="G754" s="356">
        <f t="shared" si="89"/>
        <v>8563.28432335529</v>
      </c>
      <c r="H754" s="356">
        <v>0</v>
      </c>
      <c r="I754" s="356">
        <f t="shared" si="90"/>
        <v>-1196.6998431735276</v>
      </c>
      <c r="J754" s="356">
        <f t="shared" si="91"/>
        <v>1195503.143330354</v>
      </c>
      <c r="M754" s="358"/>
      <c r="N754" s="356"/>
    </row>
    <row r="755" spans="1:14" x14ac:dyDescent="0.25">
      <c r="A755" s="356">
        <f t="shared" si="92"/>
        <v>732</v>
      </c>
      <c r="B755" s="357">
        <f t="shared" si="94"/>
        <v>60</v>
      </c>
      <c r="C755" s="357">
        <f t="shared" si="95"/>
        <v>12</v>
      </c>
      <c r="D755" s="357">
        <f t="shared" si="96"/>
        <v>89</v>
      </c>
      <c r="E755" s="356">
        <f t="shared" si="93"/>
        <v>1195503.143330354</v>
      </c>
      <c r="G755" s="356">
        <f t="shared" si="89"/>
        <v>8616.377679439594</v>
      </c>
      <c r="H755" s="360">
        <f>-SUM(E755:G755)*$H$21</f>
        <v>-10837.075689088142</v>
      </c>
      <c r="I755" s="356">
        <f t="shared" si="90"/>
        <v>-1204.1195210097935</v>
      </c>
      <c r="J755" s="356">
        <f t="shared" si="91"/>
        <v>1192078.3257996957</v>
      </c>
      <c r="M755" s="358"/>
      <c r="N755" s="356"/>
    </row>
  </sheetData>
  <sheetProtection sheet="1" selectLockedCells="1" objects="1" scenarios="1"/>
  <mergeCells count="2">
    <mergeCell ref="N23:R23"/>
    <mergeCell ref="L26:L46"/>
  </mergeCells>
  <pageMargins left="0.75" right="0.75" top="1" bottom="1" header="0" footer="0"/>
  <pageSetup orientation="portrait" horizontalDpi="4294967295" verticalDpi="4294967295" scale="100" fitToWidth="1" fitToHeight="1" firstPageNumber="1" useFirstPageNumber="1" copies="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55"/>
  <sheetViews>
    <sheetView workbookViewId="0" zoomScale="100" zoomScaleNormal="100">
      <selection activeCell="J21" sqref="J21"/>
    </sheetView>
  </sheetViews>
  <sheetFormatPr defaultRowHeight="11.25" outlineLevelRow="0" outlineLevelCol="0" x14ac:dyDescent="0" customHeight="1"/>
  <cols>
    <col min="1" max="1" width="11.42578125" style="356" customWidth="1"/>
    <col min="2" max="2" width="4" style="356" customWidth="1"/>
    <col min="3" max="5" width="7" style="357" customWidth="1"/>
    <col min="6" max="8" width="11.42578125" style="356" customWidth="1"/>
    <col min="9" max="9" width="14.7109375" style="356" customWidth="1"/>
    <col min="10" max="10" width="15" style="356" customWidth="1"/>
    <col min="11" max="13" width="11.42578125" style="356" customWidth="1"/>
    <col min="14" max="14" width="4" style="356" customWidth="1"/>
    <col min="15" max="15" width="11.42578125" style="358" customWidth="1"/>
    <col min="16" max="17" width="11.42578125" style="356" customWidth="1"/>
    <col min="18" max="18" width="12" style="356" customWidth="1"/>
    <col min="19" max="21" width="11.42578125" style="356" customWidth="1"/>
    <col min="22" max="22" width="11.42578125" style="359" customWidth="1"/>
    <col min="23" max="23" width="11.42578125" style="356" customWidth="1"/>
    <col min="24" max="24" width="11.42578125" style="359" customWidth="1"/>
    <col min="25" max="26" width="11.42578125" style="356" customWidth="1"/>
    <col min="27" max="29" width="11.42578125" style="357" customWidth="1"/>
    <col min="30" max="30" width="13" style="356" customWidth="1"/>
    <col min="31" max="33" width="11.42578125" style="356" customWidth="1"/>
    <col min="34" max="34" width="12.28515625" style="356" customWidth="1"/>
    <col min="35" max="35" width="13.85546875" style="356" customWidth="1"/>
    <col min="36" max="16384" width="11.42578125" style="356" customWidth="1"/>
  </cols>
  <sheetData>
    <row r="1" spans="1:28" s="356" customFormat="1" x14ac:dyDescent="0.25">
      <c r="A1" s="360"/>
      <c r="B1" s="360"/>
      <c r="C1" s="361"/>
      <c r="D1" s="361"/>
      <c r="E1" s="361"/>
      <c r="F1" s="360"/>
      <c r="G1" s="360"/>
      <c r="H1" s="360"/>
      <c r="I1" s="360"/>
      <c r="J1" s="360"/>
      <c r="K1" s="360"/>
      <c r="L1" s="360"/>
      <c r="V1" s="359"/>
      <c r="X1" s="359"/>
      <c r="AA1" s="357"/>
      <c r="AB1" s="357"/>
    </row>
    <row r="2" spans="1:28" s="356" customFormat="1" x14ac:dyDescent="0.25">
      <c r="A2" s="360"/>
      <c r="B2" s="360"/>
      <c r="C2" s="361"/>
      <c r="D2" s="361"/>
      <c r="E2" s="361"/>
      <c r="F2" s="360" t="s">
        <v>23</v>
      </c>
      <c r="G2" s="362">
        <f>+'OptiMaxx plus'!T7</f>
        <v>29</v>
      </c>
      <c r="H2" s="360"/>
      <c r="I2" s="363" t="s">
        <v>77</v>
      </c>
      <c r="J2" s="364" t="s">
        <v>78</v>
      </c>
      <c r="K2" s="360"/>
      <c r="L2" s="360"/>
      <c r="V2" s="359"/>
      <c r="X2" s="359"/>
      <c r="AA2" s="357"/>
      <c r="AB2" s="357"/>
    </row>
    <row r="3" spans="1:28" s="356" customFormat="1" x14ac:dyDescent="0.25">
      <c r="A3" s="360"/>
      <c r="B3" s="360"/>
      <c r="C3" s="361"/>
      <c r="D3" s="361"/>
      <c r="E3" s="361"/>
      <c r="F3" s="360" t="s">
        <v>26</v>
      </c>
      <c r="G3" s="362">
        <f>+'OptiMaxx plus'!D12</f>
        <v>10000</v>
      </c>
      <c r="H3" s="360"/>
      <c r="I3" s="360" t="s">
        <v>79</v>
      </c>
      <c r="J3" s="365">
        <v>0.06</v>
      </c>
      <c r="K3" s="366">
        <f>+J3</f>
        <v>0.06</v>
      </c>
      <c r="L3" s="367">
        <f>+'OptiMaxx plus'!F21</f>
        <v>0</v>
      </c>
      <c r="V3" s="359"/>
      <c r="X3" s="359"/>
      <c r="AA3" s="357"/>
      <c r="AB3" s="357"/>
    </row>
    <row r="4" spans="1:28" s="356" customFormat="1" x14ac:dyDescent="0.25">
      <c r="A4" s="360"/>
      <c r="B4" s="360"/>
      <c r="C4" s="361"/>
      <c r="D4" s="361"/>
      <c r="E4" s="361"/>
      <c r="F4" s="360" t="s">
        <v>3</v>
      </c>
      <c r="G4" s="362" t="str">
        <f>+'OptiMaxx plus'!K12</f>
        <v>Mensual</v>
      </c>
      <c r="H4" s="360"/>
      <c r="I4" s="360" t="s">
        <v>80</v>
      </c>
      <c r="J4" s="365">
        <v>0.09</v>
      </c>
      <c r="K4" s="366">
        <f t="shared" ref="K4:K17" si="0">+J4</f>
        <v>0.09</v>
      </c>
      <c r="L4" s="367">
        <f>+'OptiMaxx plus'!J21</f>
        <v>0</v>
      </c>
      <c r="V4" s="359"/>
      <c r="X4" s="359"/>
      <c r="AA4" s="357"/>
      <c r="AB4" s="357"/>
    </row>
    <row r="5" spans="1:28" s="356" customFormat="1" x14ac:dyDescent="0.25">
      <c r="A5" s="360"/>
      <c r="B5" s="360"/>
      <c r="C5" s="361"/>
      <c r="D5" s="361"/>
      <c r="E5" s="361"/>
      <c r="F5" s="360" t="s">
        <v>2</v>
      </c>
      <c r="G5" s="362">
        <f>+'OptiMaxx plus'!D15</f>
        <v>25</v>
      </c>
      <c r="H5" s="360"/>
      <c r="I5" s="360" t="s">
        <v>81</v>
      </c>
      <c r="J5" s="365">
        <v>0.12</v>
      </c>
      <c r="K5" s="366">
        <f t="shared" si="0"/>
        <v>0.12</v>
      </c>
      <c r="L5" s="367">
        <f>+'OptiMaxx plus'!N21</f>
        <v>0</v>
      </c>
      <c r="V5" s="359"/>
      <c r="X5" s="359"/>
      <c r="AA5" s="357"/>
      <c r="AB5" s="357"/>
    </row>
    <row r="6" spans="1:28" s="356" customFormat="1" x14ac:dyDescent="0.25">
      <c r="A6" s="360"/>
      <c r="B6" s="360"/>
      <c r="C6" s="361"/>
      <c r="D6" s="361"/>
      <c r="E6" s="361"/>
      <c r="F6" s="360" t="s">
        <v>77</v>
      </c>
      <c r="G6" s="362">
        <f>L20</f>
        <v>0.1</v>
      </c>
      <c r="H6" s="360"/>
      <c r="I6" s="360" t="s">
        <v>82</v>
      </c>
      <c r="J6" s="365">
        <v>0.03</v>
      </c>
      <c r="K6" s="366">
        <f t="shared" si="0"/>
        <v>0.03</v>
      </c>
      <c r="L6" s="367">
        <f>+'OptiMaxx plus'!F22</f>
        <v>0</v>
      </c>
      <c r="V6" s="359"/>
      <c r="X6" s="359"/>
      <c r="AA6" s="357"/>
      <c r="AB6" s="357"/>
    </row>
    <row r="7" spans="1:28" s="356" customFormat="1" x14ac:dyDescent="0.25">
      <c r="A7" s="360"/>
      <c r="B7" s="360"/>
      <c r="C7" s="361"/>
      <c r="D7" s="361"/>
      <c r="E7" s="361"/>
      <c r="F7" s="360" t="s">
        <v>83</v>
      </c>
      <c r="G7" s="368">
        <f>+L20</f>
        <v>0.1</v>
      </c>
      <c r="H7" s="360"/>
      <c r="I7" s="360" t="s">
        <v>84</v>
      </c>
      <c r="J7" s="365">
        <v>0.06</v>
      </c>
      <c r="K7" s="366">
        <f t="shared" si="0"/>
        <v>0.06</v>
      </c>
      <c r="L7" s="367">
        <f>+'OptiMaxx plus'!J22</f>
        <v>0</v>
      </c>
      <c r="V7" s="359"/>
      <c r="X7" s="359"/>
      <c r="AA7" s="357"/>
      <c r="AB7" s="357"/>
    </row>
    <row r="8" spans="1:28" s="356" customFormat="1" x14ac:dyDescent="0.25">
      <c r="A8" s="360"/>
      <c r="B8" s="360"/>
      <c r="C8" s="361"/>
      <c r="D8" s="361"/>
      <c r="E8" s="361"/>
      <c r="F8" s="360" t="s">
        <v>85</v>
      </c>
      <c r="G8" s="368">
        <f>(1+G7)^(1/12)-1</f>
        <v>0.007974140428903764</v>
      </c>
      <c r="H8" s="360"/>
      <c r="I8" s="360" t="s">
        <v>86</v>
      </c>
      <c r="J8" s="365">
        <v>0.1</v>
      </c>
      <c r="K8" s="366">
        <f t="shared" si="0"/>
        <v>0.1</v>
      </c>
      <c r="L8" s="367">
        <f>+'OptiMaxx plus'!N22</f>
        <v>1</v>
      </c>
      <c r="V8" s="359"/>
      <c r="X8" s="359"/>
      <c r="AA8" s="357"/>
      <c r="AB8" s="357"/>
    </row>
    <row r="9" spans="1:28" s="356" customFormat="1" x14ac:dyDescent="0.25">
      <c r="A9" s="360"/>
      <c r="B9" s="360"/>
      <c r="C9" s="361"/>
      <c r="D9" s="361"/>
      <c r="E9" s="361"/>
      <c r="F9" s="360" t="s">
        <v>87</v>
      </c>
      <c r="G9" s="369">
        <f>+Bono!F9</f>
        <v>1</v>
      </c>
      <c r="H9" s="360"/>
      <c r="I9" s="360" t="s">
        <v>88</v>
      </c>
      <c r="J9" s="365">
        <v>0.03</v>
      </c>
      <c r="K9" s="366">
        <f t="shared" si="0"/>
        <v>0.03</v>
      </c>
      <c r="L9" s="367">
        <f>+'OptiMaxx plus'!F23</f>
        <v>0</v>
      </c>
      <c r="V9" s="359"/>
      <c r="X9" s="359"/>
      <c r="AA9" s="357"/>
      <c r="AB9" s="357"/>
    </row>
    <row r="10" spans="1:28" s="356" customFormat="1" x14ac:dyDescent="0.25">
      <c r="A10" s="360"/>
      <c r="B10" s="360"/>
      <c r="C10" s="361"/>
      <c r="D10" s="361"/>
      <c r="E10" s="361"/>
      <c r="F10" s="360"/>
      <c r="G10" s="369"/>
      <c r="H10" s="360"/>
      <c r="I10" s="360" t="s">
        <v>89</v>
      </c>
      <c r="J10" s="365">
        <v>0.06</v>
      </c>
      <c r="K10" s="366">
        <f t="shared" si="0"/>
        <v>0.06</v>
      </c>
      <c r="L10" s="367">
        <f>+'OptiMaxx plus'!J23</f>
        <v>0</v>
      </c>
      <c r="V10" s="359"/>
      <c r="X10" s="359"/>
      <c r="AA10" s="357"/>
      <c r="AB10" s="357"/>
    </row>
    <row r="11" spans="1:28" s="356" customFormat="1" x14ac:dyDescent="0.25">
      <c r="A11" s="360"/>
      <c r="B11" s="360"/>
      <c r="C11" s="361"/>
      <c r="D11" s="361"/>
      <c r="E11" s="361"/>
      <c r="F11" s="360"/>
      <c r="G11" s="369"/>
      <c r="H11" s="360"/>
      <c r="I11" s="360" t="s">
        <v>90</v>
      </c>
      <c r="J11" s="365">
        <v>0.09</v>
      </c>
      <c r="K11" s="366">
        <f t="shared" si="0"/>
        <v>0.09</v>
      </c>
      <c r="L11" s="367">
        <f>+'OptiMaxx plus'!N23</f>
        <v>0</v>
      </c>
      <c r="V11" s="359"/>
      <c r="X11" s="359"/>
      <c r="AA11" s="357"/>
      <c r="AB11" s="357"/>
    </row>
    <row r="12" spans="1:28" s="356" customFormat="1" x14ac:dyDescent="0.25">
      <c r="A12" s="360"/>
      <c r="B12" s="360"/>
      <c r="C12" s="361"/>
      <c r="D12" s="361"/>
      <c r="E12" s="361"/>
      <c r="F12" s="360"/>
      <c r="G12" s="369"/>
      <c r="H12" s="360"/>
      <c r="I12" s="360" t="s">
        <v>91</v>
      </c>
      <c r="J12" s="365">
        <v>0.08</v>
      </c>
      <c r="K12" s="366">
        <f t="shared" si="0"/>
        <v>0.08</v>
      </c>
      <c r="L12" s="367">
        <f>+'OptiMaxx plus'!F25</f>
        <v>0</v>
      </c>
      <c r="V12" s="359"/>
      <c r="X12" s="359"/>
      <c r="AA12" s="357"/>
      <c r="AB12" s="357"/>
    </row>
    <row r="13" spans="1:28" s="356" customFormat="1" x14ac:dyDescent="0.25">
      <c r="A13" s="360"/>
      <c r="B13" s="360"/>
      <c r="C13" s="361"/>
      <c r="D13" s="361"/>
      <c r="E13" s="361"/>
      <c r="F13" s="360"/>
      <c r="G13" s="369"/>
      <c r="H13" s="360"/>
      <c r="I13" s="360" t="s">
        <v>52</v>
      </c>
      <c r="J13" s="365">
        <v>0.12</v>
      </c>
      <c r="K13" s="366">
        <f t="shared" si="0"/>
        <v>0.12</v>
      </c>
      <c r="L13" s="367">
        <f>+'OptiMaxx plus'!F27</f>
        <v>0</v>
      </c>
      <c r="V13" s="359"/>
      <c r="X13" s="359"/>
      <c r="AA13" s="357"/>
      <c r="AB13" s="357"/>
    </row>
    <row r="14" spans="1:28" s="356" customFormat="1" x14ac:dyDescent="0.25">
      <c r="A14" s="360"/>
      <c r="B14" s="360"/>
      <c r="C14" s="361"/>
      <c r="D14" s="361"/>
      <c r="E14" s="361"/>
      <c r="F14" s="360"/>
      <c r="G14" s="369"/>
      <c r="H14" s="360"/>
      <c r="I14" s="360" t="s">
        <v>45</v>
      </c>
      <c r="J14" s="365">
        <v>0.12</v>
      </c>
      <c r="K14" s="366">
        <f t="shared" si="0"/>
        <v>0.12</v>
      </c>
      <c r="L14" s="367">
        <f>+'OptiMaxx plus'!N25</f>
        <v>0</v>
      </c>
      <c r="V14" s="359"/>
      <c r="X14" s="359"/>
      <c r="AA14" s="357"/>
      <c r="AB14" s="357"/>
    </row>
    <row r="15" spans="1:28" s="356" customFormat="1" x14ac:dyDescent="0.25">
      <c r="A15" s="360"/>
      <c r="B15" s="360"/>
      <c r="C15" s="361"/>
      <c r="D15" s="361"/>
      <c r="E15" s="361"/>
      <c r="F15" s="360"/>
      <c r="G15" s="369"/>
      <c r="H15" s="360"/>
      <c r="I15" s="360" t="s">
        <v>49</v>
      </c>
      <c r="J15" s="365">
        <v>0.12</v>
      </c>
      <c r="K15" s="366">
        <f t="shared" si="0"/>
        <v>0.12</v>
      </c>
      <c r="L15" s="367">
        <f>+'OptiMaxx plus'!F26</f>
        <v>0</v>
      </c>
      <c r="V15" s="359"/>
      <c r="X15" s="359"/>
      <c r="AA15" s="357"/>
      <c r="AB15" s="357"/>
    </row>
    <row r="16" spans="1:28" s="356" customFormat="1" x14ac:dyDescent="0.25">
      <c r="A16" s="360"/>
      <c r="B16" s="360"/>
      <c r="C16" s="361"/>
      <c r="D16" s="361"/>
      <c r="E16" s="361"/>
      <c r="F16" s="360"/>
      <c r="G16" s="369"/>
      <c r="H16" s="360"/>
      <c r="I16" s="360" t="s">
        <v>53</v>
      </c>
      <c r="J16" s="365">
        <v>0.05</v>
      </c>
      <c r="K16" s="366">
        <f t="shared" si="0"/>
        <v>0.05</v>
      </c>
      <c r="L16" s="367">
        <f>+'OptiMaxx plus'!N27</f>
        <v>0</v>
      </c>
      <c r="V16" s="359"/>
      <c r="X16" s="359"/>
      <c r="AA16" s="357"/>
      <c r="AB16" s="357"/>
    </row>
    <row r="17" spans="1:28" s="356" customFormat="1" x14ac:dyDescent="0.25">
      <c r="A17" s="360"/>
      <c r="B17" s="360"/>
      <c r="C17" s="361"/>
      <c r="D17" s="361"/>
      <c r="E17" s="361"/>
      <c r="F17" s="360" t="s">
        <v>92</v>
      </c>
      <c r="G17" s="362" t="str">
        <f>+'OptiMaxx plus'!K15</f>
        <v>No</v>
      </c>
      <c r="H17" s="360"/>
      <c r="I17" s="360" t="s">
        <v>93</v>
      </c>
      <c r="J17" s="365">
        <v>0.12</v>
      </c>
      <c r="K17" s="366">
        <f t="shared" si="0"/>
        <v>0.12</v>
      </c>
      <c r="L17" s="367">
        <f>+'OptiMaxx plus'!N26</f>
        <v>0</v>
      </c>
      <c r="V17" s="359"/>
      <c r="X17" s="359"/>
      <c r="AA17" s="357"/>
      <c r="AB17" s="357"/>
    </row>
    <row r="18" spans="1:28" s="356" customFormat="1" x14ac:dyDescent="0.25">
      <c r="A18" s="360"/>
      <c r="B18" s="360"/>
      <c r="C18" s="361"/>
      <c r="D18" s="361"/>
      <c r="E18" s="361"/>
      <c r="F18" s="360" t="s">
        <v>94</v>
      </c>
      <c r="G18" s="369">
        <v>0.04</v>
      </c>
      <c r="H18" s="360"/>
      <c r="I18" s="360"/>
      <c r="J18" s="365"/>
      <c r="K18" s="360"/>
      <c r="L18" s="360"/>
      <c r="V18" s="359"/>
      <c r="X18" s="359"/>
      <c r="AA18" s="357"/>
      <c r="AB18" s="357"/>
    </row>
    <row r="19" spans="1:28" s="356" customFormat="1" x14ac:dyDescent="0.25">
      <c r="A19" s="360"/>
      <c r="B19" s="360"/>
      <c r="C19" s="361"/>
      <c r="D19" s="361"/>
      <c r="E19" s="361"/>
      <c r="F19" s="360" t="s">
        <v>95</v>
      </c>
      <c r="G19" s="370">
        <v>5.08</v>
      </c>
      <c r="H19" s="360"/>
      <c r="I19" s="360"/>
      <c r="J19" s="365"/>
      <c r="K19" s="360"/>
      <c r="L19" s="360"/>
      <c r="V19" s="359"/>
      <c r="X19" s="359"/>
      <c r="AA19" s="357"/>
      <c r="AB19" s="357"/>
    </row>
    <row r="20" spans="1:28" s="356" customFormat="1" x14ac:dyDescent="0.25">
      <c r="A20" s="360"/>
      <c r="B20" s="360"/>
      <c r="C20" s="361"/>
      <c r="D20" s="361"/>
      <c r="E20" s="361"/>
      <c r="F20" s="360"/>
      <c r="G20" s="369">
        <f>+G18</f>
        <v>0.04</v>
      </c>
      <c r="H20" s="360"/>
      <c r="I20" s="363" t="s">
        <v>96</v>
      </c>
      <c r="J20" s="371"/>
      <c r="K20" s="363"/>
      <c r="L20" s="372">
        <f>SUMPRODUCT(L3:L17,J3:J17)</f>
        <v>0.1</v>
      </c>
      <c r="V20" s="359"/>
      <c r="X20" s="359"/>
      <c r="AA20" s="357"/>
      <c r="AB20" s="357"/>
    </row>
    <row r="21" spans="10:15" x14ac:dyDescent="0.25">
      <c r="J21" s="373">
        <f>3.6%/4</f>
        <v>0.009000000000000001</v>
      </c>
      <c r="O21" s="356"/>
    </row>
    <row r="22" spans="3:28" x14ac:dyDescent="0.25">
      <c r="C22" s="374" t="s">
        <v>97</v>
      </c>
      <c r="D22" s="374"/>
      <c r="E22" s="374"/>
      <c r="F22" s="374"/>
      <c r="G22" s="374"/>
      <c r="H22" s="374"/>
      <c r="I22" s="374"/>
      <c r="J22" s="374"/>
      <c r="K22" s="374"/>
      <c r="L22" s="374"/>
      <c r="O22" s="374" t="s">
        <v>98</v>
      </c>
      <c r="P22" s="374"/>
      <c r="Q22" s="374"/>
      <c r="R22" s="374"/>
      <c r="S22" s="374"/>
      <c r="T22" s="374"/>
      <c r="U22" s="374"/>
      <c r="V22" s="374"/>
      <c r="W22" s="374"/>
      <c r="X22" s="374"/>
      <c r="Y22" s="374"/>
      <c r="AA22" s="374" t="s">
        <v>99</v>
      </c>
      <c r="AB22" s="357"/>
    </row>
    <row r="23" ht="36.75" customHeight="1" spans="3:30" x14ac:dyDescent="0.25">
      <c r="C23" s="375" t="s">
        <v>55</v>
      </c>
      <c r="D23" s="375" t="s">
        <v>100</v>
      </c>
      <c r="E23" s="375" t="s">
        <v>23</v>
      </c>
      <c r="F23" s="375" t="s">
        <v>101</v>
      </c>
      <c r="G23" s="375" t="s">
        <v>26</v>
      </c>
      <c r="H23" s="375" t="s">
        <v>102</v>
      </c>
      <c r="I23" s="375" t="s">
        <v>103</v>
      </c>
      <c r="J23" s="375" t="s">
        <v>104</v>
      </c>
      <c r="K23" s="375" t="s">
        <v>105</v>
      </c>
      <c r="L23" s="375" t="s">
        <v>106</v>
      </c>
      <c r="O23" s="375" t="s">
        <v>55</v>
      </c>
      <c r="P23" s="375" t="s">
        <v>100</v>
      </c>
      <c r="Q23" s="375" t="s">
        <v>23</v>
      </c>
      <c r="R23" s="375" t="s">
        <v>101</v>
      </c>
      <c r="S23" s="375" t="s">
        <v>26</v>
      </c>
      <c r="T23" s="375" t="s">
        <v>99</v>
      </c>
      <c r="U23" s="375" t="s">
        <v>102</v>
      </c>
      <c r="V23" s="376" t="s">
        <v>103</v>
      </c>
      <c r="W23" s="375" t="s">
        <v>104</v>
      </c>
      <c r="X23" s="376" t="s">
        <v>105</v>
      </c>
      <c r="Y23" s="375" t="s">
        <v>106</v>
      </c>
      <c r="AA23" s="375" t="s">
        <v>106</v>
      </c>
      <c r="AB23" s="377"/>
      <c r="AD23" s="375" t="s">
        <v>107</v>
      </c>
    </row>
    <row r="24" spans="1:35" x14ac:dyDescent="0.25">
      <c r="A24" s="356">
        <f>+B24/12</f>
        <v>0.08333333333333333</v>
      </c>
      <c r="B24" s="356">
        <v>1</v>
      </c>
      <c r="C24" s="357">
        <v>0</v>
      </c>
      <c r="D24" s="357">
        <v>1</v>
      </c>
      <c r="E24" s="357">
        <f>G2</f>
        <v>29</v>
      </c>
      <c r="F24" s="356">
        <v>0</v>
      </c>
      <c r="G24" s="356">
        <f>G3</f>
        <v>10000</v>
      </c>
      <c r="H24" s="356">
        <f t="shared" ref="H24:H87" si="1">SUM(F24:G24)*$G$8</f>
        <v>79.74140428903765</v>
      </c>
      <c r="I24" s="356">
        <v>-500</v>
      </c>
      <c r="J24" s="356">
        <v>0</v>
      </c>
      <c r="K24" s="356">
        <f>-SUM(F24:J24)*0.1%*1.16</f>
        <v>-11.112500028975283</v>
      </c>
      <c r="L24" s="356">
        <f>SUM(F24:K24)</f>
        <v>9568.628904260062</v>
      </c>
      <c r="N24" s="356">
        <v>1</v>
      </c>
      <c r="O24" s="357">
        <v>0</v>
      </c>
      <c r="P24" s="357">
        <v>1</v>
      </c>
      <c r="Q24" s="357">
        <f>S9</f>
        <v>0</v>
      </c>
      <c r="R24" s="356">
        <v>0</v>
      </c>
      <c r="S24" s="356"/>
      <c r="T24" s="356">
        <f t="shared" ref="T24:T35" si="2">S24*$G$9</f>
        <v>0</v>
      </c>
      <c r="U24" s="356">
        <f>SUM(R24:T24)*$G$8</f>
        <v>0</v>
      </c>
      <c r="V24" s="359">
        <v>0</v>
      </c>
      <c r="X24" s="359">
        <f>-SUM(R24:U24)*0.1%</f>
        <v>0</v>
      </c>
      <c r="Y24" s="356">
        <f>SUM(R24:X24)</f>
        <v>0</v>
      </c>
      <c r="AA24" s="357">
        <f>+Bono!J24</f>
        <v>10062.001159928206</v>
      </c>
      <c r="AC24" s="378">
        <f t="shared" ref="AC24:AC87" si="3">+B24/12</f>
        <v>0.08333333333333333</v>
      </c>
      <c r="AD24" s="356">
        <f>+AA24+Y24+L24</f>
        <v>19630.63006418827</v>
      </c>
      <c r="AF24" s="379" t="s">
        <v>23</v>
      </c>
      <c r="AG24" s="379" t="s">
        <v>55</v>
      </c>
      <c r="AH24" s="379" t="s">
        <v>56</v>
      </c>
      <c r="AI24" s="379" t="s">
        <v>111</v>
      </c>
    </row>
    <row r="25" spans="1:38" x14ac:dyDescent="0.25">
      <c r="A25" s="356">
        <f t="shared" ref="A25:A88" si="4">+B25/12</f>
        <v>0.16666666666666666</v>
      </c>
      <c r="B25" s="356">
        <f t="shared" ref="B25:B88" si="5">+B24+1</f>
        <v>2</v>
      </c>
      <c r="C25" s="357">
        <v>0</v>
      </c>
      <c r="D25" s="357">
        <v>2</v>
      </c>
      <c r="E25" s="357">
        <f t="shared" ref="E25:E35" si="6">E24</f>
        <v>29</v>
      </c>
      <c r="F25" s="356">
        <f t="shared" ref="F25:F88" si="7">L24</f>
        <v>9568.628904260062</v>
      </c>
      <c r="G25" s="356">
        <f>IF($G$4="mensual",$G$3,0)</f>
        <v>10000</v>
      </c>
      <c r="H25" s="356">
        <f t="shared" si="1"/>
        <v>156.04299488367494</v>
      </c>
      <c r="I25" s="356">
        <v>0</v>
      </c>
      <c r="J25" s="356">
        <v>0</v>
      </c>
      <c r="K25" s="356">
        <f t="shared" ref="K25:K88" si="8">-SUM(F25:J25)*0.1%*1.16</f>
        <v>-22.880619403006733</v>
      </c>
      <c r="L25" s="356">
        <f t="shared" ref="L25:L87" si="9">SUM(F25:K25)</f>
        <v>19701.79127974073</v>
      </c>
      <c r="N25" s="356">
        <f t="shared" ref="N25:N88" si="10">+N24+1</f>
        <v>2</v>
      </c>
      <c r="O25" s="357">
        <v>0</v>
      </c>
      <c r="P25" s="357">
        <v>2</v>
      </c>
      <c r="Q25" s="357">
        <f t="shared" ref="Q25:Q35" si="11">Q24</f>
        <v>0</v>
      </c>
      <c r="R25" s="356">
        <f t="shared" ref="R25:R88" si="12">Y24</f>
        <v>0</v>
      </c>
      <c r="S25" s="356"/>
      <c r="T25" s="356">
        <f t="shared" si="2"/>
        <v>0</v>
      </c>
      <c r="U25" s="356">
        <v>0</v>
      </c>
      <c r="V25" s="359">
        <v>0</v>
      </c>
      <c r="X25" s="359">
        <f t="shared" ref="X25:X41" si="13">-SUM(R25:U25)*0.1%</f>
        <v>0</v>
      </c>
      <c r="Y25" s="356">
        <f t="shared" ref="Y25:Y87" si="14">SUM(R25:X25)</f>
        <v>0</v>
      </c>
      <c r="AA25" s="357">
        <f>+Bono!J25</f>
        <v>20186.387894167863</v>
      </c>
      <c r="AC25" s="378">
        <f t="shared" si="3"/>
        <v>0.16666666666666666</v>
      </c>
      <c r="AD25" s="356">
        <f t="shared" ref="AD25:AD87" si="15">+AA25+Y25+L25</f>
        <v>39888.17917390859</v>
      </c>
      <c r="AF25" s="356">
        <f>+'OptiMaxx plus'!T7+1</f>
        <v>30</v>
      </c>
      <c r="AG25" s="356">
        <v>1</v>
      </c>
      <c r="AH25" s="356">
        <f>VLOOKUP(G4,$AK$25:$AL$28,2,0)*G3</f>
        <v>120000</v>
      </c>
      <c r="AI25" s="356">
        <f>+AH25</f>
        <v>120000</v>
      </c>
      <c r="AK25" s="381" t="s">
        <v>9</v>
      </c>
      <c r="AL25" s="381">
        <v>12</v>
      </c>
    </row>
    <row r="26" spans="1:44" x14ac:dyDescent="0.25">
      <c r="A26" s="356">
        <f t="shared" si="4"/>
        <v>0.25</v>
      </c>
      <c r="B26" s="356">
        <f t="shared" si="5"/>
        <v>3</v>
      </c>
      <c r="C26" s="357">
        <v>0</v>
      </c>
      <c r="D26" s="357">
        <v>3</v>
      </c>
      <c r="E26" s="357">
        <f t="shared" si="6"/>
        <v>29</v>
      </c>
      <c r="F26" s="356">
        <f t="shared" si="7"/>
        <v>19701.79127974073</v>
      </c>
      <c r="G26" s="356">
        <f>IF($G$4="mensual",$G$3,0)</f>
        <v>10000</v>
      </c>
      <c r="H26" s="356">
        <f t="shared" si="1"/>
        <v>236.84625465464183</v>
      </c>
      <c r="I26" s="356">
        <v>0</v>
      </c>
      <c r="J26" s="360">
        <f>-SUM(F26:H26)*$J$21*1.16</f>
        <v>-312.55937585908777</v>
      </c>
      <c r="K26" s="356">
        <f t="shared" si="8"/>
        <v>-34.36625066390209</v>
      </c>
      <c r="L26" s="356">
        <f t="shared" si="9"/>
        <v>29591.711907872384</v>
      </c>
      <c r="N26" s="356">
        <f t="shared" si="10"/>
        <v>3</v>
      </c>
      <c r="O26" s="357">
        <v>0</v>
      </c>
      <c r="P26" s="357">
        <v>3</v>
      </c>
      <c r="Q26" s="357">
        <f t="shared" si="11"/>
        <v>0</v>
      </c>
      <c r="R26" s="356">
        <f t="shared" si="12"/>
        <v>0</v>
      </c>
      <c r="S26" s="356"/>
      <c r="T26" s="356">
        <f t="shared" si="2"/>
        <v>0</v>
      </c>
      <c r="U26" s="356">
        <v>0</v>
      </c>
      <c r="V26" s="359">
        <v>0</v>
      </c>
      <c r="X26" s="359">
        <f t="shared" si="13"/>
        <v>0</v>
      </c>
      <c r="Y26" s="356">
        <f t="shared" si="14"/>
        <v>0</v>
      </c>
      <c r="AA26" s="357">
        <f>+Bono!J26</f>
        <v>30099.911441952772</v>
      </c>
      <c r="AC26" s="378">
        <f t="shared" si="3"/>
        <v>0.25</v>
      </c>
      <c r="AD26" s="356">
        <f t="shared" si="15"/>
        <v>59691.62334982515</v>
      </c>
      <c r="AF26" s="356">
        <f>+AF25+1</f>
        <v>31</v>
      </c>
      <c r="AG26" s="356">
        <f t="shared" ref="AG26:AG49" si="16">+AG25+1</f>
        <v>2</v>
      </c>
      <c r="AH26" s="356">
        <f t="shared" ref="AH26:AH49" si="17">IF($G$17="Si",(1+$G$20)*AH25,AH25)</f>
        <v>120000</v>
      </c>
      <c r="AI26" s="356">
        <f>+AI25+AH26</f>
        <v>240000</v>
      </c>
      <c r="AK26" s="381" t="s">
        <v>14</v>
      </c>
      <c r="AL26" s="381">
        <v>4</v>
      </c>
      <c r="AP26" s="384" t="s">
        <v>112</v>
      </c>
      <c r="AQ26" s="384" t="s">
        <v>113</v>
      </c>
      <c r="AR26" s="384" t="s">
        <v>114</v>
      </c>
    </row>
    <row r="27" spans="1:44" x14ac:dyDescent="0.25">
      <c r="A27" s="356">
        <f t="shared" si="4"/>
        <v>0.3333333333333333</v>
      </c>
      <c r="B27" s="356">
        <f t="shared" si="5"/>
        <v>4</v>
      </c>
      <c r="C27" s="357">
        <v>0</v>
      </c>
      <c r="D27" s="357">
        <v>4</v>
      </c>
      <c r="E27" s="357">
        <f t="shared" si="6"/>
        <v>29</v>
      </c>
      <c r="F27" s="356">
        <f t="shared" si="7"/>
        <v>29591.711907872384</v>
      </c>
      <c r="G27" s="356">
        <f>IF($G$4="mensual",$G$3,IF($G$4="trimestral",G3,0))</f>
        <v>10000</v>
      </c>
      <c r="H27" s="356">
        <f t="shared" si="1"/>
        <v>315.70987057407575</v>
      </c>
      <c r="I27" s="356">
        <v>0</v>
      </c>
      <c r="J27" s="356">
        <v>0</v>
      </c>
      <c r="K27" s="356">
        <f t="shared" si="8"/>
        <v>-46.29260926299789</v>
      </c>
      <c r="L27" s="356">
        <f t="shared" si="9"/>
        <v>39861.12916918346</v>
      </c>
      <c r="N27" s="356">
        <f t="shared" si="10"/>
        <v>4</v>
      </c>
      <c r="O27" s="357">
        <v>0</v>
      </c>
      <c r="P27" s="357">
        <v>4</v>
      </c>
      <c r="Q27" s="357">
        <f t="shared" si="11"/>
        <v>0</v>
      </c>
      <c r="R27" s="356">
        <f t="shared" si="12"/>
        <v>0</v>
      </c>
      <c r="S27" s="356"/>
      <c r="T27" s="356">
        <f t="shared" si="2"/>
        <v>0</v>
      </c>
      <c r="U27" s="356">
        <f>SUM(R27:T27)*$G$8</f>
        <v>0</v>
      </c>
      <c r="V27" s="359">
        <v>0</v>
      </c>
      <c r="X27" s="359">
        <f t="shared" si="13"/>
        <v>0</v>
      </c>
      <c r="Y27" s="356">
        <f t="shared" si="14"/>
        <v>0</v>
      </c>
      <c r="AA27" s="357">
        <f>+Bono!J27</f>
        <v>40348.53554419472</v>
      </c>
      <c r="AC27" s="378">
        <f t="shared" si="3"/>
        <v>0.3333333333333333</v>
      </c>
      <c r="AD27" s="356">
        <f t="shared" si="15"/>
        <v>80209.66471337818</v>
      </c>
      <c r="AF27" s="356">
        <f t="shared" ref="AF27:AF90" si="18">+AF26+1</f>
        <v>32</v>
      </c>
      <c r="AG27" s="356">
        <f t="shared" si="16"/>
        <v>3</v>
      </c>
      <c r="AH27" s="356">
        <f t="shared" si="17"/>
        <v>120000</v>
      </c>
      <c r="AI27" s="356">
        <f t="shared" ref="AI27:AI90" si="19">+AI26+AH27</f>
        <v>360000</v>
      </c>
      <c r="AK27" s="381" t="s">
        <v>18</v>
      </c>
      <c r="AL27" s="381">
        <v>2</v>
      </c>
      <c r="AP27" s="384">
        <v>67.29</v>
      </c>
      <c r="AQ27" s="384">
        <f>+AP27*5*365</f>
        <v>122804.25000000001</v>
      </c>
      <c r="AR27" s="384">
        <f>AQ27*3</f>
        <v>368412.75000000006</v>
      </c>
    </row>
    <row r="28" spans="1:38" x14ac:dyDescent="0.25">
      <c r="A28" s="356">
        <f t="shared" si="4"/>
        <v>0.4166666666666667</v>
      </c>
      <c r="B28" s="356">
        <f t="shared" si="5"/>
        <v>5</v>
      </c>
      <c r="C28" s="357">
        <v>0</v>
      </c>
      <c r="D28" s="357">
        <v>5</v>
      </c>
      <c r="E28" s="357">
        <f t="shared" si="6"/>
        <v>29</v>
      </c>
      <c r="F28" s="356">
        <f t="shared" si="7"/>
        <v>39861.12916918346</v>
      </c>
      <c r="G28" s="356">
        <f>IF($G$4="mensual",$G$3,0)</f>
        <v>10000</v>
      </c>
      <c r="H28" s="356">
        <f t="shared" si="1"/>
        <v>397.5996459387786</v>
      </c>
      <c r="I28" s="356">
        <v>0</v>
      </c>
      <c r="J28" s="356">
        <v>0</v>
      </c>
      <c r="K28" s="356">
        <f t="shared" si="8"/>
        <v>-58.30012542554179</v>
      </c>
      <c r="L28" s="356">
        <f t="shared" si="9"/>
        <v>50200.428689696695</v>
      </c>
      <c r="N28" s="356">
        <f t="shared" si="10"/>
        <v>5</v>
      </c>
      <c r="O28" s="357">
        <v>0</v>
      </c>
      <c r="P28" s="357">
        <v>5</v>
      </c>
      <c r="Q28" s="357">
        <f t="shared" si="11"/>
        <v>0</v>
      </c>
      <c r="R28" s="356">
        <f t="shared" si="12"/>
        <v>0</v>
      </c>
      <c r="S28" s="356"/>
      <c r="T28" s="356">
        <f t="shared" si="2"/>
        <v>0</v>
      </c>
      <c r="U28" s="356">
        <v>0</v>
      </c>
      <c r="V28" s="359">
        <v>0</v>
      </c>
      <c r="X28" s="359">
        <f t="shared" si="13"/>
        <v>0</v>
      </c>
      <c r="Y28" s="356">
        <f t="shared" si="14"/>
        <v>0</v>
      </c>
      <c r="AA28" s="357">
        <f>+Bono!J28</f>
        <v>50660.70230463738</v>
      </c>
      <c r="AC28" s="378">
        <f t="shared" si="3"/>
        <v>0.4166666666666667</v>
      </c>
      <c r="AD28" s="356">
        <f t="shared" si="15"/>
        <v>100861.13099433407</v>
      </c>
      <c r="AF28" s="356">
        <f t="shared" si="18"/>
        <v>33</v>
      </c>
      <c r="AG28" s="356">
        <f t="shared" si="16"/>
        <v>4</v>
      </c>
      <c r="AH28" s="356">
        <f t="shared" si="17"/>
        <v>120000</v>
      </c>
      <c r="AI28" s="356">
        <f t="shared" si="19"/>
        <v>480000</v>
      </c>
      <c r="AK28" s="381" t="s">
        <v>21</v>
      </c>
      <c r="AL28" s="381">
        <v>1</v>
      </c>
    </row>
    <row r="29" spans="1:35" x14ac:dyDescent="0.25">
      <c r="A29" s="356">
        <f t="shared" si="4"/>
        <v>0.5</v>
      </c>
      <c r="B29" s="356">
        <f t="shared" si="5"/>
        <v>6</v>
      </c>
      <c r="C29" s="357">
        <v>0</v>
      </c>
      <c r="D29" s="357">
        <v>6</v>
      </c>
      <c r="E29" s="357">
        <f t="shared" si="6"/>
        <v>29</v>
      </c>
      <c r="F29" s="356">
        <f t="shared" si="7"/>
        <v>50200.428689696695</v>
      </c>
      <c r="G29" s="356">
        <f>IF($G$4="mensual",$G$3,0)</f>
        <v>10000</v>
      </c>
      <c r="H29" s="356">
        <f t="shared" si="1"/>
        <v>480.04667225184846</v>
      </c>
      <c r="I29" s="356">
        <v>0</v>
      </c>
      <c r="J29" s="360">
        <f>-SUM(F29:H29)*$J$21*1.16</f>
        <v>-633.5041627787429</v>
      </c>
      <c r="K29" s="356">
        <f t="shared" si="8"/>
        <v>-69.65448659103697</v>
      </c>
      <c r="L29" s="356">
        <f t="shared" si="9"/>
        <v>59977.31671257876</v>
      </c>
      <c r="N29" s="356">
        <f t="shared" si="10"/>
        <v>6</v>
      </c>
      <c r="O29" s="357">
        <v>0</v>
      </c>
      <c r="P29" s="357">
        <v>6</v>
      </c>
      <c r="Q29" s="357">
        <f t="shared" si="11"/>
        <v>0</v>
      </c>
      <c r="R29" s="356">
        <f t="shared" si="12"/>
        <v>0</v>
      </c>
      <c r="S29" s="356"/>
      <c r="T29" s="356">
        <f t="shared" si="2"/>
        <v>0</v>
      </c>
      <c r="U29" s="356">
        <v>0</v>
      </c>
      <c r="V29" s="359">
        <v>0</v>
      </c>
      <c r="X29" s="359">
        <f t="shared" si="13"/>
        <v>0</v>
      </c>
      <c r="Y29" s="356">
        <f t="shared" si="14"/>
        <v>0</v>
      </c>
      <c r="AA29" s="357">
        <f>+Bono!J29</f>
        <v>60486.924562743516</v>
      </c>
      <c r="AC29" s="378">
        <f t="shared" si="3"/>
        <v>0.5</v>
      </c>
      <c r="AD29" s="356">
        <f t="shared" si="15"/>
        <v>120464.24127532227</v>
      </c>
      <c r="AF29" s="356">
        <f t="shared" si="18"/>
        <v>34</v>
      </c>
      <c r="AG29" s="356">
        <f t="shared" si="16"/>
        <v>5</v>
      </c>
      <c r="AH29" s="356">
        <f t="shared" si="17"/>
        <v>120000</v>
      </c>
      <c r="AI29" s="356">
        <f t="shared" si="19"/>
        <v>600000</v>
      </c>
    </row>
    <row r="30" spans="1:35" x14ac:dyDescent="0.25">
      <c r="A30" s="356">
        <f t="shared" si="4"/>
        <v>0.5833333333333334</v>
      </c>
      <c r="B30" s="356">
        <f t="shared" si="5"/>
        <v>7</v>
      </c>
      <c r="C30" s="357">
        <v>0</v>
      </c>
      <c r="D30" s="357">
        <v>7</v>
      </c>
      <c r="E30" s="357">
        <f t="shared" si="6"/>
        <v>29</v>
      </c>
      <c r="F30" s="356">
        <f t="shared" si="7"/>
        <v>59977.31671257876</v>
      </c>
      <c r="G30" s="356">
        <f>IF($G$4="mensual",$G$3,IF($G$4="trimestral",$G$3,IF(G4="semestral",$G$3,0)))</f>
        <v>10000</v>
      </c>
      <c r="H30" s="356">
        <f t="shared" si="1"/>
        <v>558.0089503039774</v>
      </c>
      <c r="I30" s="356">
        <v>0</v>
      </c>
      <c r="J30" s="356">
        <v>0</v>
      </c>
      <c r="K30" s="356">
        <f t="shared" si="8"/>
        <v>-81.82097776894398</v>
      </c>
      <c r="L30" s="356">
        <f t="shared" si="9"/>
        <v>70453.50468511379</v>
      </c>
      <c r="N30" s="356">
        <f t="shared" si="10"/>
        <v>7</v>
      </c>
      <c r="O30" s="357">
        <v>0</v>
      </c>
      <c r="P30" s="357">
        <v>7</v>
      </c>
      <c r="Q30" s="357">
        <f t="shared" si="11"/>
        <v>0</v>
      </c>
      <c r="R30" s="356">
        <f t="shared" si="12"/>
        <v>0</v>
      </c>
      <c r="S30" s="356"/>
      <c r="T30" s="356">
        <f t="shared" si="2"/>
        <v>0</v>
      </c>
      <c r="U30" s="356">
        <f>SUM(R30:T30)*$G$8</f>
        <v>0</v>
      </c>
      <c r="V30" s="359">
        <v>0</v>
      </c>
      <c r="X30" s="359">
        <f t="shared" si="13"/>
        <v>0</v>
      </c>
      <c r="Y30" s="356">
        <f t="shared" si="14"/>
        <v>0</v>
      </c>
      <c r="AA30" s="357">
        <f>+Bono!J30</f>
        <v>70923.95167100971</v>
      </c>
      <c r="AC30" s="378">
        <f t="shared" si="3"/>
        <v>0.5833333333333334</v>
      </c>
      <c r="AD30" s="356">
        <f t="shared" si="15"/>
        <v>141377.4563561235</v>
      </c>
      <c r="AF30" s="356">
        <f t="shared" si="18"/>
        <v>35</v>
      </c>
      <c r="AG30" s="356">
        <f t="shared" si="16"/>
        <v>6</v>
      </c>
      <c r="AH30" s="356">
        <f t="shared" si="17"/>
        <v>120000</v>
      </c>
      <c r="AI30" s="356">
        <f t="shared" si="19"/>
        <v>720000</v>
      </c>
    </row>
    <row r="31" spans="1:35" x14ac:dyDescent="0.25">
      <c r="A31" s="356">
        <f t="shared" si="4"/>
        <v>0.6666666666666666</v>
      </c>
      <c r="B31" s="356">
        <f t="shared" si="5"/>
        <v>8</v>
      </c>
      <c r="C31" s="357">
        <v>0</v>
      </c>
      <c r="D31" s="357">
        <v>8</v>
      </c>
      <c r="E31" s="357">
        <f t="shared" si="6"/>
        <v>29</v>
      </c>
      <c r="F31" s="356">
        <f t="shared" si="7"/>
        <v>70453.50468511379</v>
      </c>
      <c r="G31" s="356">
        <f>IF($G$4="mensual",$G$3,0)</f>
        <v>10000</v>
      </c>
      <c r="H31" s="356">
        <f t="shared" si="1"/>
        <v>641.5475443565642</v>
      </c>
      <c r="I31" s="356">
        <v>0</v>
      </c>
      <c r="J31" s="356">
        <v>0</v>
      </c>
      <c r="K31" s="356">
        <f t="shared" si="8"/>
        <v>-94.07026058618561</v>
      </c>
      <c r="L31" s="356">
        <f t="shared" si="9"/>
        <v>81000.98196888417</v>
      </c>
      <c r="N31" s="356">
        <f t="shared" si="10"/>
        <v>8</v>
      </c>
      <c r="O31" s="357">
        <v>0</v>
      </c>
      <c r="P31" s="357">
        <v>8</v>
      </c>
      <c r="Q31" s="357">
        <f t="shared" si="11"/>
        <v>0</v>
      </c>
      <c r="R31" s="356">
        <f t="shared" si="12"/>
        <v>0</v>
      </c>
      <c r="S31" s="356"/>
      <c r="T31" s="356">
        <f t="shared" si="2"/>
        <v>0</v>
      </c>
      <c r="U31" s="356">
        <v>0</v>
      </c>
      <c r="V31" s="359">
        <v>0</v>
      </c>
      <c r="X31" s="359">
        <f t="shared" si="13"/>
        <v>0</v>
      </c>
      <c r="Y31" s="356">
        <f t="shared" si="14"/>
        <v>0</v>
      </c>
      <c r="AA31" s="357">
        <f>+Bono!J31</f>
        <v>81425.68955796737</v>
      </c>
      <c r="AC31" s="378">
        <f t="shared" si="3"/>
        <v>0.6666666666666666</v>
      </c>
      <c r="AD31" s="356">
        <f t="shared" si="15"/>
        <v>162426.67152685154</v>
      </c>
      <c r="AF31" s="356">
        <f t="shared" si="18"/>
        <v>36</v>
      </c>
      <c r="AG31" s="356">
        <f t="shared" si="16"/>
        <v>7</v>
      </c>
      <c r="AH31" s="356">
        <f t="shared" si="17"/>
        <v>120000</v>
      </c>
      <c r="AI31" s="356">
        <f t="shared" si="19"/>
        <v>840000</v>
      </c>
    </row>
    <row r="32" ht="11.25" customHeight="1" spans="1:53" x14ac:dyDescent="0.25">
      <c r="A32" s="356">
        <f t="shared" si="4"/>
        <v>0.75</v>
      </c>
      <c r="B32" s="356">
        <f t="shared" si="5"/>
        <v>9</v>
      </c>
      <c r="C32" s="357">
        <v>0</v>
      </c>
      <c r="D32" s="357">
        <v>9</v>
      </c>
      <c r="E32" s="357">
        <f t="shared" si="6"/>
        <v>29</v>
      </c>
      <c r="F32" s="356">
        <f t="shared" si="7"/>
        <v>81000.98196888417</v>
      </c>
      <c r="G32" s="356">
        <f>IF($G$4="mensual",$G$3,0)</f>
        <v>10000</v>
      </c>
      <c r="H32" s="356">
        <f t="shared" si="1"/>
        <v>725.6546093880218</v>
      </c>
      <c r="I32" s="356">
        <v>0</v>
      </c>
      <c r="J32" s="360">
        <f>-SUM(F32:H32)*$J$21*1.16</f>
        <v>-957.6260858771616</v>
      </c>
      <c r="K32" s="356">
        <f t="shared" si="8"/>
        <v>-105.29205217117823</v>
      </c>
      <c r="L32" s="356">
        <f t="shared" si="9"/>
        <v>90663.71844022385</v>
      </c>
      <c r="N32" s="356">
        <f t="shared" si="10"/>
        <v>9</v>
      </c>
      <c r="O32" s="357">
        <v>0</v>
      </c>
      <c r="P32" s="357">
        <v>9</v>
      </c>
      <c r="Q32" s="357">
        <f t="shared" si="11"/>
        <v>0</v>
      </c>
      <c r="R32" s="356">
        <f t="shared" si="12"/>
        <v>0</v>
      </c>
      <c r="S32" s="356"/>
      <c r="T32" s="356">
        <f t="shared" si="2"/>
        <v>0</v>
      </c>
      <c r="U32" s="356">
        <v>0</v>
      </c>
      <c r="V32" s="359">
        <v>0</v>
      </c>
      <c r="X32" s="359">
        <f t="shared" si="13"/>
        <v>0</v>
      </c>
      <c r="Y32" s="356">
        <f t="shared" si="14"/>
        <v>0</v>
      </c>
      <c r="AA32" s="357">
        <f>+Bono!J32</f>
        <v>91163.77782139226</v>
      </c>
      <c r="AC32" s="378">
        <f t="shared" si="3"/>
        <v>0.75</v>
      </c>
      <c r="AD32" s="356">
        <f t="shared" si="15"/>
        <v>181827.49626161612</v>
      </c>
      <c r="AF32" s="356">
        <f t="shared" si="18"/>
        <v>37</v>
      </c>
      <c r="AG32" s="356">
        <f t="shared" si="16"/>
        <v>8</v>
      </c>
      <c r="AH32" s="356">
        <f t="shared" si="17"/>
        <v>120000</v>
      </c>
      <c r="AI32" s="356">
        <f t="shared" si="19"/>
        <v>960000</v>
      </c>
      <c r="AK32" s="383" t="s">
        <v>115</v>
      </c>
      <c r="AL32" s="383"/>
      <c r="AM32" s="383"/>
      <c r="AN32" s="383"/>
      <c r="AO32" s="383"/>
      <c r="AP32" s="383"/>
      <c r="AQ32" s="383"/>
      <c r="AR32" s="383"/>
      <c r="AS32" s="383"/>
      <c r="AT32" s="383"/>
      <c r="AU32" s="383"/>
      <c r="AV32" s="383"/>
      <c r="AW32" s="383"/>
      <c r="AX32" s="383"/>
      <c r="AY32" s="383"/>
      <c r="AZ32" s="383"/>
      <c r="BA32" s="383"/>
    </row>
    <row r="33" spans="1:53" x14ac:dyDescent="0.25">
      <c r="A33" s="356">
        <f t="shared" si="4"/>
        <v>0.8333333333333334</v>
      </c>
      <c r="B33" s="356">
        <f t="shared" si="5"/>
        <v>10</v>
      </c>
      <c r="C33" s="357">
        <v>0</v>
      </c>
      <c r="D33" s="357">
        <v>10</v>
      </c>
      <c r="E33" s="357">
        <f t="shared" si="6"/>
        <v>29</v>
      </c>
      <c r="F33" s="356">
        <f t="shared" si="7"/>
        <v>90663.71844022385</v>
      </c>
      <c r="G33" s="356">
        <f>IF($G$4="mensual",$G$3,IF($G$4="trimestral",$G$3,0))</f>
        <v>10000</v>
      </c>
      <c r="H33" s="356">
        <f t="shared" si="1"/>
        <v>802.7066269379744</v>
      </c>
      <c r="I33" s="356">
        <v>0</v>
      </c>
      <c r="J33" s="356">
        <v>0</v>
      </c>
      <c r="K33" s="356">
        <f t="shared" si="8"/>
        <v>-117.7010530779077</v>
      </c>
      <c r="L33" s="356">
        <f t="shared" si="9"/>
        <v>101348.72401408391</v>
      </c>
      <c r="N33" s="356">
        <f t="shared" si="10"/>
        <v>10</v>
      </c>
      <c r="O33" s="357">
        <v>0</v>
      </c>
      <c r="P33" s="357">
        <v>10</v>
      </c>
      <c r="Q33" s="357">
        <f t="shared" si="11"/>
        <v>0</v>
      </c>
      <c r="R33" s="356">
        <f t="shared" si="12"/>
        <v>0</v>
      </c>
      <c r="S33" s="356"/>
      <c r="T33" s="356">
        <f t="shared" si="2"/>
        <v>0</v>
      </c>
      <c r="U33" s="356">
        <f>SUM(R33:T33)*$G$8</f>
        <v>0</v>
      </c>
      <c r="V33" s="359">
        <v>0</v>
      </c>
      <c r="X33" s="359">
        <f t="shared" si="13"/>
        <v>0</v>
      </c>
      <c r="Y33" s="356">
        <f t="shared" si="14"/>
        <v>0</v>
      </c>
      <c r="AA33" s="357">
        <f>+Bono!J33</f>
        <v>101791.00497815681</v>
      </c>
      <c r="AC33" s="378">
        <f t="shared" si="3"/>
        <v>0.8333333333333334</v>
      </c>
      <c r="AD33" s="356">
        <f t="shared" si="15"/>
        <v>203139.72899224074</v>
      </c>
      <c r="AF33" s="356">
        <f t="shared" si="18"/>
        <v>38</v>
      </c>
      <c r="AG33" s="356">
        <f t="shared" si="16"/>
        <v>9</v>
      </c>
      <c r="AH33" s="356">
        <f t="shared" si="17"/>
        <v>120000</v>
      </c>
      <c r="AI33" s="356">
        <f t="shared" si="19"/>
        <v>1080000</v>
      </c>
      <c r="AK33" s="383"/>
      <c r="AL33" s="383"/>
      <c r="AM33" s="383"/>
      <c r="AN33" s="383"/>
      <c r="AO33" s="383"/>
      <c r="AP33" s="383"/>
      <c r="AQ33" s="383"/>
      <c r="AR33" s="383"/>
      <c r="AS33" s="383"/>
      <c r="AT33" s="383"/>
      <c r="AU33" s="383"/>
      <c r="AV33" s="383"/>
      <c r="AW33" s="383"/>
      <c r="AX33" s="383"/>
      <c r="AY33" s="383"/>
      <c r="AZ33" s="383"/>
      <c r="BA33" s="383"/>
    </row>
    <row r="34" spans="1:53" x14ac:dyDescent="0.25">
      <c r="A34" s="356">
        <f t="shared" si="4"/>
        <v>0.9166666666666666</v>
      </c>
      <c r="B34" s="356">
        <f t="shared" si="5"/>
        <v>11</v>
      </c>
      <c r="C34" s="357">
        <v>0</v>
      </c>
      <c r="D34" s="357">
        <v>11</v>
      </c>
      <c r="E34" s="357">
        <f t="shared" si="6"/>
        <v>29</v>
      </c>
      <c r="F34" s="356">
        <f t="shared" si="7"/>
        <v>101348.72401408391</v>
      </c>
      <c r="G34" s="356">
        <f>IF($G$4="mensual",$G$3,0)</f>
        <v>10000</v>
      </c>
      <c r="H34" s="356">
        <f t="shared" si="1"/>
        <v>887.910361867554</v>
      </c>
      <c r="I34" s="356">
        <v>0</v>
      </c>
      <c r="J34" s="356">
        <v>0</v>
      </c>
      <c r="K34" s="356">
        <f t="shared" si="8"/>
        <v>-130.1944958761037</v>
      </c>
      <c r="L34" s="356">
        <f t="shared" si="9"/>
        <v>112106.43988007537</v>
      </c>
      <c r="N34" s="356">
        <f t="shared" si="10"/>
        <v>11</v>
      </c>
      <c r="O34" s="357">
        <v>0</v>
      </c>
      <c r="P34" s="357">
        <v>11</v>
      </c>
      <c r="Q34" s="357">
        <f t="shared" si="11"/>
        <v>0</v>
      </c>
      <c r="R34" s="356">
        <f t="shared" si="12"/>
        <v>0</v>
      </c>
      <c r="S34" s="356"/>
      <c r="T34" s="356">
        <f t="shared" si="2"/>
        <v>0</v>
      </c>
      <c r="U34" s="356">
        <v>0</v>
      </c>
      <c r="V34" s="359">
        <v>0</v>
      </c>
      <c r="X34" s="359">
        <f t="shared" si="13"/>
        <v>0</v>
      </c>
      <c r="Y34" s="356">
        <f t="shared" si="14"/>
        <v>0</v>
      </c>
      <c r="AA34" s="357">
        <f>+Bono!J34</f>
        <v>112484.12217597537</v>
      </c>
      <c r="AC34" s="378">
        <f t="shared" si="3"/>
        <v>0.9166666666666666</v>
      </c>
      <c r="AD34" s="356">
        <f t="shared" si="15"/>
        <v>224590.56205605075</v>
      </c>
      <c r="AF34" s="356">
        <f t="shared" si="18"/>
        <v>39</v>
      </c>
      <c r="AG34" s="356">
        <f t="shared" si="16"/>
        <v>10</v>
      </c>
      <c r="AH34" s="356">
        <f t="shared" si="17"/>
        <v>120000</v>
      </c>
      <c r="AI34" s="356">
        <f t="shared" si="19"/>
        <v>1200000</v>
      </c>
      <c r="AK34" s="383"/>
      <c r="AL34" s="383"/>
      <c r="AM34" s="383"/>
      <c r="AN34" s="383"/>
      <c r="AO34" s="383"/>
      <c r="AP34" s="383"/>
      <c r="AQ34" s="383"/>
      <c r="AR34" s="383"/>
      <c r="AS34" s="383"/>
      <c r="AT34" s="383"/>
      <c r="AU34" s="383"/>
      <c r="AV34" s="383"/>
      <c r="AW34" s="383"/>
      <c r="AX34" s="383"/>
      <c r="AY34" s="383"/>
      <c r="AZ34" s="383"/>
      <c r="BA34" s="383"/>
    </row>
    <row r="35" spans="1:53" x14ac:dyDescent="0.25">
      <c r="A35" s="356">
        <f t="shared" si="4"/>
        <v>1</v>
      </c>
      <c r="B35" s="356">
        <f t="shared" si="5"/>
        <v>12</v>
      </c>
      <c r="C35" s="357">
        <v>0</v>
      </c>
      <c r="D35" s="357">
        <v>12</v>
      </c>
      <c r="E35" s="357">
        <f t="shared" si="6"/>
        <v>29</v>
      </c>
      <c r="F35" s="356">
        <f t="shared" si="7"/>
        <v>112106.43988007537</v>
      </c>
      <c r="G35" s="356">
        <f>IF($G$4="mensual",$G$3,0)</f>
        <v>10000</v>
      </c>
      <c r="H35" s="356">
        <f t="shared" si="1"/>
        <v>973.6938988772159</v>
      </c>
      <c r="I35" s="356">
        <v>0</v>
      </c>
      <c r="J35" s="360">
        <f>-SUM(F35:H35)*$J$21*1.16</f>
        <v>-1284.9565966522653</v>
      </c>
      <c r="K35" s="356">
        <f t="shared" si="8"/>
        <v>-141.28240553146836</v>
      </c>
      <c r="L35" s="356">
        <f t="shared" si="9"/>
        <v>121653.89477676885</v>
      </c>
      <c r="N35" s="356">
        <f t="shared" si="10"/>
        <v>12</v>
      </c>
      <c r="O35" s="357">
        <v>0</v>
      </c>
      <c r="P35" s="357">
        <v>12</v>
      </c>
      <c r="Q35" s="357">
        <f t="shared" si="11"/>
        <v>0</v>
      </c>
      <c r="R35" s="356">
        <f t="shared" si="12"/>
        <v>0</v>
      </c>
      <c r="T35" s="356">
        <f t="shared" si="2"/>
        <v>0</v>
      </c>
      <c r="U35" s="356">
        <v>0</v>
      </c>
      <c r="V35" s="359">
        <v>0</v>
      </c>
      <c r="X35" s="359">
        <f t="shared" si="13"/>
        <v>0</v>
      </c>
      <c r="Y35" s="356">
        <f t="shared" si="14"/>
        <v>0</v>
      </c>
      <c r="AA35" s="357">
        <f>+Bono!J35</f>
        <v>122133.23579713491</v>
      </c>
      <c r="AC35" s="378">
        <f t="shared" si="3"/>
        <v>1</v>
      </c>
      <c r="AD35" s="356">
        <f t="shared" si="15"/>
        <v>243787.13057390376</v>
      </c>
      <c r="AF35" s="356">
        <f t="shared" si="18"/>
        <v>40</v>
      </c>
      <c r="AG35" s="356">
        <f t="shared" si="16"/>
        <v>11</v>
      </c>
      <c r="AH35" s="356">
        <f t="shared" si="17"/>
        <v>120000</v>
      </c>
      <c r="AI35" s="356">
        <f t="shared" si="19"/>
        <v>1320000</v>
      </c>
      <c r="AK35" s="383"/>
      <c r="AL35" s="383"/>
      <c r="AM35" s="383"/>
      <c r="AN35" s="383"/>
      <c r="AO35" s="383"/>
      <c r="AP35" s="383"/>
      <c r="AQ35" s="383"/>
      <c r="AR35" s="383"/>
      <c r="AS35" s="383"/>
      <c r="AT35" s="383"/>
      <c r="AU35" s="383"/>
      <c r="AV35" s="383"/>
      <c r="AW35" s="383"/>
      <c r="AX35" s="383"/>
      <c r="AY35" s="383"/>
      <c r="AZ35" s="383"/>
      <c r="BA35" s="383"/>
    </row>
    <row r="36" spans="1:53" x14ac:dyDescent="0.25">
      <c r="A36" s="356">
        <f t="shared" si="4"/>
        <v>1.0833333333333333</v>
      </c>
      <c r="B36" s="356">
        <f t="shared" si="5"/>
        <v>13</v>
      </c>
      <c r="C36" s="357">
        <f t="shared" ref="C36:C99" si="20">C24+1</f>
        <v>1</v>
      </c>
      <c r="D36" s="357">
        <f t="shared" ref="D36:D99" si="21">D24</f>
        <v>1</v>
      </c>
      <c r="E36" s="357">
        <f t="shared" ref="E36:E99" si="22">E24+1</f>
        <v>30</v>
      </c>
      <c r="F36" s="356">
        <f t="shared" si="7"/>
        <v>121653.89477676885</v>
      </c>
      <c r="G36" s="356">
        <f>IF(AND(G4="Anual",$G$17="si"),G24*(1+$G$20)/2,IF(AND(G4="Anual",$G$17="No"),G24/2,IF(G17="Si",G24*(1+$G$20),G24)))</f>
        <v>10000</v>
      </c>
      <c r="H36" s="356">
        <f t="shared" si="1"/>
        <v>1049.8266449620746</v>
      </c>
      <c r="I36" s="356">
        <v>0</v>
      </c>
      <c r="J36" s="356">
        <v>0</v>
      </c>
      <c r="K36" s="356">
        <f t="shared" si="8"/>
        <v>-153.93631684920788</v>
      </c>
      <c r="L36" s="356">
        <f t="shared" si="9"/>
        <v>132549.78510488174</v>
      </c>
      <c r="N36" s="356">
        <f t="shared" si="10"/>
        <v>13</v>
      </c>
      <c r="O36" s="357">
        <f t="shared" ref="O36:O99" si="23">O24+1</f>
        <v>1</v>
      </c>
      <c r="P36" s="357">
        <f t="shared" ref="P36:P99" si="24">P24</f>
        <v>1</v>
      </c>
      <c r="Q36" s="357">
        <f t="shared" ref="Q36:Q99" si="25">Q24+1</f>
        <v>1</v>
      </c>
      <c r="R36" s="356">
        <f t="shared" si="12"/>
        <v>0</v>
      </c>
      <c r="S36" s="356">
        <f>IF(G4="Anual",G36,0)</f>
        <v>0</v>
      </c>
      <c r="U36" s="356">
        <f t="shared" ref="U36:U99" si="26">SUM(R36:T36)*$G$8</f>
        <v>0</v>
      </c>
      <c r="V36" s="359">
        <v>0</v>
      </c>
      <c r="X36" s="359">
        <f t="shared" si="13"/>
        <v>0</v>
      </c>
      <c r="Y36" s="356">
        <f t="shared" si="14"/>
        <v>0</v>
      </c>
      <c r="AA36" s="357">
        <f>+Bono!J36</f>
        <v>122890.47602565565</v>
      </c>
      <c r="AC36" s="378">
        <f t="shared" si="3"/>
        <v>1.0833333333333333</v>
      </c>
      <c r="AD36" s="356">
        <f t="shared" si="15"/>
        <v>255440.26113053737</v>
      </c>
      <c r="AF36" s="356">
        <f t="shared" si="18"/>
        <v>41</v>
      </c>
      <c r="AG36" s="356">
        <f t="shared" si="16"/>
        <v>12</v>
      </c>
      <c r="AH36" s="356">
        <f t="shared" si="17"/>
        <v>120000</v>
      </c>
      <c r="AI36" s="356">
        <f t="shared" si="19"/>
        <v>1440000</v>
      </c>
      <c r="AK36" s="383"/>
      <c r="AL36" s="383"/>
      <c r="AM36" s="383"/>
      <c r="AN36" s="383"/>
      <c r="AO36" s="383"/>
      <c r="AP36" s="383"/>
      <c r="AQ36" s="383"/>
      <c r="AR36" s="383"/>
      <c r="AS36" s="383"/>
      <c r="AT36" s="383"/>
      <c r="AU36" s="383"/>
      <c r="AV36" s="383"/>
      <c r="AW36" s="383"/>
      <c r="AX36" s="383"/>
      <c r="AY36" s="383"/>
      <c r="AZ36" s="383"/>
      <c r="BA36" s="383"/>
    </row>
    <row r="37" spans="1:53" x14ac:dyDescent="0.25">
      <c r="A37" s="356">
        <f t="shared" si="4"/>
        <v>1.1666666666666667</v>
      </c>
      <c r="B37" s="356">
        <f t="shared" si="5"/>
        <v>14</v>
      </c>
      <c r="C37" s="357">
        <f t="shared" si="20"/>
        <v>1</v>
      </c>
      <c r="D37" s="357">
        <f t="shared" si="21"/>
        <v>2</v>
      </c>
      <c r="E37" s="357">
        <f t="shared" si="22"/>
        <v>30</v>
      </c>
      <c r="F37" s="356">
        <f t="shared" si="7"/>
        <v>132549.78510488174</v>
      </c>
      <c r="G37" s="356">
        <f>+IF($G$4="mensual",G36,0)</f>
        <v>10000</v>
      </c>
      <c r="H37" s="356">
        <f t="shared" si="1"/>
        <v>1136.712004536381</v>
      </c>
      <c r="I37" s="356">
        <v>0</v>
      </c>
      <c r="J37" s="356">
        <v>0</v>
      </c>
      <c r="K37" s="356">
        <f t="shared" si="8"/>
        <v>-166.67633664692502</v>
      </c>
      <c r="L37" s="356">
        <f t="shared" si="9"/>
        <v>143519.8207727712</v>
      </c>
      <c r="N37" s="356">
        <f t="shared" si="10"/>
        <v>14</v>
      </c>
      <c r="O37" s="357">
        <f t="shared" si="23"/>
        <v>1</v>
      </c>
      <c r="P37" s="357">
        <f t="shared" si="24"/>
        <v>2</v>
      </c>
      <c r="Q37" s="357">
        <f t="shared" si="25"/>
        <v>1</v>
      </c>
      <c r="R37" s="356">
        <f t="shared" si="12"/>
        <v>0</v>
      </c>
      <c r="U37" s="356">
        <f t="shared" si="26"/>
        <v>0</v>
      </c>
      <c r="V37" s="359">
        <v>0</v>
      </c>
      <c r="X37" s="359">
        <f t="shared" si="13"/>
        <v>0</v>
      </c>
      <c r="Y37" s="356">
        <f t="shared" si="14"/>
        <v>0</v>
      </c>
      <c r="AA37" s="357">
        <f>+Bono!J37</f>
        <v>123652.41123142766</v>
      </c>
      <c r="AC37" s="378">
        <f t="shared" si="3"/>
        <v>1.1666666666666667</v>
      </c>
      <c r="AD37" s="356">
        <f t="shared" si="15"/>
        <v>267172.2320041988</v>
      </c>
      <c r="AF37" s="356">
        <f t="shared" si="18"/>
        <v>42</v>
      </c>
      <c r="AG37" s="356">
        <f t="shared" si="16"/>
        <v>13</v>
      </c>
      <c r="AH37" s="356">
        <f t="shared" si="17"/>
        <v>120000</v>
      </c>
      <c r="AI37" s="356">
        <f t="shared" si="19"/>
        <v>1560000</v>
      </c>
      <c r="AK37" s="383" t="s">
        <v>116</v>
      </c>
      <c r="AL37" s="383"/>
      <c r="AM37" s="383"/>
      <c r="AN37" s="383"/>
      <c r="AO37" s="383"/>
      <c r="AP37" s="383"/>
      <c r="AQ37" s="383"/>
      <c r="AR37" s="383"/>
      <c r="AS37" s="383"/>
      <c r="AT37" s="383"/>
      <c r="AU37" s="383"/>
      <c r="AV37" s="383"/>
      <c r="AW37" s="383"/>
      <c r="AX37" s="383"/>
      <c r="AY37" s="383"/>
      <c r="AZ37" s="383"/>
      <c r="BA37" s="383"/>
    </row>
    <row r="38" spans="1:53" x14ac:dyDescent="0.25">
      <c r="A38" s="356">
        <f t="shared" si="4"/>
        <v>1.25</v>
      </c>
      <c r="B38" s="356">
        <f t="shared" si="5"/>
        <v>15</v>
      </c>
      <c r="C38" s="357">
        <f t="shared" si="20"/>
        <v>1</v>
      </c>
      <c r="D38" s="357">
        <f t="shared" si="21"/>
        <v>3</v>
      </c>
      <c r="E38" s="357">
        <f t="shared" si="22"/>
        <v>30</v>
      </c>
      <c r="F38" s="356">
        <f t="shared" si="7"/>
        <v>143519.8207727712</v>
      </c>
      <c r="G38" s="356">
        <f>+G37</f>
        <v>10000</v>
      </c>
      <c r="H38" s="356">
        <f t="shared" si="1"/>
        <v>1224.1886094622148</v>
      </c>
      <c r="I38" s="356">
        <v>0</v>
      </c>
      <c r="J38" s="360">
        <f>-SUM(F38:H38)*$J$21*1.16</f>
        <v>-1615.5274579505167</v>
      </c>
      <c r="K38" s="356">
        <f t="shared" si="8"/>
        <v>-177.62903903216812</v>
      </c>
      <c r="L38" s="356">
        <f t="shared" si="9"/>
        <v>152950.8528852507</v>
      </c>
      <c r="N38" s="356">
        <f t="shared" si="10"/>
        <v>15</v>
      </c>
      <c r="O38" s="357">
        <f t="shared" si="23"/>
        <v>1</v>
      </c>
      <c r="P38" s="357">
        <f t="shared" si="24"/>
        <v>3</v>
      </c>
      <c r="Q38" s="357">
        <f t="shared" si="25"/>
        <v>1</v>
      </c>
      <c r="R38" s="356">
        <f t="shared" si="12"/>
        <v>0</v>
      </c>
      <c r="U38" s="356">
        <f t="shared" si="26"/>
        <v>0</v>
      </c>
      <c r="V38" s="359">
        <v>0</v>
      </c>
      <c r="X38" s="359">
        <f t="shared" si="13"/>
        <v>0</v>
      </c>
      <c r="Y38" s="356">
        <f t="shared" si="14"/>
        <v>0</v>
      </c>
      <c r="AA38" s="357">
        <f>+Bono!J38</f>
        <v>123298.17799661253</v>
      </c>
      <c r="AC38" s="378">
        <f t="shared" si="3"/>
        <v>1.25</v>
      </c>
      <c r="AD38" s="356">
        <f t="shared" si="15"/>
        <v>276249.0308818632</v>
      </c>
      <c r="AF38" s="356">
        <f t="shared" si="18"/>
        <v>43</v>
      </c>
      <c r="AG38" s="356">
        <f t="shared" si="16"/>
        <v>14</v>
      </c>
      <c r="AH38" s="356">
        <f t="shared" si="17"/>
        <v>120000</v>
      </c>
      <c r="AI38" s="356">
        <f t="shared" si="19"/>
        <v>1680000</v>
      </c>
      <c r="AK38" s="383"/>
      <c r="AL38" s="383"/>
      <c r="AM38" s="383"/>
      <c r="AN38" s="383"/>
      <c r="AO38" s="383"/>
      <c r="AP38" s="383"/>
      <c r="AQ38" s="383"/>
      <c r="AR38" s="383"/>
      <c r="AS38" s="383"/>
      <c r="AT38" s="383"/>
      <c r="AU38" s="383"/>
      <c r="AV38" s="383"/>
      <c r="AW38" s="383"/>
      <c r="AX38" s="383"/>
      <c r="AY38" s="383"/>
      <c r="AZ38" s="383"/>
      <c r="BA38" s="383"/>
    </row>
    <row r="39" spans="1:53" x14ac:dyDescent="0.25">
      <c r="A39" s="356">
        <f t="shared" si="4"/>
        <v>1.3333333333333333</v>
      </c>
      <c r="B39" s="356">
        <f t="shared" si="5"/>
        <v>16</v>
      </c>
      <c r="C39" s="357">
        <f t="shared" si="20"/>
        <v>1</v>
      </c>
      <c r="D39" s="357">
        <f t="shared" si="21"/>
        <v>4</v>
      </c>
      <c r="E39" s="357">
        <f t="shared" si="22"/>
        <v>30</v>
      </c>
      <c r="F39" s="356">
        <f t="shared" si="7"/>
        <v>152950.8528852507</v>
      </c>
      <c r="G39" s="356">
        <f>IF($G$4="mensual",G36,IF($G$4="trimestral",G36,0))</f>
        <v>10000</v>
      </c>
      <c r="H39" s="356">
        <f t="shared" si="1"/>
        <v>1299.3929839166271</v>
      </c>
      <c r="I39" s="356">
        <v>0</v>
      </c>
      <c r="J39" s="356">
        <v>0</v>
      </c>
      <c r="K39" s="356">
        <f t="shared" si="8"/>
        <v>-190.53028520823406</v>
      </c>
      <c r="L39" s="356">
        <f t="shared" si="9"/>
        <v>164059.7155839591</v>
      </c>
      <c r="N39" s="356">
        <f t="shared" si="10"/>
        <v>16</v>
      </c>
      <c r="O39" s="357">
        <f t="shared" si="23"/>
        <v>1</v>
      </c>
      <c r="P39" s="357">
        <f t="shared" si="24"/>
        <v>4</v>
      </c>
      <c r="Q39" s="357">
        <f t="shared" si="25"/>
        <v>1</v>
      </c>
      <c r="R39" s="356">
        <f t="shared" si="12"/>
        <v>0</v>
      </c>
      <c r="U39" s="356">
        <f t="shared" si="26"/>
        <v>0</v>
      </c>
      <c r="V39" s="359">
        <v>0</v>
      </c>
      <c r="X39" s="359">
        <f t="shared" si="13"/>
        <v>0</v>
      </c>
      <c r="Y39" s="356">
        <f t="shared" si="14"/>
        <v>0</v>
      </c>
      <c r="AA39" s="357">
        <f>+Bono!J39</f>
        <v>124062.64100189497</v>
      </c>
      <c r="AC39" s="378">
        <f t="shared" si="3"/>
        <v>1.3333333333333333</v>
      </c>
      <c r="AD39" s="356">
        <f t="shared" si="15"/>
        <v>288122.3565858541</v>
      </c>
      <c r="AF39" s="356">
        <f t="shared" si="18"/>
        <v>44</v>
      </c>
      <c r="AG39" s="356">
        <f t="shared" si="16"/>
        <v>15</v>
      </c>
      <c r="AH39" s="356">
        <f t="shared" si="17"/>
        <v>120000</v>
      </c>
      <c r="AI39" s="356">
        <f t="shared" si="19"/>
        <v>1800000</v>
      </c>
      <c r="AK39" s="383"/>
      <c r="AL39" s="383"/>
      <c r="AM39" s="383"/>
      <c r="AN39" s="383"/>
      <c r="AO39" s="383"/>
      <c r="AP39" s="383"/>
      <c r="AQ39" s="383"/>
      <c r="AR39" s="383"/>
      <c r="AS39" s="383"/>
      <c r="AT39" s="383"/>
      <c r="AU39" s="383"/>
      <c r="AV39" s="383"/>
      <c r="AW39" s="383"/>
      <c r="AX39" s="383"/>
      <c r="AY39" s="383"/>
      <c r="AZ39" s="383"/>
      <c r="BA39" s="383"/>
    </row>
    <row r="40" spans="1:53" x14ac:dyDescent="0.25">
      <c r="A40" s="356">
        <f t="shared" si="4"/>
        <v>1.4166666666666667</v>
      </c>
      <c r="B40" s="356">
        <f t="shared" si="5"/>
        <v>17</v>
      </c>
      <c r="C40" s="357">
        <f t="shared" si="20"/>
        <v>1</v>
      </c>
      <c r="D40" s="357">
        <f t="shared" si="21"/>
        <v>5</v>
      </c>
      <c r="E40" s="357">
        <f t="shared" si="22"/>
        <v>30</v>
      </c>
      <c r="F40" s="356">
        <f t="shared" si="7"/>
        <v>164059.7155839591</v>
      </c>
      <c r="G40" s="356">
        <f>+IF($G$4="mensual",G39,0)</f>
        <v>10000</v>
      </c>
      <c r="H40" s="356">
        <f t="shared" si="1"/>
        <v>1387.9766150815387</v>
      </c>
      <c r="I40" s="356">
        <v>0</v>
      </c>
      <c r="J40" s="356">
        <v>0</v>
      </c>
      <c r="K40" s="356">
        <f t="shared" si="8"/>
        <v>-203.51932295088713</v>
      </c>
      <c r="L40" s="356">
        <f t="shared" si="9"/>
        <v>175244.17287608975</v>
      </c>
      <c r="N40" s="356">
        <f t="shared" si="10"/>
        <v>17</v>
      </c>
      <c r="O40" s="357">
        <f t="shared" si="23"/>
        <v>1</v>
      </c>
      <c r="P40" s="357">
        <f t="shared" si="24"/>
        <v>5</v>
      </c>
      <c r="Q40" s="357">
        <f t="shared" si="25"/>
        <v>1</v>
      </c>
      <c r="R40" s="356">
        <f t="shared" si="12"/>
        <v>0</v>
      </c>
      <c r="U40" s="356">
        <f t="shared" si="26"/>
        <v>0</v>
      </c>
      <c r="V40" s="359">
        <v>0</v>
      </c>
      <c r="X40" s="359">
        <f t="shared" si="13"/>
        <v>0</v>
      </c>
      <c r="Y40" s="356">
        <f t="shared" si="14"/>
        <v>0</v>
      </c>
      <c r="AA40" s="357">
        <f>+Bono!J40</f>
        <v>124831.84376648239</v>
      </c>
      <c r="AC40" s="378">
        <f t="shared" si="3"/>
        <v>1.4166666666666667</v>
      </c>
      <c r="AD40" s="356">
        <f t="shared" si="15"/>
        <v>300076.0166425721</v>
      </c>
      <c r="AF40" s="356">
        <f t="shared" si="18"/>
        <v>45</v>
      </c>
      <c r="AG40" s="356">
        <f t="shared" si="16"/>
        <v>16</v>
      </c>
      <c r="AH40" s="356">
        <f t="shared" si="17"/>
        <v>120000</v>
      </c>
      <c r="AI40" s="356">
        <f t="shared" si="19"/>
        <v>1920000</v>
      </c>
      <c r="AK40" s="383"/>
      <c r="AL40" s="383"/>
      <c r="AM40" s="383"/>
      <c r="AN40" s="383"/>
      <c r="AO40" s="383"/>
      <c r="AP40" s="383"/>
      <c r="AQ40" s="383"/>
      <c r="AR40" s="383"/>
      <c r="AS40" s="383"/>
      <c r="AT40" s="383"/>
      <c r="AU40" s="383"/>
      <c r="AV40" s="383"/>
      <c r="AW40" s="383"/>
      <c r="AX40" s="383"/>
      <c r="AY40" s="383"/>
      <c r="AZ40" s="383"/>
      <c r="BA40" s="383"/>
    </row>
    <row r="41" spans="1:53" x14ac:dyDescent="0.25">
      <c r="A41" s="356">
        <f t="shared" si="4"/>
        <v>1.5</v>
      </c>
      <c r="B41" s="356">
        <f t="shared" si="5"/>
        <v>18</v>
      </c>
      <c r="C41" s="357">
        <f t="shared" si="20"/>
        <v>1</v>
      </c>
      <c r="D41" s="357">
        <f t="shared" si="21"/>
        <v>6</v>
      </c>
      <c r="E41" s="357">
        <f t="shared" si="22"/>
        <v>30</v>
      </c>
      <c r="F41" s="356">
        <f t="shared" si="7"/>
        <v>175244.17287608975</v>
      </c>
      <c r="G41" s="356">
        <f>+G40</f>
        <v>10000</v>
      </c>
      <c r="H41" s="356">
        <f t="shared" si="1"/>
        <v>1477.1630481500654</v>
      </c>
      <c r="I41" s="356">
        <v>0</v>
      </c>
      <c r="J41" s="360">
        <f>-SUM(F41:H41)*$J$21*1.16</f>
        <v>-1949.370747049064</v>
      </c>
      <c r="K41" s="356">
        <f t="shared" si="8"/>
        <v>-214.33547960554128</v>
      </c>
      <c r="L41" s="356">
        <f t="shared" si="9"/>
        <v>184557.62969758522</v>
      </c>
      <c r="N41" s="356">
        <f t="shared" si="10"/>
        <v>18</v>
      </c>
      <c r="O41" s="357">
        <f t="shared" si="23"/>
        <v>1</v>
      </c>
      <c r="P41" s="357">
        <f t="shared" si="24"/>
        <v>6</v>
      </c>
      <c r="Q41" s="357">
        <f t="shared" si="25"/>
        <v>1</v>
      </c>
      <c r="R41" s="356">
        <f t="shared" si="12"/>
        <v>0</v>
      </c>
      <c r="S41" s="356">
        <v>0</v>
      </c>
      <c r="U41" s="356">
        <f t="shared" si="26"/>
        <v>0</v>
      </c>
      <c r="V41" s="359">
        <v>0</v>
      </c>
      <c r="X41" s="359">
        <f t="shared" si="13"/>
        <v>0</v>
      </c>
      <c r="Y41" s="356">
        <f t="shared" si="14"/>
        <v>0</v>
      </c>
      <c r="AA41" s="357">
        <f>+Bono!J41</f>
        <v>124474.23175241033</v>
      </c>
      <c r="AC41" s="378">
        <f t="shared" si="3"/>
        <v>1.5</v>
      </c>
      <c r="AD41" s="356">
        <f t="shared" si="15"/>
        <v>309031.86144999554</v>
      </c>
      <c r="AF41" s="356">
        <f t="shared" si="18"/>
        <v>46</v>
      </c>
      <c r="AG41" s="356">
        <f t="shared" si="16"/>
        <v>17</v>
      </c>
      <c r="AH41" s="356">
        <f t="shared" si="17"/>
        <v>120000</v>
      </c>
      <c r="AI41" s="356">
        <f t="shared" si="19"/>
        <v>2040000</v>
      </c>
      <c r="AK41" s="383"/>
      <c r="AL41" s="383"/>
      <c r="AM41" s="383"/>
      <c r="AN41" s="383"/>
      <c r="AO41" s="383"/>
      <c r="AP41" s="383"/>
      <c r="AQ41" s="383"/>
      <c r="AR41" s="383"/>
      <c r="AS41" s="383"/>
      <c r="AT41" s="383"/>
      <c r="AU41" s="383"/>
      <c r="AV41" s="383"/>
      <c r="AW41" s="383"/>
      <c r="AX41" s="383"/>
      <c r="AY41" s="383"/>
      <c r="AZ41" s="383"/>
      <c r="BA41" s="383"/>
    </row>
    <row r="42" spans="1:53" x14ac:dyDescent="0.25">
      <c r="A42" s="356">
        <f t="shared" si="4"/>
        <v>1.5833333333333333</v>
      </c>
      <c r="B42" s="356">
        <f t="shared" si="5"/>
        <v>19</v>
      </c>
      <c r="C42" s="357">
        <f t="shared" si="20"/>
        <v>1</v>
      </c>
      <c r="D42" s="357">
        <f t="shared" si="21"/>
        <v>7</v>
      </c>
      <c r="E42" s="357">
        <f t="shared" si="22"/>
        <v>30</v>
      </c>
      <c r="F42" s="356">
        <f t="shared" si="7"/>
        <v>184557.62969758522</v>
      </c>
      <c r="H42" s="356">
        <f t="shared" si="1"/>
        <v>1471.6884564341642</v>
      </c>
      <c r="I42" s="356">
        <v>0</v>
      </c>
      <c r="J42" s="356">
        <v>0</v>
      </c>
      <c r="K42" s="356">
        <f t="shared" si="8"/>
        <v>-215.79400905866248</v>
      </c>
      <c r="L42" s="356">
        <f t="shared" si="9"/>
        <v>185813.52414496074</v>
      </c>
      <c r="N42" s="356">
        <f t="shared" si="10"/>
        <v>19</v>
      </c>
      <c r="O42" s="357">
        <f t="shared" si="23"/>
        <v>1</v>
      </c>
      <c r="P42" s="357">
        <f t="shared" si="24"/>
        <v>7</v>
      </c>
      <c r="Q42" s="357">
        <f t="shared" si="25"/>
        <v>1</v>
      </c>
      <c r="R42" s="356">
        <f t="shared" si="12"/>
        <v>0</v>
      </c>
      <c r="S42" s="356">
        <f>+IF($G$4="mensual",G36,IF($G$4="trimestral",G36,IF(G4="semestral",G36,0)))</f>
        <v>10000</v>
      </c>
      <c r="U42" s="356">
        <f t="shared" si="26"/>
        <v>79.74140428903765</v>
      </c>
      <c r="V42" s="359">
        <f>-15*G19*(1+$G$20)*1.16</f>
        <v>-91.92768</v>
      </c>
      <c r="X42" s="359">
        <f>-SUM(R42:V42)*0.1%*1.16</f>
        <v>-11.585863920175282</v>
      </c>
      <c r="Y42" s="356">
        <f>SUM(R42:X42)</f>
        <v>9976.227860368861</v>
      </c>
      <c r="AA42" s="357">
        <f>+Bono!J42</f>
        <v>125245.9864273925</v>
      </c>
      <c r="AC42" s="378">
        <f t="shared" si="3"/>
        <v>1.5833333333333333</v>
      </c>
      <c r="AD42" s="356">
        <f t="shared" si="15"/>
        <v>321035.7384327221</v>
      </c>
      <c r="AF42" s="356">
        <f t="shared" si="18"/>
        <v>47</v>
      </c>
      <c r="AG42" s="356">
        <f t="shared" si="16"/>
        <v>18</v>
      </c>
      <c r="AH42" s="356">
        <f t="shared" si="17"/>
        <v>120000</v>
      </c>
      <c r="AI42" s="356">
        <f t="shared" si="19"/>
        <v>2160000</v>
      </c>
      <c r="AK42" s="383" t="s">
        <v>117</v>
      </c>
      <c r="AL42" s="383"/>
      <c r="AM42" s="383"/>
      <c r="AN42" s="383"/>
      <c r="AO42" s="383"/>
      <c r="AP42" s="383"/>
      <c r="AQ42" s="383"/>
      <c r="AR42" s="383"/>
      <c r="AS42" s="383"/>
      <c r="AT42" s="383"/>
      <c r="AU42" s="383"/>
      <c r="AV42" s="383"/>
      <c r="AW42" s="383"/>
      <c r="AX42" s="383"/>
      <c r="AY42" s="383"/>
      <c r="AZ42" s="383"/>
      <c r="BA42" s="383"/>
    </row>
    <row r="43" spans="1:53" x14ac:dyDescent="0.25">
      <c r="A43" s="356">
        <f t="shared" si="4"/>
        <v>1.6666666666666667</v>
      </c>
      <c r="B43" s="356">
        <f t="shared" si="5"/>
        <v>20</v>
      </c>
      <c r="C43" s="357">
        <f t="shared" si="20"/>
        <v>1</v>
      </c>
      <c r="D43" s="357">
        <f t="shared" si="21"/>
        <v>8</v>
      </c>
      <c r="E43" s="357">
        <f t="shared" si="22"/>
        <v>30</v>
      </c>
      <c r="F43" s="356">
        <f t="shared" si="7"/>
        <v>185813.52414496074</v>
      </c>
      <c r="H43" s="356">
        <f t="shared" si="1"/>
        <v>1481.7031351214173</v>
      </c>
      <c r="I43" s="356">
        <v>0</v>
      </c>
      <c r="J43" s="356">
        <v>0</v>
      </c>
      <c r="K43" s="356">
        <f t="shared" si="8"/>
        <v>-217.26246364489526</v>
      </c>
      <c r="L43" s="356">
        <f t="shared" si="9"/>
        <v>187077.96481643725</v>
      </c>
      <c r="N43" s="356">
        <f t="shared" si="10"/>
        <v>20</v>
      </c>
      <c r="O43" s="357">
        <f t="shared" si="23"/>
        <v>1</v>
      </c>
      <c r="P43" s="357">
        <f t="shared" si="24"/>
        <v>8</v>
      </c>
      <c r="Q43" s="357">
        <f t="shared" si="25"/>
        <v>1</v>
      </c>
      <c r="R43" s="356">
        <f t="shared" si="12"/>
        <v>9976.227860368861</v>
      </c>
      <c r="S43" s="356">
        <f>IF($G$4="mensual",G36,0)</f>
        <v>10000</v>
      </c>
      <c r="U43" s="356">
        <f t="shared" si="26"/>
        <v>159.29324619836106</v>
      </c>
      <c r="V43" s="359">
        <f>+V42</f>
        <v>-91.92768</v>
      </c>
      <c r="X43" s="359">
        <f t="shared" ref="X43:X106" si="27">-SUM(R43:V43)*0.1%*1.16</f>
        <v>-23.250568374817977</v>
      </c>
      <c r="Y43" s="356">
        <f t="shared" si="14"/>
        <v>20020.342858192405</v>
      </c>
      <c r="AA43" s="357">
        <f>+Bono!J43</f>
        <v>126022.52607087757</v>
      </c>
      <c r="AC43" s="378">
        <f t="shared" si="3"/>
        <v>1.6666666666666667</v>
      </c>
      <c r="AD43" s="356">
        <f t="shared" si="15"/>
        <v>333120.83374550723</v>
      </c>
      <c r="AF43" s="356">
        <f t="shared" si="18"/>
        <v>48</v>
      </c>
      <c r="AG43" s="356">
        <f t="shared" si="16"/>
        <v>19</v>
      </c>
      <c r="AH43" s="356">
        <f t="shared" si="17"/>
        <v>120000</v>
      </c>
      <c r="AI43" s="356">
        <f t="shared" si="19"/>
        <v>2280000</v>
      </c>
      <c r="AK43" s="383"/>
      <c r="AL43" s="383"/>
      <c r="AM43" s="383"/>
      <c r="AN43" s="383"/>
      <c r="AO43" s="383"/>
      <c r="AP43" s="383"/>
      <c r="AQ43" s="383"/>
      <c r="AR43" s="383"/>
      <c r="AS43" s="383"/>
      <c r="AT43" s="383"/>
      <c r="AU43" s="383"/>
      <c r="AV43" s="383"/>
      <c r="AW43" s="383"/>
      <c r="AX43" s="383"/>
      <c r="AY43" s="383"/>
      <c r="AZ43" s="383"/>
      <c r="BA43" s="383"/>
    </row>
    <row r="44" spans="1:53" x14ac:dyDescent="0.25">
      <c r="A44" s="356">
        <f t="shared" si="4"/>
        <v>1.75</v>
      </c>
      <c r="B44" s="356">
        <f t="shared" si="5"/>
        <v>21</v>
      </c>
      <c r="C44" s="357">
        <f t="shared" si="20"/>
        <v>1</v>
      </c>
      <c r="D44" s="357">
        <f t="shared" si="21"/>
        <v>9</v>
      </c>
      <c r="E44" s="357">
        <f t="shared" si="22"/>
        <v>30</v>
      </c>
      <c r="F44" s="356">
        <f t="shared" si="7"/>
        <v>187077.96481643725</v>
      </c>
      <c r="H44" s="356">
        <f t="shared" si="1"/>
        <v>1491.7859625997883</v>
      </c>
      <c r="I44" s="356">
        <v>0</v>
      </c>
      <c r="J44" s="360">
        <f>-SUM(F44:H44)*$J$21*1.16</f>
        <v>-1968.668198133147</v>
      </c>
      <c r="K44" s="356">
        <f t="shared" si="8"/>
        <v>-216.4572557938485</v>
      </c>
      <c r="L44" s="356">
        <f t="shared" si="9"/>
        <v>186384.62532511004</v>
      </c>
      <c r="N44" s="356">
        <f t="shared" si="10"/>
        <v>21</v>
      </c>
      <c r="O44" s="357">
        <f t="shared" si="23"/>
        <v>1</v>
      </c>
      <c r="P44" s="357">
        <f t="shared" si="24"/>
        <v>9</v>
      </c>
      <c r="Q44" s="357">
        <f t="shared" si="25"/>
        <v>1</v>
      </c>
      <c r="R44" s="356">
        <f t="shared" si="12"/>
        <v>20020.342858192405</v>
      </c>
      <c r="S44" s="356">
        <f>IF($G$4="mensual",G36,0)</f>
        <v>10000</v>
      </c>
      <c r="U44" s="356">
        <f t="shared" si="26"/>
        <v>239.38642967506445</v>
      </c>
      <c r="V44" s="359">
        <f>+V43</f>
        <v>-91.92768</v>
      </c>
      <c r="X44" s="359">
        <f t="shared" si="27"/>
        <v>-34.99464986512626</v>
      </c>
      <c r="Y44" s="356">
        <f t="shared" si="14"/>
        <v>30132.806958002344</v>
      </c>
      <c r="AA44" s="357">
        <f>+Bono!J44</f>
        <v>125661.50304977279</v>
      </c>
      <c r="AC44" s="378">
        <f t="shared" si="3"/>
        <v>1.75</v>
      </c>
      <c r="AD44" s="356">
        <f t="shared" si="15"/>
        <v>342178.9353328852</v>
      </c>
      <c r="AF44" s="356">
        <f t="shared" si="18"/>
        <v>49</v>
      </c>
      <c r="AG44" s="356">
        <f t="shared" si="16"/>
        <v>20</v>
      </c>
      <c r="AH44" s="356">
        <f t="shared" si="17"/>
        <v>120000</v>
      </c>
      <c r="AI44" s="356">
        <f t="shared" si="19"/>
        <v>2400000</v>
      </c>
      <c r="AK44" s="383"/>
      <c r="AL44" s="383"/>
      <c r="AM44" s="383"/>
      <c r="AN44" s="383"/>
      <c r="AO44" s="383"/>
      <c r="AP44" s="383"/>
      <c r="AQ44" s="383"/>
      <c r="AR44" s="383"/>
      <c r="AS44" s="383"/>
      <c r="AT44" s="383"/>
      <c r="AU44" s="383"/>
      <c r="AV44" s="383"/>
      <c r="AW44" s="383"/>
      <c r="AX44" s="383"/>
      <c r="AY44" s="383"/>
      <c r="AZ44" s="383"/>
      <c r="BA44" s="383"/>
    </row>
    <row r="45" spans="1:53" x14ac:dyDescent="0.25">
      <c r="A45" s="356">
        <f t="shared" si="4"/>
        <v>1.8333333333333333</v>
      </c>
      <c r="B45" s="356">
        <f t="shared" si="5"/>
        <v>22</v>
      </c>
      <c r="C45" s="357">
        <f t="shared" si="20"/>
        <v>1</v>
      </c>
      <c r="D45" s="357">
        <f t="shared" si="21"/>
        <v>10</v>
      </c>
      <c r="E45" s="357">
        <f t="shared" si="22"/>
        <v>30</v>
      </c>
      <c r="F45" s="356">
        <f t="shared" si="7"/>
        <v>186384.62532511004</v>
      </c>
      <c r="H45" s="356">
        <f t="shared" si="1"/>
        <v>1486.2571761310403</v>
      </c>
      <c r="I45" s="356">
        <v>0</v>
      </c>
      <c r="J45" s="356">
        <v>0</v>
      </c>
      <c r="K45" s="356">
        <f t="shared" si="8"/>
        <v>-217.93022370143964</v>
      </c>
      <c r="L45" s="356">
        <f t="shared" si="9"/>
        <v>187652.95227753965</v>
      </c>
      <c r="N45" s="356">
        <f t="shared" si="10"/>
        <v>22</v>
      </c>
      <c r="O45" s="357">
        <f t="shared" si="23"/>
        <v>1</v>
      </c>
      <c r="P45" s="357">
        <f t="shared" si="24"/>
        <v>10</v>
      </c>
      <c r="Q45" s="357">
        <f t="shared" si="25"/>
        <v>1</v>
      </c>
      <c r="R45" s="356">
        <f t="shared" si="12"/>
        <v>30132.806958002344</v>
      </c>
      <c r="S45" s="356">
        <f>IF($G$4="mensual",G36,IF($G$4="trimestral",G36,0))</f>
        <v>10000</v>
      </c>
      <c r="U45" s="356">
        <f t="shared" si="26"/>
        <v>320.0246384891968</v>
      </c>
      <c r="V45" s="359">
        <f>+V44</f>
        <v>-91.92768</v>
      </c>
      <c r="X45" s="359">
        <f t="shared" si="27"/>
        <v>-46.81864854313018</v>
      </c>
      <c r="Y45" s="356">
        <f t="shared" si="14"/>
        <v>40314.08526794841</v>
      </c>
      <c r="AA45" s="357">
        <f>+Bono!J45</f>
        <v>126440.61894451355</v>
      </c>
      <c r="AC45" s="378">
        <f t="shared" si="3"/>
        <v>1.8333333333333333</v>
      </c>
      <c r="AD45" s="356">
        <f t="shared" si="15"/>
        <v>354407.6564900016</v>
      </c>
      <c r="AF45" s="356">
        <f t="shared" si="18"/>
        <v>50</v>
      </c>
      <c r="AG45" s="356">
        <f t="shared" si="16"/>
        <v>21</v>
      </c>
      <c r="AH45" s="356">
        <f t="shared" si="17"/>
        <v>120000</v>
      </c>
      <c r="AI45" s="356">
        <f t="shared" si="19"/>
        <v>2520000</v>
      </c>
      <c r="AK45" s="383"/>
      <c r="AL45" s="383"/>
      <c r="AM45" s="383"/>
      <c r="AN45" s="383"/>
      <c r="AO45" s="383"/>
      <c r="AP45" s="383"/>
      <c r="AQ45" s="383"/>
      <c r="AR45" s="383"/>
      <c r="AS45" s="383"/>
      <c r="AT45" s="383"/>
      <c r="AU45" s="383"/>
      <c r="AV45" s="383"/>
      <c r="AW45" s="383"/>
      <c r="AX45" s="383"/>
      <c r="AY45" s="383"/>
      <c r="AZ45" s="383"/>
      <c r="BA45" s="383"/>
    </row>
    <row r="46" spans="1:53" x14ac:dyDescent="0.25">
      <c r="A46" s="356">
        <f t="shared" si="4"/>
        <v>1.9166666666666667</v>
      </c>
      <c r="B46" s="356">
        <f t="shared" si="5"/>
        <v>23</v>
      </c>
      <c r="C46" s="357">
        <f t="shared" si="20"/>
        <v>1</v>
      </c>
      <c r="D46" s="357">
        <f t="shared" si="21"/>
        <v>11</v>
      </c>
      <c r="E46" s="357">
        <f t="shared" si="22"/>
        <v>30</v>
      </c>
      <c r="F46" s="356">
        <f t="shared" si="7"/>
        <v>187652.95227753965</v>
      </c>
      <c r="H46" s="356">
        <f t="shared" si="1"/>
        <v>1496.3709933594776</v>
      </c>
      <c r="I46" s="356">
        <v>0</v>
      </c>
      <c r="J46" s="356">
        <v>0</v>
      </c>
      <c r="K46" s="356">
        <f t="shared" si="8"/>
        <v>-219.41321499424296</v>
      </c>
      <c r="L46" s="356">
        <f t="shared" si="9"/>
        <v>188929.91005590488</v>
      </c>
      <c r="N46" s="356">
        <f t="shared" si="10"/>
        <v>23</v>
      </c>
      <c r="O46" s="357">
        <f t="shared" si="23"/>
        <v>1</v>
      </c>
      <c r="P46" s="357">
        <f t="shared" si="24"/>
        <v>11</v>
      </c>
      <c r="Q46" s="357">
        <f t="shared" si="25"/>
        <v>1</v>
      </c>
      <c r="R46" s="356">
        <f t="shared" si="12"/>
        <v>40314.08526794841</v>
      </c>
      <c r="S46" s="356">
        <f>IF($G$4="mensual",G36,0)</f>
        <v>10000</v>
      </c>
      <c r="U46" s="356">
        <f t="shared" si="26"/>
        <v>401.2115814784587</v>
      </c>
      <c r="V46" s="359">
        <f>+V45</f>
        <v>-91.92768</v>
      </c>
      <c r="X46" s="359">
        <f t="shared" si="27"/>
        <v>-58.72310823653516</v>
      </c>
      <c r="Y46" s="356">
        <f t="shared" si="14"/>
        <v>50564.64606119033</v>
      </c>
      <c r="AA46" s="357">
        <f>+Bono!J46</f>
        <v>127224.56544817357</v>
      </c>
      <c r="AC46" s="378">
        <f t="shared" si="3"/>
        <v>1.9166666666666667</v>
      </c>
      <c r="AD46" s="356">
        <f t="shared" si="15"/>
        <v>366719.1215652688</v>
      </c>
      <c r="AF46" s="356">
        <f t="shared" si="18"/>
        <v>51</v>
      </c>
      <c r="AG46" s="356">
        <f t="shared" si="16"/>
        <v>22</v>
      </c>
      <c r="AH46" s="356">
        <f t="shared" si="17"/>
        <v>120000</v>
      </c>
      <c r="AI46" s="356">
        <f t="shared" si="19"/>
        <v>2640000</v>
      </c>
      <c r="AK46" s="383"/>
      <c r="AL46" s="383"/>
      <c r="AM46" s="383"/>
      <c r="AN46" s="383"/>
      <c r="AO46" s="383"/>
      <c r="AP46" s="383"/>
      <c r="AQ46" s="383"/>
      <c r="AR46" s="383"/>
      <c r="AS46" s="383"/>
      <c r="AT46" s="383"/>
      <c r="AU46" s="383"/>
      <c r="AV46" s="383"/>
      <c r="AW46" s="383"/>
      <c r="AX46" s="383"/>
      <c r="AY46" s="383"/>
      <c r="AZ46" s="383"/>
      <c r="BA46" s="383"/>
    </row>
    <row r="47" spans="1:35" x14ac:dyDescent="0.25">
      <c r="A47" s="356">
        <f t="shared" si="4"/>
        <v>2</v>
      </c>
      <c r="B47" s="356">
        <f t="shared" si="5"/>
        <v>24</v>
      </c>
      <c r="C47" s="357">
        <f t="shared" si="20"/>
        <v>1</v>
      </c>
      <c r="D47" s="357">
        <f t="shared" si="21"/>
        <v>12</v>
      </c>
      <c r="E47" s="357">
        <f t="shared" si="22"/>
        <v>30</v>
      </c>
      <c r="F47" s="356">
        <f t="shared" si="7"/>
        <v>188929.91005590488</v>
      </c>
      <c r="H47" s="356">
        <f t="shared" si="1"/>
        <v>1506.553634005943</v>
      </c>
      <c r="I47" s="356">
        <v>0</v>
      </c>
      <c r="J47" s="360">
        <f>-SUM(F47:H47)*$J$21*1.16</f>
        <v>-1988.1566809226692</v>
      </c>
      <c r="K47" s="356">
        <f t="shared" si="8"/>
        <v>-218.60003613042625</v>
      </c>
      <c r="L47" s="356">
        <f t="shared" si="9"/>
        <v>188229.70697285773</v>
      </c>
      <c r="N47" s="356">
        <f t="shared" si="10"/>
        <v>24</v>
      </c>
      <c r="O47" s="357">
        <f t="shared" si="23"/>
        <v>1</v>
      </c>
      <c r="P47" s="357">
        <f t="shared" si="24"/>
        <v>12</v>
      </c>
      <c r="Q47" s="357">
        <f t="shared" si="25"/>
        <v>1</v>
      </c>
      <c r="R47" s="356">
        <f t="shared" si="12"/>
        <v>50564.64606119033</v>
      </c>
      <c r="S47" s="356">
        <f>IF($G$4="mensual",G36,0)</f>
        <v>10000</v>
      </c>
      <c r="U47" s="356">
        <f t="shared" si="26"/>
        <v>482.95099271878496</v>
      </c>
      <c r="V47" s="359">
        <f>+V46</f>
        <v>-91.92768</v>
      </c>
      <c r="X47" s="359">
        <f t="shared" si="27"/>
        <v>-70.70857647373457</v>
      </c>
      <c r="Y47" s="356">
        <f t="shared" si="14"/>
        <v>60884.96079743538</v>
      </c>
      <c r="AA47" s="357">
        <f>+Bono!J47</f>
        <v>126860.09888486241</v>
      </c>
      <c r="AC47" s="378">
        <f t="shared" si="3"/>
        <v>2</v>
      </c>
      <c r="AD47" s="356">
        <f t="shared" si="15"/>
        <v>375974.7666551555</v>
      </c>
      <c r="AF47" s="356">
        <f t="shared" si="18"/>
        <v>52</v>
      </c>
      <c r="AG47" s="356">
        <f t="shared" si="16"/>
        <v>23</v>
      </c>
      <c r="AH47" s="356">
        <f t="shared" si="17"/>
        <v>120000</v>
      </c>
      <c r="AI47" s="356">
        <f t="shared" si="19"/>
        <v>2760000</v>
      </c>
    </row>
    <row r="48" spans="1:35" x14ac:dyDescent="0.25">
      <c r="A48" s="356">
        <f t="shared" si="4"/>
        <v>2.0833333333333335</v>
      </c>
      <c r="B48" s="356">
        <f t="shared" si="5"/>
        <v>25</v>
      </c>
      <c r="C48" s="357">
        <f t="shared" si="20"/>
        <v>2</v>
      </c>
      <c r="D48" s="357">
        <f t="shared" si="21"/>
        <v>1</v>
      </c>
      <c r="E48" s="357">
        <f t="shared" si="22"/>
        <v>31</v>
      </c>
      <c r="F48" s="356">
        <f t="shared" si="7"/>
        <v>188229.70697285773</v>
      </c>
      <c r="H48" s="356">
        <f t="shared" si="1"/>
        <v>1500.9701162929737</v>
      </c>
      <c r="I48" s="356">
        <v>0</v>
      </c>
      <c r="J48" s="356">
        <v>0</v>
      </c>
      <c r="K48" s="356">
        <f t="shared" si="8"/>
        <v>-220.0875854234148</v>
      </c>
      <c r="L48" s="356">
        <f t="shared" si="9"/>
        <v>189510.5895037273</v>
      </c>
      <c r="N48" s="356">
        <f t="shared" si="10"/>
        <v>25</v>
      </c>
      <c r="O48" s="357">
        <f t="shared" si="23"/>
        <v>2</v>
      </c>
      <c r="P48" s="357">
        <f t="shared" si="24"/>
        <v>1</v>
      </c>
      <c r="Q48" s="357">
        <f t="shared" si="25"/>
        <v>2</v>
      </c>
      <c r="R48" s="356">
        <f t="shared" si="12"/>
        <v>60884.96079743538</v>
      </c>
      <c r="S48" s="356">
        <f>IF(AND($G$17="si",$G$4="Anual"),G36*(1+$G$20)*2,IF(AND($G$17="no",$G$4="Anual"),G36*2,IF($G$17="si",G36*(1+$G$20),G36)))</f>
        <v>10000</v>
      </c>
      <c r="U48" s="356">
        <f t="shared" si="26"/>
        <v>565.2466316960878</v>
      </c>
      <c r="V48" s="359">
        <f>V47*(1+$G$18)</f>
        <v>-95.6047872</v>
      </c>
      <c r="X48" s="359">
        <f t="shared" si="27"/>
        <v>-82.77133906464049</v>
      </c>
      <c r="Y48" s="356">
        <f t="shared" si="14"/>
        <v>71271.83130286682</v>
      </c>
      <c r="AA48" s="357">
        <f>+Bono!J48</f>
        <v>127646.64621280924</v>
      </c>
      <c r="AC48" s="378">
        <f t="shared" si="3"/>
        <v>2.0833333333333335</v>
      </c>
      <c r="AD48" s="356">
        <f t="shared" si="15"/>
        <v>388429.06701940333</v>
      </c>
      <c r="AF48" s="356">
        <f t="shared" si="18"/>
        <v>53</v>
      </c>
      <c r="AG48" s="356">
        <f t="shared" si="16"/>
        <v>24</v>
      </c>
      <c r="AH48" s="356">
        <f t="shared" si="17"/>
        <v>120000</v>
      </c>
      <c r="AI48" s="356">
        <f t="shared" si="19"/>
        <v>2880000</v>
      </c>
    </row>
    <row r="49" spans="1:35" x14ac:dyDescent="0.25">
      <c r="A49" s="356">
        <f t="shared" si="4"/>
        <v>2.1666666666666665</v>
      </c>
      <c r="B49" s="356">
        <f t="shared" si="5"/>
        <v>26</v>
      </c>
      <c r="C49" s="357">
        <f t="shared" si="20"/>
        <v>2</v>
      </c>
      <c r="D49" s="357">
        <f t="shared" si="21"/>
        <v>2</v>
      </c>
      <c r="E49" s="357">
        <f t="shared" si="22"/>
        <v>31</v>
      </c>
      <c r="F49" s="356">
        <f t="shared" si="7"/>
        <v>189510.5895037273</v>
      </c>
      <c r="H49" s="356">
        <f t="shared" si="1"/>
        <v>1511.1840534670573</v>
      </c>
      <c r="I49" s="356">
        <v>0</v>
      </c>
      <c r="J49" s="356">
        <v>0</v>
      </c>
      <c r="K49" s="356">
        <f t="shared" si="8"/>
        <v>-221.58525732634544</v>
      </c>
      <c r="L49" s="356">
        <f t="shared" si="9"/>
        <v>190800.18829986802</v>
      </c>
      <c r="N49" s="356">
        <f t="shared" si="10"/>
        <v>26</v>
      </c>
      <c r="O49" s="357">
        <f t="shared" si="23"/>
        <v>2</v>
      </c>
      <c r="P49" s="357">
        <f t="shared" si="24"/>
        <v>2</v>
      </c>
      <c r="Q49" s="357">
        <f t="shared" si="25"/>
        <v>2</v>
      </c>
      <c r="R49" s="356">
        <f t="shared" si="12"/>
        <v>71271.83130286682</v>
      </c>
      <c r="S49" s="356">
        <f>IF($G$4="mensual",S48,0)</f>
        <v>10000</v>
      </c>
      <c r="U49" s="356">
        <f t="shared" si="26"/>
        <v>648.0729957232368</v>
      </c>
      <c r="V49" s="359">
        <f t="shared" ref="V49:V54" si="28">V48</f>
        <v>-95.6047872</v>
      </c>
      <c r="X49" s="359">
        <f t="shared" si="27"/>
        <v>-94.91618743321246</v>
      </c>
      <c r="Y49" s="356">
        <f t="shared" si="14"/>
        <v>81729.38332395685</v>
      </c>
      <c r="AA49" s="357">
        <f>+Bono!J49</f>
        <v>128438.07022542319</v>
      </c>
      <c r="AC49" s="378">
        <f t="shared" si="3"/>
        <v>2.1666666666666665</v>
      </c>
      <c r="AD49" s="356">
        <f t="shared" si="15"/>
        <v>400967.6418492481</v>
      </c>
      <c r="AF49" s="356">
        <f t="shared" si="18"/>
        <v>54</v>
      </c>
      <c r="AG49" s="356">
        <f t="shared" si="16"/>
        <v>25</v>
      </c>
      <c r="AH49" s="356">
        <f t="shared" si="17"/>
        <v>120000</v>
      </c>
      <c r="AI49" s="356">
        <f t="shared" si="19"/>
        <v>3000000</v>
      </c>
    </row>
    <row r="50" spans="1:35" x14ac:dyDescent="0.25">
      <c r="A50" s="356">
        <f t="shared" si="4"/>
        <v>2.25</v>
      </c>
      <c r="B50" s="356">
        <f t="shared" si="5"/>
        <v>27</v>
      </c>
      <c r="C50" s="357">
        <f t="shared" si="20"/>
        <v>2</v>
      </c>
      <c r="D50" s="357">
        <f t="shared" si="21"/>
        <v>3</v>
      </c>
      <c r="E50" s="357">
        <f t="shared" si="22"/>
        <v>31</v>
      </c>
      <c r="F50" s="356">
        <f t="shared" si="7"/>
        <v>190800.18829986802</v>
      </c>
      <c r="H50" s="356">
        <f t="shared" si="1"/>
        <v>1521.4674953644285</v>
      </c>
      <c r="I50" s="356">
        <v>0</v>
      </c>
      <c r="J50" s="360">
        <f>-SUM(F50:H50)*$J$21*1.16</f>
        <v>-2007.8380865022268</v>
      </c>
      <c r="K50" s="356">
        <f t="shared" si="8"/>
        <v>-220.76402854212705</v>
      </c>
      <c r="L50" s="356">
        <f t="shared" si="9"/>
        <v>190093.0536801881</v>
      </c>
      <c r="N50" s="356">
        <f t="shared" si="10"/>
        <v>27</v>
      </c>
      <c r="O50" s="357">
        <f t="shared" si="23"/>
        <v>2</v>
      </c>
      <c r="P50" s="357">
        <f t="shared" si="24"/>
        <v>3</v>
      </c>
      <c r="Q50" s="357">
        <f t="shared" si="25"/>
        <v>2</v>
      </c>
      <c r="R50" s="356">
        <f t="shared" si="12"/>
        <v>81729.38332395685</v>
      </c>
      <c r="S50" s="356">
        <f>IF($G$4="mensual",S49,0)</f>
        <v>10000</v>
      </c>
      <c r="U50" s="356">
        <f t="shared" si="26"/>
        <v>731.462984081975</v>
      </c>
      <c r="V50" s="359">
        <f t="shared" si="28"/>
        <v>-95.6047872</v>
      </c>
      <c r="X50" s="359">
        <f t="shared" si="27"/>
        <v>-107.143680164173</v>
      </c>
      <c r="Y50" s="356">
        <f t="shared" si="14"/>
        <v>92258.09784067464</v>
      </c>
      <c r="AA50" s="357">
        <f>+Bono!J50</f>
        <v>128070.12727440211</v>
      </c>
      <c r="AC50" s="378">
        <f t="shared" si="3"/>
        <v>2.25</v>
      </c>
      <c r="AD50" s="356">
        <f t="shared" si="15"/>
        <v>410421.2787952649</v>
      </c>
      <c r="AF50" s="356">
        <f t="shared" si="18"/>
        <v>55</v>
      </c>
      <c r="AG50" s="356">
        <f t="shared" ref="AG50:AG91" si="29">+AG49+1</f>
        <v>26</v>
      </c>
      <c r="AH50" s="356">
        <f t="shared" ref="AH50:AH91" si="30">IF($G$17="Si",(1+$G$20)*AH49,AH49)</f>
        <v>120000</v>
      </c>
      <c r="AI50" s="356">
        <f t="shared" si="19"/>
        <v>3120000</v>
      </c>
    </row>
    <row r="51" spans="1:35" x14ac:dyDescent="0.25">
      <c r="A51" s="356">
        <f t="shared" si="4"/>
        <v>2.3333333333333335</v>
      </c>
      <c r="B51" s="356">
        <f t="shared" si="5"/>
        <v>28</v>
      </c>
      <c r="C51" s="357">
        <f t="shared" si="20"/>
        <v>2</v>
      </c>
      <c r="D51" s="357">
        <f t="shared" si="21"/>
        <v>4</v>
      </c>
      <c r="E51" s="357">
        <f t="shared" si="22"/>
        <v>31</v>
      </c>
      <c r="F51" s="356">
        <f t="shared" si="7"/>
        <v>190093.0536801881</v>
      </c>
      <c r="H51" s="356">
        <f t="shared" si="1"/>
        <v>1515.8287046049616</v>
      </c>
      <c r="I51" s="356">
        <v>0</v>
      </c>
      <c r="J51" s="356">
        <v>0</v>
      </c>
      <c r="K51" s="356">
        <f t="shared" si="8"/>
        <v>-222.26630356635997</v>
      </c>
      <c r="L51" s="356">
        <f t="shared" si="9"/>
        <v>191386.6160812267</v>
      </c>
      <c r="N51" s="356">
        <f t="shared" si="10"/>
        <v>28</v>
      </c>
      <c r="O51" s="357">
        <f t="shared" si="23"/>
        <v>2</v>
      </c>
      <c r="P51" s="357">
        <f t="shared" si="24"/>
        <v>4</v>
      </c>
      <c r="Q51" s="357">
        <f t="shared" si="25"/>
        <v>2</v>
      </c>
      <c r="R51" s="356">
        <f t="shared" si="12"/>
        <v>92258.09784067464</v>
      </c>
      <c r="S51" s="356">
        <f>IF($G$4="mensual",S48,IF($G$4="trimestral",S48,0))</f>
        <v>10000</v>
      </c>
      <c r="U51" s="356">
        <f t="shared" si="26"/>
        <v>815.4204321741204</v>
      </c>
      <c r="V51" s="359">
        <f t="shared" si="28"/>
        <v>-95.6047872</v>
      </c>
      <c r="X51" s="359">
        <f t="shared" si="27"/>
        <v>-119.45437964335257</v>
      </c>
      <c r="Y51" s="356">
        <f t="shared" si="14"/>
        <v>102858.45910600541</v>
      </c>
      <c r="AA51" s="357">
        <f>+Bono!J51</f>
        <v>128864.1769187187</v>
      </c>
      <c r="AC51" s="378">
        <f t="shared" si="3"/>
        <v>2.3333333333333335</v>
      </c>
      <c r="AD51" s="356">
        <f t="shared" si="15"/>
        <v>423109.25210595084</v>
      </c>
      <c r="AF51" s="356">
        <f t="shared" si="18"/>
        <v>56</v>
      </c>
      <c r="AG51" s="356">
        <f t="shared" si="29"/>
        <v>27</v>
      </c>
      <c r="AH51" s="356">
        <f t="shared" si="30"/>
        <v>120000</v>
      </c>
      <c r="AI51" s="356">
        <f t="shared" si="19"/>
        <v>3240000</v>
      </c>
    </row>
    <row r="52" spans="1:35" x14ac:dyDescent="0.25">
      <c r="A52" s="356">
        <f t="shared" si="4"/>
        <v>2.4166666666666665</v>
      </c>
      <c r="B52" s="356">
        <f t="shared" si="5"/>
        <v>29</v>
      </c>
      <c r="C52" s="357">
        <f t="shared" si="20"/>
        <v>2</v>
      </c>
      <c r="D52" s="357">
        <f t="shared" si="21"/>
        <v>5</v>
      </c>
      <c r="E52" s="357">
        <f t="shared" si="22"/>
        <v>31</v>
      </c>
      <c r="F52" s="356">
        <f t="shared" si="7"/>
        <v>191386.6160812267</v>
      </c>
      <c r="H52" s="356">
        <f t="shared" si="1"/>
        <v>1526.1437528443932</v>
      </c>
      <c r="I52" s="356">
        <v>0</v>
      </c>
      <c r="J52" s="356">
        <v>0</v>
      </c>
      <c r="K52" s="356">
        <f t="shared" si="8"/>
        <v>-223.77880140752245</v>
      </c>
      <c r="L52" s="356">
        <f t="shared" si="9"/>
        <v>192688.98103266358</v>
      </c>
      <c r="N52" s="356">
        <f t="shared" si="10"/>
        <v>29</v>
      </c>
      <c r="O52" s="357">
        <f t="shared" si="23"/>
        <v>2</v>
      </c>
      <c r="P52" s="357">
        <f t="shared" si="24"/>
        <v>5</v>
      </c>
      <c r="Q52" s="357">
        <f t="shared" si="25"/>
        <v>2</v>
      </c>
      <c r="R52" s="356">
        <f t="shared" si="12"/>
        <v>102858.45910600541</v>
      </c>
      <c r="S52" s="356">
        <f>IF($G$4="mensual",S51,0)</f>
        <v>10000</v>
      </c>
      <c r="U52" s="356">
        <f t="shared" si="26"/>
        <v>899.9492015009799</v>
      </c>
      <c r="V52" s="359">
        <f t="shared" si="28"/>
        <v>-95.6047872</v>
      </c>
      <c r="X52" s="359">
        <f t="shared" si="27"/>
        <v>-131.84885208355539</v>
      </c>
      <c r="Y52" s="356">
        <f t="shared" si="14"/>
        <v>113530.95466822282</v>
      </c>
      <c r="AA52" s="357">
        <f>+Bono!J52</f>
        <v>129663.14976293412</v>
      </c>
      <c r="AC52" s="378">
        <f t="shared" si="3"/>
        <v>2.4166666666666665</v>
      </c>
      <c r="AD52" s="356">
        <f t="shared" si="15"/>
        <v>435883.0854638205</v>
      </c>
      <c r="AF52" s="356">
        <f t="shared" si="18"/>
        <v>57</v>
      </c>
      <c r="AG52" s="356">
        <f t="shared" si="29"/>
        <v>28</v>
      </c>
      <c r="AH52" s="356">
        <f t="shared" si="30"/>
        <v>120000</v>
      </c>
      <c r="AI52" s="356">
        <f t="shared" si="19"/>
        <v>3360000</v>
      </c>
    </row>
    <row r="53" spans="1:35" x14ac:dyDescent="0.25">
      <c r="A53" s="356">
        <f t="shared" si="4"/>
        <v>2.5</v>
      </c>
      <c r="B53" s="356">
        <f t="shared" si="5"/>
        <v>30</v>
      </c>
      <c r="C53" s="357">
        <f t="shared" si="20"/>
        <v>2</v>
      </c>
      <c r="D53" s="357">
        <f t="shared" si="21"/>
        <v>6</v>
      </c>
      <c r="E53" s="357">
        <f t="shared" si="22"/>
        <v>31</v>
      </c>
      <c r="F53" s="356">
        <f t="shared" si="7"/>
        <v>192688.98103266358</v>
      </c>
      <c r="H53" s="356">
        <f t="shared" si="1"/>
        <v>1536.5289938568333</v>
      </c>
      <c r="I53" s="356">
        <v>0</v>
      </c>
      <c r="J53" s="360">
        <f>-SUM(F53:H53)*$J$21*1.16</f>
        <v>-2027.714324676873</v>
      </c>
      <c r="K53" s="356">
        <f t="shared" si="8"/>
        <v>-222.9494430141385</v>
      </c>
      <c r="L53" s="356">
        <f t="shared" si="9"/>
        <v>191974.8462588294</v>
      </c>
      <c r="N53" s="356">
        <f t="shared" si="10"/>
        <v>30</v>
      </c>
      <c r="O53" s="357">
        <f t="shared" si="23"/>
        <v>2</v>
      </c>
      <c r="P53" s="357">
        <f t="shared" si="24"/>
        <v>6</v>
      </c>
      <c r="Q53" s="357">
        <f t="shared" si="25"/>
        <v>2</v>
      </c>
      <c r="R53" s="356">
        <f t="shared" si="12"/>
        <v>113530.95466822282</v>
      </c>
      <c r="S53" s="356">
        <f>IF($G$4="mensual",S52,0)</f>
        <v>10000</v>
      </c>
      <c r="U53" s="356">
        <f t="shared" si="26"/>
        <v>985.0531798409538</v>
      </c>
      <c r="V53" s="359">
        <f t="shared" si="28"/>
        <v>-95.6047872</v>
      </c>
      <c r="X53" s="359">
        <f t="shared" si="27"/>
        <v>-144.32766755060197</v>
      </c>
      <c r="Y53" s="356">
        <f t="shared" si="14"/>
        <v>124276.07539331316</v>
      </c>
      <c r="AA53" s="357">
        <f>+Bono!J53</f>
        <v>129291.6972654096</v>
      </c>
      <c r="AC53" s="378">
        <f t="shared" si="3"/>
        <v>2.5</v>
      </c>
      <c r="AD53" s="356">
        <f t="shared" si="15"/>
        <v>445542.6189175522</v>
      </c>
      <c r="AF53" s="356">
        <f t="shared" si="18"/>
        <v>58</v>
      </c>
      <c r="AG53" s="356">
        <f t="shared" si="29"/>
        <v>29</v>
      </c>
      <c r="AH53" s="356">
        <f t="shared" si="30"/>
        <v>120000</v>
      </c>
      <c r="AI53" s="356">
        <f t="shared" si="19"/>
        <v>3480000</v>
      </c>
    </row>
    <row r="54" spans="1:35" x14ac:dyDescent="0.25">
      <c r="A54" s="356">
        <f t="shared" si="4"/>
        <v>2.5833333333333335</v>
      </c>
      <c r="B54" s="356">
        <f t="shared" si="5"/>
        <v>31</v>
      </c>
      <c r="C54" s="357">
        <f t="shared" si="20"/>
        <v>2</v>
      </c>
      <c r="D54" s="357">
        <f t="shared" si="21"/>
        <v>7</v>
      </c>
      <c r="E54" s="357">
        <f t="shared" si="22"/>
        <v>31</v>
      </c>
      <c r="F54" s="356">
        <f t="shared" si="7"/>
        <v>191974.8462588294</v>
      </c>
      <c r="H54" s="356">
        <f t="shared" si="1"/>
        <v>1530.8343828851162</v>
      </c>
      <c r="I54" s="356">
        <v>0</v>
      </c>
      <c r="J54" s="356">
        <v>0</v>
      </c>
      <c r="K54" s="356">
        <f t="shared" si="8"/>
        <v>-224.46658954438882</v>
      </c>
      <c r="L54" s="356">
        <f t="shared" si="9"/>
        <v>193281.21405217014</v>
      </c>
      <c r="N54" s="356">
        <f t="shared" si="10"/>
        <v>31</v>
      </c>
      <c r="O54" s="357">
        <f t="shared" si="23"/>
        <v>2</v>
      </c>
      <c r="P54" s="357">
        <f t="shared" si="24"/>
        <v>7</v>
      </c>
      <c r="Q54" s="357">
        <f t="shared" si="25"/>
        <v>2</v>
      </c>
      <c r="R54" s="356">
        <f t="shared" si="12"/>
        <v>124276.07539331316</v>
      </c>
      <c r="S54" s="356">
        <f>+IF($G$4="mensual",S48,IF($G$4="trimestral",S48,IF($G$4="semestral",S48,0)))</f>
        <v>10000</v>
      </c>
      <c r="U54" s="356">
        <f t="shared" si="26"/>
        <v>1070.7362814283483</v>
      </c>
      <c r="V54" s="359">
        <f t="shared" si="28"/>
        <v>-95.6047872</v>
      </c>
      <c r="X54" s="359">
        <f t="shared" si="27"/>
        <v>-156.89139998954815</v>
      </c>
      <c r="Y54" s="356">
        <f t="shared" si="14"/>
        <v>135094.31548755197</v>
      </c>
      <c r="AA54" s="357">
        <f>+Bono!J54</f>
        <v>130093.32078536379</v>
      </c>
      <c r="AC54" s="378">
        <f t="shared" si="3"/>
        <v>2.5833333333333335</v>
      </c>
      <c r="AD54" s="356">
        <f t="shared" si="15"/>
        <v>458468.8503250859</v>
      </c>
      <c r="AF54" s="356">
        <f t="shared" si="18"/>
        <v>59</v>
      </c>
      <c r="AG54" s="356">
        <f t="shared" si="29"/>
        <v>30</v>
      </c>
      <c r="AH54" s="356">
        <f t="shared" si="30"/>
        <v>120000</v>
      </c>
      <c r="AI54" s="356">
        <f t="shared" si="19"/>
        <v>3600000</v>
      </c>
    </row>
    <row r="55" spans="1:35" x14ac:dyDescent="0.25">
      <c r="A55" s="356">
        <f t="shared" si="4"/>
        <v>2.6666666666666665</v>
      </c>
      <c r="B55" s="356">
        <f t="shared" si="5"/>
        <v>32</v>
      </c>
      <c r="C55" s="357">
        <f t="shared" si="20"/>
        <v>2</v>
      </c>
      <c r="D55" s="357">
        <f t="shared" si="21"/>
        <v>8</v>
      </c>
      <c r="E55" s="357">
        <f t="shared" si="22"/>
        <v>31</v>
      </c>
      <c r="F55" s="356">
        <f t="shared" si="7"/>
        <v>193281.21405217014</v>
      </c>
      <c r="H55" s="356">
        <f t="shared" si="1"/>
        <v>1541.2515431210122</v>
      </c>
      <c r="I55" s="356">
        <v>0</v>
      </c>
      <c r="J55" s="356">
        <v>0</v>
      </c>
      <c r="K55" s="356">
        <f t="shared" si="8"/>
        <v>-225.9940600905377</v>
      </c>
      <c r="L55" s="356">
        <f t="shared" si="9"/>
        <v>194596.4715352006</v>
      </c>
      <c r="N55" s="356">
        <f t="shared" si="10"/>
        <v>32</v>
      </c>
      <c r="O55" s="357">
        <f t="shared" si="23"/>
        <v>2</v>
      </c>
      <c r="P55" s="357">
        <f t="shared" si="24"/>
        <v>8</v>
      </c>
      <c r="Q55" s="357">
        <f t="shared" si="25"/>
        <v>2</v>
      </c>
      <c r="R55" s="356">
        <f t="shared" si="12"/>
        <v>135094.31548755197</v>
      </c>
      <c r="S55" s="356">
        <f>IF($G$4="mensual",S54,0)</f>
        <v>10000</v>
      </c>
      <c r="U55" s="356">
        <f t="shared" si="26"/>
        <v>1157.0024471334057</v>
      </c>
      <c r="V55" s="359">
        <f>V54</f>
        <v>-95.6047872</v>
      </c>
      <c r="X55" s="359">
        <f t="shared" si="27"/>
        <v>-169.54062725108304</v>
      </c>
      <c r="Y55" s="356">
        <f t="shared" si="14"/>
        <v>145986.1725202343</v>
      </c>
      <c r="AA55" s="357">
        <f>+Bono!J55</f>
        <v>130899.91446412425</v>
      </c>
      <c r="AC55" s="378">
        <f t="shared" si="3"/>
        <v>2.6666666666666665</v>
      </c>
      <c r="AD55" s="356">
        <f t="shared" si="15"/>
        <v>471482.55851955916</v>
      </c>
      <c r="AF55" s="356">
        <f t="shared" si="18"/>
        <v>60</v>
      </c>
      <c r="AG55" s="356">
        <f t="shared" si="29"/>
        <v>31</v>
      </c>
      <c r="AH55" s="356">
        <f t="shared" si="30"/>
        <v>120000</v>
      </c>
      <c r="AI55" s="356">
        <f t="shared" si="19"/>
        <v>3720000</v>
      </c>
    </row>
    <row r="56" spans="1:35" x14ac:dyDescent="0.25">
      <c r="A56" s="356">
        <f t="shared" si="4"/>
        <v>2.75</v>
      </c>
      <c r="B56" s="356">
        <f t="shared" si="5"/>
        <v>33</v>
      </c>
      <c r="C56" s="357">
        <f t="shared" si="20"/>
        <v>2</v>
      </c>
      <c r="D56" s="357">
        <f t="shared" si="21"/>
        <v>9</v>
      </c>
      <c r="E56" s="357">
        <f t="shared" si="22"/>
        <v>31</v>
      </c>
      <c r="F56" s="356">
        <f t="shared" si="7"/>
        <v>194596.4715352006</v>
      </c>
      <c r="H56" s="356">
        <f t="shared" si="1"/>
        <v>1551.7395909908637</v>
      </c>
      <c r="I56" s="356">
        <v>0</v>
      </c>
      <c r="J56" s="360">
        <f>-SUM(F56:H56)*$J$21*1.16</f>
        <v>-2047.787324157439</v>
      </c>
      <c r="K56" s="356">
        <f t="shared" si="8"/>
        <v>-225.15649161035947</v>
      </c>
      <c r="L56" s="356">
        <f t="shared" si="9"/>
        <v>193875.26731042366</v>
      </c>
      <c r="N56" s="356">
        <f t="shared" si="10"/>
        <v>33</v>
      </c>
      <c r="O56" s="357">
        <f t="shared" si="23"/>
        <v>2</v>
      </c>
      <c r="P56" s="357">
        <f t="shared" si="24"/>
        <v>9</v>
      </c>
      <c r="Q56" s="357">
        <f t="shared" si="25"/>
        <v>2</v>
      </c>
      <c r="R56" s="356">
        <f t="shared" si="12"/>
        <v>145986.1725202343</v>
      </c>
      <c r="S56" s="356">
        <f>IF($G$4="mensual",S55,0)</f>
        <v>10000</v>
      </c>
      <c r="U56" s="356">
        <f t="shared" si="26"/>
        <v>1243.8556446435578</v>
      </c>
      <c r="V56" s="359">
        <f>V55</f>
        <v>-95.6047872</v>
      </c>
      <c r="X56" s="359">
        <f t="shared" si="27"/>
        <v>-182.2759311181063</v>
      </c>
      <c r="Y56" s="356">
        <f t="shared" si="14"/>
        <v>156952.14744655977</v>
      </c>
      <c r="AA56" s="357">
        <f>+Bono!J56</f>
        <v>130524.91894502462</v>
      </c>
      <c r="AC56" s="378">
        <f t="shared" si="3"/>
        <v>2.75</v>
      </c>
      <c r="AD56" s="356">
        <f t="shared" si="15"/>
        <v>481352.33370200807</v>
      </c>
      <c r="AF56" s="356">
        <f t="shared" si="18"/>
        <v>61</v>
      </c>
      <c r="AG56" s="356">
        <f t="shared" si="29"/>
        <v>32</v>
      </c>
      <c r="AH56" s="356">
        <f t="shared" si="30"/>
        <v>120000</v>
      </c>
      <c r="AI56" s="356">
        <f t="shared" si="19"/>
        <v>3840000</v>
      </c>
    </row>
    <row r="57" spans="1:35" x14ac:dyDescent="0.25">
      <c r="A57" s="356">
        <f t="shared" si="4"/>
        <v>2.8333333333333335</v>
      </c>
      <c r="B57" s="356">
        <f t="shared" si="5"/>
        <v>34</v>
      </c>
      <c r="C57" s="357">
        <f t="shared" si="20"/>
        <v>2</v>
      </c>
      <c r="D57" s="357">
        <f t="shared" si="21"/>
        <v>10</v>
      </c>
      <c r="E57" s="357">
        <f t="shared" si="22"/>
        <v>31</v>
      </c>
      <c r="F57" s="356">
        <f t="shared" si="7"/>
        <v>193875.26731042366</v>
      </c>
      <c r="H57" s="356">
        <f t="shared" si="1"/>
        <v>1545.9886072245736</v>
      </c>
      <c r="I57" s="356">
        <v>0</v>
      </c>
      <c r="J57" s="356">
        <v>0</v>
      </c>
      <c r="K57" s="356">
        <f t="shared" si="8"/>
        <v>-226.68865686447194</v>
      </c>
      <c r="L57" s="356">
        <f t="shared" si="9"/>
        <v>195194.56726078375</v>
      </c>
      <c r="N57" s="356">
        <f t="shared" si="10"/>
        <v>34</v>
      </c>
      <c r="O57" s="357">
        <f t="shared" si="23"/>
        <v>2</v>
      </c>
      <c r="P57" s="357">
        <f t="shared" si="24"/>
        <v>10</v>
      </c>
      <c r="Q57" s="357">
        <f t="shared" si="25"/>
        <v>2</v>
      </c>
      <c r="R57" s="356">
        <f t="shared" si="12"/>
        <v>156952.14744655977</v>
      </c>
      <c r="S57" s="356">
        <f>IF($G$4="mensual",S48,IF($G$4="trimestral",S48,0))</f>
        <v>10000</v>
      </c>
      <c r="U57" s="356">
        <f t="shared" si="26"/>
        <v>1331.2998686459146</v>
      </c>
      <c r="V57" s="359">
        <f>V56</f>
        <v>-95.6047872</v>
      </c>
      <c r="X57" s="359">
        <f t="shared" si="27"/>
        <v>-195.09789733248658</v>
      </c>
      <c r="Y57" s="356">
        <f t="shared" si="14"/>
        <v>167992.7446306732</v>
      </c>
      <c r="AA57" s="357">
        <f>+Bono!J57</f>
        <v>131334.1885824373</v>
      </c>
      <c r="AC57" s="378">
        <f t="shared" si="3"/>
        <v>2.8333333333333335</v>
      </c>
      <c r="AD57" s="356">
        <f t="shared" si="15"/>
        <v>494521.50047389424</v>
      </c>
      <c r="AF57" s="356">
        <f t="shared" si="18"/>
        <v>62</v>
      </c>
      <c r="AG57" s="356">
        <f t="shared" si="29"/>
        <v>33</v>
      </c>
      <c r="AH57" s="356">
        <f t="shared" si="30"/>
        <v>120000</v>
      </c>
      <c r="AI57" s="356">
        <f t="shared" si="19"/>
        <v>3960000</v>
      </c>
    </row>
    <row r="58" spans="1:35" x14ac:dyDescent="0.25">
      <c r="A58" s="356">
        <f t="shared" si="4"/>
        <v>2.9166666666666665</v>
      </c>
      <c r="B58" s="356">
        <f t="shared" si="5"/>
        <v>35</v>
      </c>
      <c r="C58" s="357">
        <f t="shared" si="20"/>
        <v>2</v>
      </c>
      <c r="D58" s="357">
        <f t="shared" si="21"/>
        <v>11</v>
      </c>
      <c r="E58" s="357">
        <f t="shared" si="22"/>
        <v>31</v>
      </c>
      <c r="F58" s="356">
        <f t="shared" si="7"/>
        <v>195194.56726078375</v>
      </c>
      <c r="H58" s="356">
        <f t="shared" si="1"/>
        <v>1556.5088902965908</v>
      </c>
      <c r="I58" s="356">
        <v>0</v>
      </c>
      <c r="J58" s="356">
        <v>0</v>
      </c>
      <c r="K58" s="356">
        <f t="shared" si="8"/>
        <v>-228.23124833525318</v>
      </c>
      <c r="L58" s="356">
        <f t="shared" si="9"/>
        <v>196522.8449027451</v>
      </c>
      <c r="N58" s="356">
        <f t="shared" si="10"/>
        <v>35</v>
      </c>
      <c r="O58" s="357">
        <f t="shared" si="23"/>
        <v>2</v>
      </c>
      <c r="P58" s="357">
        <f t="shared" si="24"/>
        <v>11</v>
      </c>
      <c r="Q58" s="357">
        <f t="shared" si="25"/>
        <v>2</v>
      </c>
      <c r="R58" s="356">
        <f t="shared" si="12"/>
        <v>167992.7446306732</v>
      </c>
      <c r="S58" s="356">
        <f>IF($G$4="mensual",S57,0)</f>
        <v>10000</v>
      </c>
      <c r="U58" s="356">
        <f t="shared" si="26"/>
        <v>1419.3391410109946</v>
      </c>
      <c r="V58" s="359">
        <f>V57</f>
        <v>-95.6047872</v>
      </c>
      <c r="X58" s="359">
        <f t="shared" si="27"/>
        <v>-208.00711562200166</v>
      </c>
      <c r="Y58" s="356">
        <f t="shared" si="14"/>
        <v>179108.47186886222</v>
      </c>
      <c r="AA58" s="357">
        <f>+Bono!J58</f>
        <v>132148.47578547135</v>
      </c>
      <c r="AC58" s="378">
        <f t="shared" si="3"/>
        <v>2.9166666666666665</v>
      </c>
      <c r="AD58" s="356">
        <f t="shared" si="15"/>
        <v>507779.79255707865</v>
      </c>
      <c r="AF58" s="356">
        <f t="shared" si="18"/>
        <v>63</v>
      </c>
      <c r="AG58" s="356">
        <f t="shared" si="29"/>
        <v>34</v>
      </c>
      <c r="AH58" s="356">
        <f t="shared" si="30"/>
        <v>120000</v>
      </c>
      <c r="AI58" s="356">
        <f t="shared" si="19"/>
        <v>4080000</v>
      </c>
    </row>
    <row r="59" spans="1:35" x14ac:dyDescent="0.25">
      <c r="A59" s="356">
        <f t="shared" si="4"/>
        <v>3</v>
      </c>
      <c r="B59" s="356">
        <f t="shared" si="5"/>
        <v>36</v>
      </c>
      <c r="C59" s="357">
        <f t="shared" si="20"/>
        <v>2</v>
      </c>
      <c r="D59" s="357">
        <f t="shared" si="21"/>
        <v>12</v>
      </c>
      <c r="E59" s="357">
        <f t="shared" si="22"/>
        <v>31</v>
      </c>
      <c r="F59" s="356">
        <f t="shared" si="7"/>
        <v>196522.8449027451</v>
      </c>
      <c r="H59" s="356">
        <f t="shared" si="1"/>
        <v>1567.1007627421639</v>
      </c>
      <c r="I59" s="356">
        <v>0</v>
      </c>
      <c r="J59" s="360">
        <f>-SUM(F59:H59)*$J$21*1.16</f>
        <v>-2068.059032747687</v>
      </c>
      <c r="K59" s="356">
        <f t="shared" si="8"/>
        <v>-227.3853884939779</v>
      </c>
      <c r="L59" s="356">
        <f t="shared" si="9"/>
        <v>195794.5012442456</v>
      </c>
      <c r="N59" s="356">
        <f t="shared" si="10"/>
        <v>36</v>
      </c>
      <c r="O59" s="357">
        <f t="shared" si="23"/>
        <v>2</v>
      </c>
      <c r="P59" s="357">
        <f t="shared" si="24"/>
        <v>12</v>
      </c>
      <c r="Q59" s="357">
        <f t="shared" si="25"/>
        <v>2</v>
      </c>
      <c r="R59" s="356">
        <f t="shared" si="12"/>
        <v>179108.47186886222</v>
      </c>
      <c r="S59" s="356">
        <f>IF($G$4="mensual",S58,0)</f>
        <v>10000</v>
      </c>
      <c r="U59" s="356">
        <f t="shared" si="26"/>
        <v>1507.9775109777045</v>
      </c>
      <c r="V59" s="359">
        <f>V58</f>
        <v>-95.6047872</v>
      </c>
      <c r="X59" s="359">
        <f t="shared" si="27"/>
        <v>-221.00417972746231</v>
      </c>
      <c r="Y59" s="356">
        <f t="shared" si="14"/>
        <v>190299.84041291248</v>
      </c>
      <c r="AA59" s="357">
        <f>+Bono!J59</f>
        <v>131769.90345043</v>
      </c>
      <c r="AC59" s="378">
        <f t="shared" si="3"/>
        <v>3</v>
      </c>
      <c r="AD59" s="356">
        <f t="shared" si="15"/>
        <v>517864.245107588</v>
      </c>
      <c r="AF59" s="356">
        <f t="shared" si="18"/>
        <v>64</v>
      </c>
      <c r="AG59" s="356">
        <f t="shared" si="29"/>
        <v>35</v>
      </c>
      <c r="AH59" s="356">
        <f t="shared" si="30"/>
        <v>120000</v>
      </c>
      <c r="AI59" s="356">
        <f t="shared" si="19"/>
        <v>4200000</v>
      </c>
    </row>
    <row r="60" spans="1:35" x14ac:dyDescent="0.25">
      <c r="A60" s="356">
        <f t="shared" si="4"/>
        <v>3.0833333333333335</v>
      </c>
      <c r="B60" s="356">
        <f t="shared" si="5"/>
        <v>37</v>
      </c>
      <c r="C60" s="357">
        <f t="shared" si="20"/>
        <v>3</v>
      </c>
      <c r="D60" s="357">
        <f t="shared" si="21"/>
        <v>1</v>
      </c>
      <c r="E60" s="357">
        <f t="shared" si="22"/>
        <v>32</v>
      </c>
      <c r="F60" s="356">
        <f t="shared" si="7"/>
        <v>195794.5012442456</v>
      </c>
      <c r="H60" s="356">
        <f t="shared" si="1"/>
        <v>1561.2928481287872</v>
      </c>
      <c r="I60" s="356">
        <v>0</v>
      </c>
      <c r="J60" s="356">
        <v>0</v>
      </c>
      <c r="K60" s="356">
        <f t="shared" si="8"/>
        <v>-228.9327211471543</v>
      </c>
      <c r="L60" s="356">
        <f t="shared" si="9"/>
        <v>197126.86137122722</v>
      </c>
      <c r="N60" s="356">
        <f t="shared" si="10"/>
        <v>37</v>
      </c>
      <c r="O60" s="357">
        <f t="shared" si="23"/>
        <v>3</v>
      </c>
      <c r="P60" s="357">
        <f t="shared" si="24"/>
        <v>1</v>
      </c>
      <c r="Q60" s="357">
        <f t="shared" si="25"/>
        <v>3</v>
      </c>
      <c r="R60" s="356">
        <f t="shared" si="12"/>
        <v>190299.84041291248</v>
      </c>
      <c r="S60" s="356">
        <f>IF($G$17="si",S48*(1+$G$20),S48)</f>
        <v>10000</v>
      </c>
      <c r="U60" s="356">
        <f t="shared" si="26"/>
        <v>1597.2190553395774</v>
      </c>
      <c r="V60" s="359">
        <f>V59*(1+$G$18)</f>
        <v>-99.428978688</v>
      </c>
      <c r="X60" s="359">
        <f t="shared" si="27"/>
        <v>-234.0852513678943</v>
      </c>
      <c r="Y60" s="356">
        <f t="shared" si="14"/>
        <v>201563.54523819618</v>
      </c>
      <c r="AA60" s="357">
        <f>+Bono!J60</f>
        <v>132586.8921361854</v>
      </c>
      <c r="AC60" s="378">
        <f t="shared" si="3"/>
        <v>3.0833333333333335</v>
      </c>
      <c r="AD60" s="356">
        <f t="shared" si="15"/>
        <v>531277.2987456088</v>
      </c>
      <c r="AF60" s="356">
        <f t="shared" si="18"/>
        <v>65</v>
      </c>
      <c r="AG60" s="356">
        <f t="shared" si="29"/>
        <v>36</v>
      </c>
      <c r="AH60" s="356">
        <f t="shared" si="30"/>
        <v>120000</v>
      </c>
      <c r="AI60" s="356">
        <f t="shared" si="19"/>
        <v>4320000</v>
      </c>
    </row>
    <row r="61" spans="1:35" x14ac:dyDescent="0.25">
      <c r="A61" s="356">
        <f t="shared" si="4"/>
        <v>3.1666666666666665</v>
      </c>
      <c r="B61" s="356">
        <f t="shared" si="5"/>
        <v>38</v>
      </c>
      <c r="C61" s="357">
        <f t="shared" si="20"/>
        <v>3</v>
      </c>
      <c r="D61" s="357">
        <f t="shared" si="21"/>
        <v>2</v>
      </c>
      <c r="E61" s="357">
        <f t="shared" si="22"/>
        <v>32</v>
      </c>
      <c r="F61" s="356">
        <f t="shared" si="7"/>
        <v>197126.86137122722</v>
      </c>
      <c r="H61" s="356">
        <f t="shared" si="1"/>
        <v>1571.9172748832107</v>
      </c>
      <c r="I61" s="356">
        <v>0</v>
      </c>
      <c r="J61" s="356">
        <v>0</v>
      </c>
      <c r="K61" s="356">
        <f t="shared" si="8"/>
        <v>-230.4905832294881</v>
      </c>
      <c r="L61" s="356">
        <f t="shared" si="9"/>
        <v>198468.28806288095</v>
      </c>
      <c r="N61" s="356">
        <f t="shared" si="10"/>
        <v>38</v>
      </c>
      <c r="O61" s="357">
        <f t="shared" si="23"/>
        <v>3</v>
      </c>
      <c r="P61" s="357">
        <f t="shared" si="24"/>
        <v>2</v>
      </c>
      <c r="Q61" s="357">
        <f t="shared" si="25"/>
        <v>3</v>
      </c>
      <c r="R61" s="356">
        <f t="shared" si="12"/>
        <v>201563.54523819618</v>
      </c>
      <c r="S61" s="356">
        <f>IF($G$4="mensual",S60,0)</f>
        <v>10000</v>
      </c>
      <c r="U61" s="356">
        <f t="shared" si="26"/>
        <v>1687.0374193661107</v>
      </c>
      <c r="V61" s="359">
        <f t="shared" ref="V61:V124" si="31">V60</f>
        <v>-99.428978688</v>
      </c>
      <c r="X61" s="359">
        <f t="shared" si="27"/>
        <v>-247.25533826749415</v>
      </c>
      <c r="Y61" s="356">
        <f t="shared" si="14"/>
        <v>212903.8983406068</v>
      </c>
      <c r="AA61" s="357">
        <f>+Bono!J61</f>
        <v>133408.94624655735</v>
      </c>
      <c r="AC61" s="378">
        <f t="shared" si="3"/>
        <v>3.1666666666666665</v>
      </c>
      <c r="AD61" s="356">
        <f t="shared" si="15"/>
        <v>544781.1326500451</v>
      </c>
      <c r="AF61" s="356">
        <f t="shared" si="18"/>
        <v>66</v>
      </c>
      <c r="AG61" s="356">
        <f t="shared" si="29"/>
        <v>37</v>
      </c>
      <c r="AH61" s="356">
        <f t="shared" si="30"/>
        <v>120000</v>
      </c>
      <c r="AI61" s="356">
        <f t="shared" si="19"/>
        <v>4440000</v>
      </c>
    </row>
    <row r="62" spans="1:35" x14ac:dyDescent="0.25">
      <c r="A62" s="356">
        <f t="shared" si="4"/>
        <v>3.25</v>
      </c>
      <c r="B62" s="356">
        <f t="shared" si="5"/>
        <v>39</v>
      </c>
      <c r="C62" s="357">
        <f t="shared" si="20"/>
        <v>3</v>
      </c>
      <c r="D62" s="357">
        <f t="shared" si="21"/>
        <v>3</v>
      </c>
      <c r="E62" s="357">
        <f t="shared" si="22"/>
        <v>32</v>
      </c>
      <c r="F62" s="356">
        <f t="shared" si="7"/>
        <v>198468.28806288095</v>
      </c>
      <c r="H62" s="356">
        <f t="shared" si="1"/>
        <v>1582.6139996975373</v>
      </c>
      <c r="I62" s="356">
        <v>0</v>
      </c>
      <c r="J62" s="360">
        <f>-SUM(F62:H62)*$J$21*1.16</f>
        <v>-2088.531417533319</v>
      </c>
      <c r="K62" s="356">
        <f t="shared" si="8"/>
        <v>-229.63634994825236</v>
      </c>
      <c r="L62" s="356">
        <f t="shared" si="9"/>
        <v>197732.73429509692</v>
      </c>
      <c r="N62" s="356">
        <f t="shared" si="10"/>
        <v>39</v>
      </c>
      <c r="O62" s="357">
        <f t="shared" si="23"/>
        <v>3</v>
      </c>
      <c r="P62" s="357">
        <f t="shared" si="24"/>
        <v>3</v>
      </c>
      <c r="Q62" s="357">
        <f t="shared" si="25"/>
        <v>3</v>
      </c>
      <c r="R62" s="356">
        <f t="shared" si="12"/>
        <v>212903.8983406068</v>
      </c>
      <c r="S62" s="356">
        <f>IF($G$4="mensual",S61,0)</f>
        <v>10000</v>
      </c>
      <c r="U62" s="356">
        <f t="shared" si="26"/>
        <v>1777.4669875180873</v>
      </c>
      <c r="V62" s="359">
        <f t="shared" si="31"/>
        <v>-99.428978688</v>
      </c>
      <c r="X62" s="359">
        <f t="shared" si="27"/>
        <v>-260.5150461653468</v>
      </c>
      <c r="Y62" s="356">
        <f t="shared" si="14"/>
        <v>224321.42130327155</v>
      </c>
      <c r="AA62" s="357">
        <f>+Bono!J62</f>
        <v>133026.76297886716</v>
      </c>
      <c r="AC62" s="378">
        <f t="shared" si="3"/>
        <v>3.25</v>
      </c>
      <c r="AD62" s="356">
        <f t="shared" si="15"/>
        <v>555080.9185772357</v>
      </c>
      <c r="AF62" s="356">
        <f t="shared" si="18"/>
        <v>67</v>
      </c>
      <c r="AG62" s="356">
        <f t="shared" si="29"/>
        <v>38</v>
      </c>
      <c r="AH62" s="356">
        <f t="shared" si="30"/>
        <v>120000</v>
      </c>
      <c r="AI62" s="356">
        <f t="shared" si="19"/>
        <v>4560000</v>
      </c>
    </row>
    <row r="63" spans="1:35" x14ac:dyDescent="0.25">
      <c r="A63" s="356">
        <f t="shared" si="4"/>
        <v>3.3333333333333335</v>
      </c>
      <c r="B63" s="356">
        <f t="shared" si="5"/>
        <v>40</v>
      </c>
      <c r="C63" s="357">
        <f t="shared" si="20"/>
        <v>3</v>
      </c>
      <c r="D63" s="357">
        <f t="shared" si="21"/>
        <v>4</v>
      </c>
      <c r="E63" s="357">
        <f t="shared" si="22"/>
        <v>32</v>
      </c>
      <c r="F63" s="356">
        <f t="shared" si="7"/>
        <v>197732.73429509692</v>
      </c>
      <c r="H63" s="356">
        <f t="shared" si="1"/>
        <v>1576.7485906602183</v>
      </c>
      <c r="I63" s="356">
        <v>0</v>
      </c>
      <c r="J63" s="356">
        <v>0</v>
      </c>
      <c r="K63" s="356">
        <f t="shared" si="8"/>
        <v>-231.19900014747827</v>
      </c>
      <c r="L63" s="356">
        <f t="shared" si="9"/>
        <v>199078.28388560965</v>
      </c>
      <c r="N63" s="356">
        <f t="shared" si="10"/>
        <v>40</v>
      </c>
      <c r="O63" s="357">
        <f t="shared" si="23"/>
        <v>3</v>
      </c>
      <c r="P63" s="357">
        <f t="shared" si="24"/>
        <v>4</v>
      </c>
      <c r="Q63" s="357">
        <f t="shared" si="25"/>
        <v>3</v>
      </c>
      <c r="R63" s="356">
        <f t="shared" si="12"/>
        <v>224321.42130327155</v>
      </c>
      <c r="S63" s="356">
        <f>IF($G$4="mensual",S60,IF($G$4="trimestral",S60,0))</f>
        <v>10000</v>
      </c>
      <c r="U63" s="356">
        <f t="shared" si="26"/>
        <v>1868.5119189726095</v>
      </c>
      <c r="V63" s="359">
        <f t="shared" si="31"/>
        <v>-99.428978688</v>
      </c>
      <c r="X63" s="359">
        <f t="shared" si="27"/>
        <v>-273.86498492252514</v>
      </c>
      <c r="Y63" s="356">
        <f t="shared" si="14"/>
        <v>235816.63925863363</v>
      </c>
      <c r="AA63" s="357">
        <f>+Bono!J63</f>
        <v>133851.54433948558</v>
      </c>
      <c r="AC63" s="378">
        <f t="shared" si="3"/>
        <v>3.3333333333333335</v>
      </c>
      <c r="AD63" s="356">
        <f t="shared" si="15"/>
        <v>568746.4674837289</v>
      </c>
      <c r="AF63" s="356">
        <f t="shared" si="18"/>
        <v>68</v>
      </c>
      <c r="AG63" s="356">
        <f t="shared" si="29"/>
        <v>39</v>
      </c>
      <c r="AH63" s="356">
        <f t="shared" si="30"/>
        <v>120000</v>
      </c>
      <c r="AI63" s="356">
        <f t="shared" si="19"/>
        <v>4680000</v>
      </c>
    </row>
    <row r="64" spans="1:35" x14ac:dyDescent="0.25">
      <c r="A64" s="356">
        <f t="shared" si="4"/>
        <v>3.4166666666666665</v>
      </c>
      <c r="B64" s="356">
        <f t="shared" si="5"/>
        <v>41</v>
      </c>
      <c r="C64" s="357">
        <f t="shared" si="20"/>
        <v>3</v>
      </c>
      <c r="D64" s="357">
        <f t="shared" si="21"/>
        <v>5</v>
      </c>
      <c r="E64" s="357">
        <f t="shared" si="22"/>
        <v>32</v>
      </c>
      <c r="F64" s="356">
        <f t="shared" si="7"/>
        <v>199078.28388560965</v>
      </c>
      <c r="H64" s="356">
        <f t="shared" si="1"/>
        <v>1587.4781920490207</v>
      </c>
      <c r="I64" s="356">
        <v>0</v>
      </c>
      <c r="J64" s="356">
        <v>0</v>
      </c>
      <c r="K64" s="356">
        <f t="shared" si="8"/>
        <v>-232.77228401008406</v>
      </c>
      <c r="L64" s="356">
        <f t="shared" si="9"/>
        <v>200432.9897936486</v>
      </c>
      <c r="N64" s="356">
        <f t="shared" si="10"/>
        <v>41</v>
      </c>
      <c r="O64" s="357">
        <f t="shared" si="23"/>
        <v>3</v>
      </c>
      <c r="P64" s="357">
        <f t="shared" si="24"/>
        <v>5</v>
      </c>
      <c r="Q64" s="357">
        <f t="shared" si="25"/>
        <v>3</v>
      </c>
      <c r="R64" s="356">
        <f t="shared" si="12"/>
        <v>235816.63925863363</v>
      </c>
      <c r="S64" s="356">
        <f>IF($G$4="mensual",S63,0)</f>
        <v>10000</v>
      </c>
      <c r="U64" s="356">
        <f t="shared" si="26"/>
        <v>1960.1764012095227</v>
      </c>
      <c r="V64" s="359">
        <f t="shared" si="31"/>
        <v>-99.428978688</v>
      </c>
      <c r="X64" s="359">
        <f t="shared" si="27"/>
        <v>-287.30576855014</v>
      </c>
      <c r="Y64" s="356">
        <f t="shared" si="14"/>
        <v>247390.08091260502</v>
      </c>
      <c r="AA64" s="357">
        <f>+Bono!J64</f>
        <v>134681.43944020855</v>
      </c>
      <c r="AC64" s="378">
        <f t="shared" si="3"/>
        <v>3.4166666666666665</v>
      </c>
      <c r="AD64" s="356">
        <f t="shared" si="15"/>
        <v>582504.5101464621</v>
      </c>
      <c r="AF64" s="356">
        <f t="shared" si="18"/>
        <v>69</v>
      </c>
      <c r="AG64" s="356">
        <f t="shared" si="29"/>
        <v>40</v>
      </c>
      <c r="AH64" s="356">
        <f t="shared" si="30"/>
        <v>120000</v>
      </c>
      <c r="AI64" s="356">
        <f t="shared" si="19"/>
        <v>4800000</v>
      </c>
    </row>
    <row r="65" spans="1:35" x14ac:dyDescent="0.25">
      <c r="A65" s="356">
        <f t="shared" si="4"/>
        <v>3.5</v>
      </c>
      <c r="B65" s="356">
        <f t="shared" si="5"/>
        <v>42</v>
      </c>
      <c r="C65" s="357">
        <f t="shared" si="20"/>
        <v>3</v>
      </c>
      <c r="D65" s="357">
        <f t="shared" si="21"/>
        <v>6</v>
      </c>
      <c r="E65" s="357">
        <f t="shared" si="22"/>
        <v>32</v>
      </c>
      <c r="F65" s="356">
        <f t="shared" si="7"/>
        <v>200432.9897936486</v>
      </c>
      <c r="H65" s="356">
        <f t="shared" si="1"/>
        <v>1598.2808071995887</v>
      </c>
      <c r="I65" s="356">
        <v>0</v>
      </c>
      <c r="J65" s="360">
        <f>-SUM(F65:H65)*$J$21*1.16</f>
        <v>-2109.2064650728553</v>
      </c>
      <c r="K65" s="356">
        <f t="shared" si="8"/>
        <v>-231.90959439749938</v>
      </c>
      <c r="L65" s="356">
        <f t="shared" si="9"/>
        <v>199690.15454137785</v>
      </c>
      <c r="N65" s="356">
        <f t="shared" si="10"/>
        <v>42</v>
      </c>
      <c r="O65" s="357">
        <f t="shared" si="23"/>
        <v>3</v>
      </c>
      <c r="P65" s="357">
        <f t="shared" si="24"/>
        <v>6</v>
      </c>
      <c r="Q65" s="357">
        <f t="shared" si="25"/>
        <v>3</v>
      </c>
      <c r="R65" s="356">
        <f t="shared" si="12"/>
        <v>247390.08091260502</v>
      </c>
      <c r="S65" s="356">
        <f>IF($G$4="mensual",S64,0)</f>
        <v>10000</v>
      </c>
      <c r="U65" s="356">
        <f t="shared" si="26"/>
        <v>2052.4646502040146</v>
      </c>
      <c r="V65" s="359">
        <f t="shared" si="31"/>
        <v>-99.428978688</v>
      </c>
      <c r="X65" s="359">
        <f t="shared" si="27"/>
        <v>-300.8380152375804</v>
      </c>
      <c r="Y65" s="356">
        <f t="shared" si="14"/>
        <v>259042.27856888346</v>
      </c>
      <c r="AA65" s="357">
        <f>+Bono!J65</f>
        <v>134295.61079774745</v>
      </c>
      <c r="AC65" s="378">
        <f t="shared" si="3"/>
        <v>3.5</v>
      </c>
      <c r="AD65" s="356">
        <f t="shared" si="15"/>
        <v>593028.0439080088</v>
      </c>
      <c r="AF65" s="356">
        <f t="shared" si="18"/>
        <v>70</v>
      </c>
      <c r="AG65" s="356">
        <f t="shared" si="29"/>
        <v>41</v>
      </c>
      <c r="AH65" s="356">
        <f t="shared" si="30"/>
        <v>120000</v>
      </c>
      <c r="AI65" s="356">
        <f t="shared" si="19"/>
        <v>4920000</v>
      </c>
    </row>
    <row r="66" spans="1:35" x14ac:dyDescent="0.25">
      <c r="A66" s="356">
        <f t="shared" si="4"/>
        <v>3.5833333333333335</v>
      </c>
      <c r="B66" s="356">
        <f t="shared" si="5"/>
        <v>43</v>
      </c>
      <c r="C66" s="357">
        <f t="shared" si="20"/>
        <v>3</v>
      </c>
      <c r="D66" s="357">
        <f t="shared" si="21"/>
        <v>7</v>
      </c>
      <c r="E66" s="357">
        <f t="shared" si="22"/>
        <v>32</v>
      </c>
      <c r="F66" s="356">
        <f t="shared" si="7"/>
        <v>199690.15454137785</v>
      </c>
      <c r="H66" s="356">
        <f t="shared" si="1"/>
        <v>1592.3573345824418</v>
      </c>
      <c r="I66" s="356">
        <v>0</v>
      </c>
      <c r="J66" s="356">
        <v>0</v>
      </c>
      <c r="K66" s="356">
        <f t="shared" si="8"/>
        <v>-233.48771377611396</v>
      </c>
      <c r="L66" s="356">
        <f t="shared" si="9"/>
        <v>201049.02416218419</v>
      </c>
      <c r="N66" s="356">
        <f t="shared" si="10"/>
        <v>43</v>
      </c>
      <c r="O66" s="357">
        <f t="shared" si="23"/>
        <v>3</v>
      </c>
      <c r="P66" s="357">
        <f t="shared" si="24"/>
        <v>7</v>
      </c>
      <c r="Q66" s="357">
        <f t="shared" si="25"/>
        <v>3</v>
      </c>
      <c r="R66" s="356">
        <f t="shared" si="12"/>
        <v>259042.27856888346</v>
      </c>
      <c r="S66" s="356">
        <f>+IF($G$4="mensual",S60,IF($G$4="trimestral",S60,IF($G$4="semestral",S60,0)))</f>
        <v>10000</v>
      </c>
      <c r="U66" s="356">
        <f t="shared" si="26"/>
        <v>2145.380910620522</v>
      </c>
      <c r="V66" s="359">
        <f t="shared" si="31"/>
        <v>-99.428978688</v>
      </c>
      <c r="X66" s="359">
        <f t="shared" si="27"/>
        <v>-314.4623473809464</v>
      </c>
      <c r="Y66" s="356">
        <f t="shared" si="14"/>
        <v>270773.76815343497</v>
      </c>
      <c r="AA66" s="357">
        <f>+Bono!J66</f>
        <v>135128.25916202017</v>
      </c>
      <c r="AC66" s="378">
        <f t="shared" si="3"/>
        <v>3.5833333333333335</v>
      </c>
      <c r="AD66" s="356">
        <f t="shared" si="15"/>
        <v>606951.0514776394</v>
      </c>
      <c r="AF66" s="356">
        <f t="shared" si="18"/>
        <v>71</v>
      </c>
      <c r="AG66" s="356">
        <f t="shared" si="29"/>
        <v>42</v>
      </c>
      <c r="AH66" s="356">
        <f t="shared" si="30"/>
        <v>120000</v>
      </c>
      <c r="AI66" s="356">
        <f t="shared" si="19"/>
        <v>5040000</v>
      </c>
    </row>
    <row r="67" spans="1:35" x14ac:dyDescent="0.25">
      <c r="A67" s="356">
        <f t="shared" si="4"/>
        <v>3.6666666666666665</v>
      </c>
      <c r="B67" s="356">
        <f t="shared" si="5"/>
        <v>44</v>
      </c>
      <c r="C67" s="357">
        <f t="shared" si="20"/>
        <v>3</v>
      </c>
      <c r="D67" s="357">
        <f t="shared" si="21"/>
        <v>8</v>
      </c>
      <c r="E67" s="357">
        <f t="shared" si="22"/>
        <v>32</v>
      </c>
      <c r="F67" s="356">
        <f t="shared" si="7"/>
        <v>201049.02416218419</v>
      </c>
      <c r="H67" s="356">
        <f t="shared" si="1"/>
        <v>1603.1931517633227</v>
      </c>
      <c r="I67" s="356">
        <v>0</v>
      </c>
      <c r="J67" s="356">
        <v>0</v>
      </c>
      <c r="K67" s="356">
        <f t="shared" si="8"/>
        <v>-235.0765720841791</v>
      </c>
      <c r="L67" s="356">
        <f t="shared" si="9"/>
        <v>202417.14074186332</v>
      </c>
      <c r="N67" s="356">
        <f t="shared" si="10"/>
        <v>44</v>
      </c>
      <c r="O67" s="357">
        <f t="shared" si="23"/>
        <v>3</v>
      </c>
      <c r="P67" s="357">
        <f t="shared" si="24"/>
        <v>8</v>
      </c>
      <c r="Q67" s="357">
        <f t="shared" si="25"/>
        <v>3</v>
      </c>
      <c r="R67" s="356">
        <f t="shared" si="12"/>
        <v>270773.76815343497</v>
      </c>
      <c r="S67" s="356">
        <f>IF($G$4="mensual",S66,0)</f>
        <v>10000</v>
      </c>
      <c r="U67" s="356">
        <f t="shared" si="26"/>
        <v>2238.929456007958</v>
      </c>
      <c r="V67" s="359">
        <f t="shared" si="31"/>
        <v>-99.428978688</v>
      </c>
      <c r="X67" s="359">
        <f t="shared" si="27"/>
        <v>-328.17939161167567</v>
      </c>
      <c r="Y67" s="356">
        <f t="shared" si="14"/>
        <v>282585.08923914324</v>
      </c>
      <c r="AA67" s="357">
        <f>+Bono!J67</f>
        <v>135966.0700427326</v>
      </c>
      <c r="AC67" s="378">
        <f t="shared" si="3"/>
        <v>3.6666666666666665</v>
      </c>
      <c r="AD67" s="356">
        <f t="shared" si="15"/>
        <v>620968.3000237391</v>
      </c>
      <c r="AF67" s="356">
        <f t="shared" si="18"/>
        <v>72</v>
      </c>
      <c r="AG67" s="356">
        <f t="shared" si="29"/>
        <v>43</v>
      </c>
      <c r="AH67" s="356">
        <f t="shared" si="30"/>
        <v>120000</v>
      </c>
      <c r="AI67" s="356">
        <f t="shared" si="19"/>
        <v>5160000</v>
      </c>
    </row>
    <row r="68" spans="1:35" x14ac:dyDescent="0.25">
      <c r="A68" s="356">
        <f t="shared" si="4"/>
        <v>3.75</v>
      </c>
      <c r="B68" s="356">
        <f t="shared" si="5"/>
        <v>45</v>
      </c>
      <c r="C68" s="357">
        <f t="shared" si="20"/>
        <v>3</v>
      </c>
      <c r="D68" s="357">
        <f t="shared" si="21"/>
        <v>9</v>
      </c>
      <c r="E68" s="357">
        <f t="shared" si="22"/>
        <v>32</v>
      </c>
      <c r="F68" s="356">
        <f t="shared" si="7"/>
        <v>202417.14074186332</v>
      </c>
      <c r="H68" s="356">
        <f t="shared" si="1"/>
        <v>1614.1027054927956</v>
      </c>
      <c r="I68" s="356">
        <v>0</v>
      </c>
      <c r="J68" s="360">
        <f>-SUM(F68:H68)*$J$21*1.16</f>
        <v>-2130.0861815903977</v>
      </c>
      <c r="K68" s="356">
        <f t="shared" si="8"/>
        <v>-234.2053424282882</v>
      </c>
      <c r="L68" s="356">
        <f t="shared" si="9"/>
        <v>201666.95192333742</v>
      </c>
      <c r="N68" s="356">
        <f t="shared" si="10"/>
        <v>45</v>
      </c>
      <c r="O68" s="357">
        <f t="shared" si="23"/>
        <v>3</v>
      </c>
      <c r="P68" s="357">
        <f t="shared" si="24"/>
        <v>9</v>
      </c>
      <c r="Q68" s="357">
        <f t="shared" si="25"/>
        <v>3</v>
      </c>
      <c r="R68" s="356">
        <f t="shared" si="12"/>
        <v>282585.08923914324</v>
      </c>
      <c r="S68" s="356">
        <f>IF($G$4="mensual",S67,0)</f>
        <v>10000</v>
      </c>
      <c r="U68" s="356">
        <f t="shared" si="26"/>
        <v>2333.1145889962677</v>
      </c>
      <c r="V68" s="359">
        <f t="shared" si="31"/>
        <v>-99.428978688</v>
      </c>
      <c r="X68" s="359">
        <f t="shared" si="27"/>
        <v>-341.98977882536377</v>
      </c>
      <c r="Y68" s="356">
        <f t="shared" si="14"/>
        <v>294476.7850706261</v>
      </c>
      <c r="AA68" s="357">
        <f>+Bono!J68</f>
        <v>135576.56125485952</v>
      </c>
      <c r="AC68" s="378">
        <f t="shared" si="3"/>
        <v>3.75</v>
      </c>
      <c r="AD68" s="356">
        <f t="shared" si="15"/>
        <v>631720.298248823</v>
      </c>
      <c r="AF68" s="356">
        <f t="shared" si="18"/>
        <v>73</v>
      </c>
      <c r="AG68" s="356">
        <f t="shared" si="29"/>
        <v>44</v>
      </c>
      <c r="AH68" s="356">
        <f t="shared" si="30"/>
        <v>120000</v>
      </c>
      <c r="AI68" s="356">
        <f t="shared" si="19"/>
        <v>5280000</v>
      </c>
    </row>
    <row r="69" spans="1:35" x14ac:dyDescent="0.25">
      <c r="A69" s="356">
        <f t="shared" si="4"/>
        <v>3.8333333333333335</v>
      </c>
      <c r="B69" s="356">
        <f t="shared" si="5"/>
        <v>46</v>
      </c>
      <c r="C69" s="357">
        <f t="shared" si="20"/>
        <v>3</v>
      </c>
      <c r="D69" s="357">
        <f t="shared" si="21"/>
        <v>10</v>
      </c>
      <c r="E69" s="357">
        <f t="shared" si="22"/>
        <v>32</v>
      </c>
      <c r="F69" s="356">
        <f t="shared" si="7"/>
        <v>201666.95192333742</v>
      </c>
      <c r="H69" s="356">
        <f t="shared" si="1"/>
        <v>1608.1205945056765</v>
      </c>
      <c r="I69" s="356">
        <v>0</v>
      </c>
      <c r="J69" s="356">
        <v>0</v>
      </c>
      <c r="K69" s="356">
        <f t="shared" si="8"/>
        <v>-235.79908412069798</v>
      </c>
      <c r="L69" s="356">
        <f t="shared" si="9"/>
        <v>203039.2734337224</v>
      </c>
      <c r="N69" s="356">
        <f t="shared" si="10"/>
        <v>46</v>
      </c>
      <c r="O69" s="357">
        <f t="shared" si="23"/>
        <v>3</v>
      </c>
      <c r="P69" s="357">
        <f t="shared" si="24"/>
        <v>10</v>
      </c>
      <c r="Q69" s="357">
        <f t="shared" si="25"/>
        <v>3</v>
      </c>
      <c r="R69" s="356">
        <f t="shared" si="12"/>
        <v>294476.7850706261</v>
      </c>
      <c r="S69" s="356">
        <f>IF($G$4="mensual",S60,IF($G$4="trimestral",S60,0))</f>
        <v>10000</v>
      </c>
      <c r="U69" s="356">
        <f t="shared" si="26"/>
        <v>2427.940641494322</v>
      </c>
      <c r="V69" s="359">
        <f t="shared" si="31"/>
        <v>-99.428978688</v>
      </c>
      <c r="X69" s="359">
        <f t="shared" si="27"/>
        <v>-355.8941442107815</v>
      </c>
      <c r="Y69" s="356">
        <f t="shared" si="14"/>
        <v>306449.4025892216</v>
      </c>
      <c r="AA69" s="357">
        <f>+Bono!J69</f>
        <v>136417.1516605474</v>
      </c>
      <c r="AC69" s="378">
        <f t="shared" si="3"/>
        <v>3.8333333333333335</v>
      </c>
      <c r="AD69" s="356">
        <f t="shared" si="15"/>
        <v>645905.8276834914</v>
      </c>
      <c r="AF69" s="356">
        <f t="shared" si="18"/>
        <v>74</v>
      </c>
      <c r="AG69" s="356">
        <f t="shared" si="29"/>
        <v>45</v>
      </c>
      <c r="AH69" s="356">
        <f t="shared" si="30"/>
        <v>120000</v>
      </c>
      <c r="AI69" s="356">
        <f t="shared" si="19"/>
        <v>5400000</v>
      </c>
    </row>
    <row r="70" spans="1:35" x14ac:dyDescent="0.25">
      <c r="A70" s="356">
        <f t="shared" si="4"/>
        <v>3.9166666666666665</v>
      </c>
      <c r="B70" s="356">
        <f t="shared" si="5"/>
        <v>47</v>
      </c>
      <c r="C70" s="357">
        <f t="shared" si="20"/>
        <v>3</v>
      </c>
      <c r="D70" s="357">
        <f t="shared" si="21"/>
        <v>11</v>
      </c>
      <c r="E70" s="357">
        <f t="shared" si="22"/>
        <v>32</v>
      </c>
      <c r="F70" s="356">
        <f t="shared" si="7"/>
        <v>203039.2734337224</v>
      </c>
      <c r="H70" s="356">
        <f t="shared" si="1"/>
        <v>1619.0636789430919</v>
      </c>
      <c r="I70" s="356">
        <v>0</v>
      </c>
      <c r="J70" s="356">
        <v>0</v>
      </c>
      <c r="K70" s="356">
        <f t="shared" si="8"/>
        <v>-237.40367105069197</v>
      </c>
      <c r="L70" s="356">
        <f t="shared" si="9"/>
        <v>204420.9334416148</v>
      </c>
      <c r="N70" s="356">
        <f t="shared" si="10"/>
        <v>47</v>
      </c>
      <c r="O70" s="357">
        <f t="shared" si="23"/>
        <v>3</v>
      </c>
      <c r="P70" s="357">
        <f t="shared" si="24"/>
        <v>11</v>
      </c>
      <c r="Q70" s="357">
        <f t="shared" si="25"/>
        <v>3</v>
      </c>
      <c r="R70" s="356">
        <f t="shared" si="12"/>
        <v>306449.4025892216</v>
      </c>
      <c r="S70" s="356">
        <f>IF($G$17="si",S58*(1+$G$20),S58)</f>
        <v>10000</v>
      </c>
      <c r="U70" s="356">
        <f t="shared" si="26"/>
        <v>2523.4119748891553</v>
      </c>
      <c r="V70" s="359">
        <f t="shared" si="31"/>
        <v>-99.428978688</v>
      </c>
      <c r="X70" s="359">
        <f t="shared" si="27"/>
        <v>-369.8931272790904</v>
      </c>
      <c r="Y70" s="356">
        <f t="shared" si="14"/>
        <v>318503.4924581437</v>
      </c>
      <c r="AA70" s="357">
        <f>+Bono!J70</f>
        <v>137262.953824253</v>
      </c>
      <c r="AC70" s="378">
        <f t="shared" si="3"/>
        <v>3.9166666666666665</v>
      </c>
      <c r="AD70" s="356">
        <f t="shared" si="15"/>
        <v>660187.3797240115</v>
      </c>
      <c r="AF70" s="356">
        <f t="shared" si="18"/>
        <v>75</v>
      </c>
      <c r="AG70" s="356">
        <f t="shared" si="29"/>
        <v>46</v>
      </c>
      <c r="AH70" s="356">
        <f t="shared" si="30"/>
        <v>120000</v>
      </c>
      <c r="AI70" s="356">
        <f t="shared" si="19"/>
        <v>5520000</v>
      </c>
    </row>
    <row r="71" spans="1:35" x14ac:dyDescent="0.25">
      <c r="A71" s="356">
        <f t="shared" si="4"/>
        <v>4</v>
      </c>
      <c r="B71" s="356">
        <f t="shared" si="5"/>
        <v>48</v>
      </c>
      <c r="C71" s="357">
        <f t="shared" si="20"/>
        <v>3</v>
      </c>
      <c r="D71" s="357">
        <f t="shared" si="21"/>
        <v>12</v>
      </c>
      <c r="E71" s="357">
        <f t="shared" si="22"/>
        <v>32</v>
      </c>
      <c r="F71" s="356">
        <f t="shared" si="7"/>
        <v>204420.9334416148</v>
      </c>
      <c r="H71" s="356">
        <f t="shared" si="1"/>
        <v>1630.081229871026</v>
      </c>
      <c r="I71" s="356">
        <v>0</v>
      </c>
      <c r="J71" s="360">
        <f>-SUM(F71:H71)*$J$21*1.16</f>
        <v>-2151.172593170312</v>
      </c>
      <c r="K71" s="356">
        <f t="shared" si="8"/>
        <v>-236.52381681084597</v>
      </c>
      <c r="L71" s="356">
        <f t="shared" si="9"/>
        <v>203663.31826150467</v>
      </c>
      <c r="N71" s="356">
        <f t="shared" si="10"/>
        <v>48</v>
      </c>
      <c r="O71" s="357">
        <f t="shared" si="23"/>
        <v>3</v>
      </c>
      <c r="P71" s="357">
        <f t="shared" si="24"/>
        <v>12</v>
      </c>
      <c r="Q71" s="357">
        <f t="shared" si="25"/>
        <v>3</v>
      </c>
      <c r="R71" s="356">
        <f t="shared" si="12"/>
        <v>318503.4924581437</v>
      </c>
      <c r="S71" s="356">
        <f>IF($G$4="mensual",S70,0)</f>
        <v>10000</v>
      </c>
      <c r="U71" s="356">
        <f t="shared" si="26"/>
        <v>2619.5329802465662</v>
      </c>
      <c r="V71" s="359">
        <f t="shared" si="31"/>
        <v>-99.428978688</v>
      </c>
      <c r="X71" s="359">
        <f t="shared" si="27"/>
        <v>-383.98737189325453</v>
      </c>
      <c r="Y71" s="356">
        <f t="shared" si="14"/>
        <v>330639.609087809</v>
      </c>
      <c r="AA71" s="357">
        <f>+Bono!J71</f>
        <v>136869.72978867442</v>
      </c>
      <c r="AC71" s="378">
        <f t="shared" si="3"/>
        <v>4</v>
      </c>
      <c r="AD71" s="356">
        <f t="shared" si="15"/>
        <v>671172.657137988</v>
      </c>
      <c r="AF71" s="356">
        <f t="shared" si="18"/>
        <v>76</v>
      </c>
      <c r="AG71" s="356">
        <f t="shared" si="29"/>
        <v>47</v>
      </c>
      <c r="AH71" s="356">
        <f t="shared" si="30"/>
        <v>120000</v>
      </c>
      <c r="AI71" s="356">
        <f t="shared" si="19"/>
        <v>5640000</v>
      </c>
    </row>
    <row r="72" spans="1:35" x14ac:dyDescent="0.25">
      <c r="A72" s="356">
        <f t="shared" si="4"/>
        <v>4.083333333333333</v>
      </c>
      <c r="B72" s="356">
        <f t="shared" si="5"/>
        <v>49</v>
      </c>
      <c r="C72" s="357">
        <f t="shared" si="20"/>
        <v>4</v>
      </c>
      <c r="D72" s="357">
        <f t="shared" si="21"/>
        <v>1</v>
      </c>
      <c r="E72" s="357">
        <f t="shared" si="22"/>
        <v>33</v>
      </c>
      <c r="F72" s="356">
        <f t="shared" si="7"/>
        <v>203663.31826150467</v>
      </c>
      <c r="H72" s="356">
        <f t="shared" si="1"/>
        <v>1624.0399000337586</v>
      </c>
      <c r="I72" s="356">
        <v>0</v>
      </c>
      <c r="J72" s="356">
        <v>0</v>
      </c>
      <c r="K72" s="356">
        <f t="shared" si="8"/>
        <v>-238.13333546738457</v>
      </c>
      <c r="L72" s="356">
        <f t="shared" si="9"/>
        <v>205049.22482607103</v>
      </c>
      <c r="N72" s="356">
        <f t="shared" si="10"/>
        <v>49</v>
      </c>
      <c r="O72" s="357">
        <f t="shared" si="23"/>
        <v>4</v>
      </c>
      <c r="P72" s="357">
        <f t="shared" si="24"/>
        <v>1</v>
      </c>
      <c r="Q72" s="357">
        <f t="shared" si="25"/>
        <v>4</v>
      </c>
      <c r="R72" s="356">
        <f t="shared" si="12"/>
        <v>330639.609087809</v>
      </c>
      <c r="S72" s="356">
        <f>IF($G$17="si",S60*(1+$G$20),S60)</f>
        <v>10000</v>
      </c>
      <c r="U72" s="356">
        <f t="shared" si="26"/>
        <v>2716.308078513072</v>
      </c>
      <c r="V72" s="359">
        <f>V71*(1+$G$18)</f>
        <v>-103.40613783552</v>
      </c>
      <c r="X72" s="359">
        <f t="shared" si="27"/>
        <v>-398.17291279304436</v>
      </c>
      <c r="Y72" s="356">
        <f t="shared" si="14"/>
        <v>342854.3381156935</v>
      </c>
      <c r="AA72" s="357">
        <f>+Bono!J72</f>
        <v>137718.3379892702</v>
      </c>
      <c r="AC72" s="378">
        <f t="shared" si="3"/>
        <v>4.083333333333333</v>
      </c>
      <c r="AD72" s="356">
        <f t="shared" si="15"/>
        <v>685621.9009310347</v>
      </c>
      <c r="AF72" s="356">
        <f t="shared" si="18"/>
        <v>77</v>
      </c>
      <c r="AG72" s="356">
        <f t="shared" si="29"/>
        <v>48</v>
      </c>
      <c r="AH72" s="356">
        <f t="shared" si="30"/>
        <v>120000</v>
      </c>
      <c r="AI72" s="356">
        <f t="shared" si="19"/>
        <v>5760000</v>
      </c>
    </row>
    <row r="73" spans="1:35" x14ac:dyDescent="0.25">
      <c r="A73" s="356">
        <f t="shared" si="4"/>
        <v>4.166666666666667</v>
      </c>
      <c r="B73" s="356">
        <f t="shared" si="5"/>
        <v>50</v>
      </c>
      <c r="C73" s="357">
        <f t="shared" si="20"/>
        <v>4</v>
      </c>
      <c r="D73" s="357">
        <f t="shared" si="21"/>
        <v>2</v>
      </c>
      <c r="E73" s="357">
        <f t="shared" si="22"/>
        <v>33</v>
      </c>
      <c r="F73" s="356">
        <f t="shared" si="7"/>
        <v>205049.22482607103</v>
      </c>
      <c r="H73" s="356">
        <f t="shared" si="1"/>
        <v>1635.0913136009506</v>
      </c>
      <c r="I73" s="356">
        <v>0</v>
      </c>
      <c r="J73" s="356">
        <v>0</v>
      </c>
      <c r="K73" s="356">
        <f t="shared" si="8"/>
        <v>-239.75380672201948</v>
      </c>
      <c r="L73" s="356">
        <f t="shared" si="9"/>
        <v>206444.56233294995</v>
      </c>
      <c r="N73" s="356">
        <f t="shared" si="10"/>
        <v>50</v>
      </c>
      <c r="O73" s="357">
        <f t="shared" si="23"/>
        <v>4</v>
      </c>
      <c r="P73" s="357">
        <f t="shared" si="24"/>
        <v>2</v>
      </c>
      <c r="Q73" s="357">
        <f t="shared" si="25"/>
        <v>4</v>
      </c>
      <c r="R73" s="356">
        <f t="shared" si="12"/>
        <v>342854.3381156935</v>
      </c>
      <c r="S73" s="356">
        <f>IF($G$4="mensual",S72,0)</f>
        <v>10000</v>
      </c>
      <c r="U73" s="356">
        <f t="shared" si="26"/>
        <v>2813.71004308243</v>
      </c>
      <c r="V73" s="359">
        <f t="shared" si="31"/>
        <v>-103.40613783552</v>
      </c>
      <c r="X73" s="359">
        <f t="shared" si="27"/>
        <v>-412.4549847442908</v>
      </c>
      <c r="Y73" s="356">
        <f t="shared" si="14"/>
        <v>355152.18703619606</v>
      </c>
      <c r="AA73" s="357">
        <f>+Bono!J73</f>
        <v>138572.20765914215</v>
      </c>
      <c r="AC73" s="378">
        <f t="shared" si="3"/>
        <v>4.166666666666667</v>
      </c>
      <c r="AD73" s="356">
        <f t="shared" si="15"/>
        <v>700168.9570282882</v>
      </c>
      <c r="AF73" s="356">
        <f t="shared" si="18"/>
        <v>78</v>
      </c>
      <c r="AG73" s="356">
        <f t="shared" si="29"/>
        <v>49</v>
      </c>
      <c r="AH73" s="356">
        <f t="shared" si="30"/>
        <v>120000</v>
      </c>
      <c r="AI73" s="356">
        <f t="shared" si="19"/>
        <v>5880000</v>
      </c>
    </row>
    <row r="74" spans="1:35" x14ac:dyDescent="0.25">
      <c r="A74" s="356">
        <f t="shared" si="4"/>
        <v>4.25</v>
      </c>
      <c r="B74" s="356">
        <f t="shared" si="5"/>
        <v>51</v>
      </c>
      <c r="C74" s="357">
        <f t="shared" si="20"/>
        <v>4</v>
      </c>
      <c r="D74" s="357">
        <f t="shared" si="21"/>
        <v>3</v>
      </c>
      <c r="E74" s="357">
        <f t="shared" si="22"/>
        <v>33</v>
      </c>
      <c r="F74" s="356">
        <f t="shared" si="7"/>
        <v>206444.56233294995</v>
      </c>
      <c r="H74" s="356">
        <f t="shared" si="1"/>
        <v>1646.2179308265195</v>
      </c>
      <c r="I74" s="356">
        <v>0</v>
      </c>
      <c r="J74" s="360">
        <f>-SUM(F74:H74)*$J$21*1.16</f>
        <v>-2172.4677459538266</v>
      </c>
      <c r="K74" s="356">
        <f t="shared" si="8"/>
        <v>-238.8652425206743</v>
      </c>
      <c r="L74" s="356">
        <f t="shared" si="9"/>
        <v>205679.447275302</v>
      </c>
      <c r="N74" s="356">
        <f t="shared" si="10"/>
        <v>51</v>
      </c>
      <c r="O74" s="357">
        <f t="shared" si="23"/>
        <v>4</v>
      </c>
      <c r="P74" s="357">
        <f t="shared" si="24"/>
        <v>3</v>
      </c>
      <c r="Q74" s="357">
        <f t="shared" si="25"/>
        <v>4</v>
      </c>
      <c r="R74" s="356">
        <f t="shared" si="12"/>
        <v>355152.18703619606</v>
      </c>
      <c r="S74" s="356">
        <f>IF($G$4="mensual",S73,0)</f>
        <v>10000</v>
      </c>
      <c r="U74" s="356">
        <f t="shared" si="26"/>
        <v>2911.77481734796</v>
      </c>
      <c r="V74" s="359">
        <f t="shared" si="31"/>
        <v>-103.40613783552</v>
      </c>
      <c r="X74" s="359">
        <f t="shared" si="27"/>
        <v>-426.8342446302218</v>
      </c>
      <c r="Y74" s="356">
        <f t="shared" si="14"/>
        <v>367533.7214710782</v>
      </c>
      <c r="AA74" s="357">
        <f>+Bono!J74</f>
        <v>138175.2329387487</v>
      </c>
      <c r="AC74" s="378">
        <f t="shared" si="3"/>
        <v>4.25</v>
      </c>
      <c r="AD74" s="356">
        <f t="shared" si="15"/>
        <v>711388.4016851289</v>
      </c>
      <c r="AF74" s="356">
        <f t="shared" si="18"/>
        <v>79</v>
      </c>
      <c r="AG74" s="356">
        <f t="shared" si="29"/>
        <v>50</v>
      </c>
      <c r="AH74" s="356">
        <f t="shared" si="30"/>
        <v>120000</v>
      </c>
      <c r="AI74" s="356">
        <f t="shared" si="19"/>
        <v>6000000</v>
      </c>
    </row>
    <row r="75" spans="1:35" x14ac:dyDescent="0.25">
      <c r="A75" s="356">
        <f t="shared" si="4"/>
        <v>4.333333333333333</v>
      </c>
      <c r="B75" s="356">
        <f t="shared" si="5"/>
        <v>52</v>
      </c>
      <c r="C75" s="357">
        <f t="shared" si="20"/>
        <v>4</v>
      </c>
      <c r="D75" s="357">
        <f t="shared" si="21"/>
        <v>4</v>
      </c>
      <c r="E75" s="357">
        <f t="shared" si="22"/>
        <v>33</v>
      </c>
      <c r="F75" s="356">
        <f t="shared" si="7"/>
        <v>205679.447275302</v>
      </c>
      <c r="H75" s="356">
        <f t="shared" si="1"/>
        <v>1640.1167959125657</v>
      </c>
      <c r="I75" s="356">
        <v>0</v>
      </c>
      <c r="J75" s="356">
        <v>0</v>
      </c>
      <c r="K75" s="356">
        <f t="shared" si="8"/>
        <v>-240.49069432260887</v>
      </c>
      <c r="L75" s="356">
        <f t="shared" si="9"/>
        <v>207079.07337689193</v>
      </c>
      <c r="N75" s="356">
        <f t="shared" si="10"/>
        <v>52</v>
      </c>
      <c r="O75" s="357">
        <f t="shared" si="23"/>
        <v>4</v>
      </c>
      <c r="P75" s="357">
        <f t="shared" si="24"/>
        <v>4</v>
      </c>
      <c r="Q75" s="357">
        <f t="shared" si="25"/>
        <v>4</v>
      </c>
      <c r="R75" s="356">
        <f t="shared" si="12"/>
        <v>367533.7214710782</v>
      </c>
      <c r="S75" s="356">
        <f>IF($G$4="mensual",S72,IF($G$4="trimestral",S72,0))</f>
        <v>10000</v>
      </c>
      <c r="U75" s="356">
        <f t="shared" si="26"/>
        <v>3010.506911657018</v>
      </c>
      <c r="V75" s="359">
        <f t="shared" si="31"/>
        <v>-103.40613783552</v>
      </c>
      <c r="X75" s="359">
        <f t="shared" si="27"/>
        <v>-441.31135380408364</v>
      </c>
      <c r="Y75" s="356">
        <f t="shared" si="14"/>
        <v>379999.5108910956</v>
      </c>
      <c r="AA75" s="357">
        <f>+Bono!J75</f>
        <v>139031.93541030394</v>
      </c>
      <c r="AC75" s="378">
        <f t="shared" si="3"/>
        <v>4.333333333333333</v>
      </c>
      <c r="AD75" s="356">
        <f t="shared" si="15"/>
        <v>726110.5196782915</v>
      </c>
      <c r="AF75" s="356">
        <f t="shared" si="18"/>
        <v>80</v>
      </c>
      <c r="AG75" s="356">
        <f t="shared" si="29"/>
        <v>51</v>
      </c>
      <c r="AH75" s="356">
        <f t="shared" si="30"/>
        <v>120000</v>
      </c>
      <c r="AI75" s="356">
        <f t="shared" si="19"/>
        <v>6120000</v>
      </c>
    </row>
    <row r="76" spans="1:35" x14ac:dyDescent="0.25">
      <c r="A76" s="356">
        <f t="shared" si="4"/>
        <v>4.416666666666667</v>
      </c>
      <c r="B76" s="356">
        <f t="shared" si="5"/>
        <v>53</v>
      </c>
      <c r="C76" s="357">
        <f t="shared" si="20"/>
        <v>4</v>
      </c>
      <c r="D76" s="357">
        <f t="shared" si="21"/>
        <v>5</v>
      </c>
      <c r="E76" s="357">
        <f t="shared" si="22"/>
        <v>33</v>
      </c>
      <c r="F76" s="356">
        <f t="shared" si="7"/>
        <v>207079.07337689193</v>
      </c>
      <c r="H76" s="356">
        <f t="shared" si="1"/>
        <v>1651.277610994603</v>
      </c>
      <c r="I76" s="356">
        <v>0</v>
      </c>
      <c r="J76" s="356">
        <v>0</v>
      </c>
      <c r="K76" s="356">
        <f t="shared" si="8"/>
        <v>-242.12720714594838</v>
      </c>
      <c r="L76" s="356">
        <f t="shared" si="9"/>
        <v>208488.2237807406</v>
      </c>
      <c r="N76" s="356">
        <f t="shared" si="10"/>
        <v>53</v>
      </c>
      <c r="O76" s="357">
        <f t="shared" si="23"/>
        <v>4</v>
      </c>
      <c r="P76" s="357">
        <f t="shared" si="24"/>
        <v>5</v>
      </c>
      <c r="Q76" s="357">
        <f t="shared" si="25"/>
        <v>4</v>
      </c>
      <c r="R76" s="356">
        <f t="shared" si="12"/>
        <v>379999.5108910956</v>
      </c>
      <c r="S76" s="356">
        <f>IF($G$4="mensual",S75,0)</f>
        <v>10000</v>
      </c>
      <c r="U76" s="356">
        <f t="shared" si="26"/>
        <v>3109.9108670493797</v>
      </c>
      <c r="V76" s="359">
        <f t="shared" si="31"/>
        <v>-103.40613783552</v>
      </c>
      <c r="X76" s="359">
        <f t="shared" si="27"/>
        <v>-455.886978119559</v>
      </c>
      <c r="Y76" s="356">
        <f t="shared" si="14"/>
        <v>392550.1286421899</v>
      </c>
      <c r="AA76" s="357">
        <f>+Bono!J76</f>
        <v>139893.94953655414</v>
      </c>
      <c r="AC76" s="378">
        <f t="shared" si="3"/>
        <v>4.416666666666667</v>
      </c>
      <c r="AD76" s="356">
        <f t="shared" si="15"/>
        <v>740932.3019594847</v>
      </c>
      <c r="AF76" s="356">
        <f t="shared" si="18"/>
        <v>81</v>
      </c>
      <c r="AG76" s="356">
        <f t="shared" si="29"/>
        <v>52</v>
      </c>
      <c r="AH76" s="356">
        <f t="shared" si="30"/>
        <v>120000</v>
      </c>
      <c r="AI76" s="356">
        <f t="shared" si="19"/>
        <v>6240000</v>
      </c>
    </row>
    <row r="77" spans="1:35" x14ac:dyDescent="0.25">
      <c r="A77" s="356">
        <f t="shared" si="4"/>
        <v>4.5</v>
      </c>
      <c r="B77" s="356">
        <f t="shared" si="5"/>
        <v>54</v>
      </c>
      <c r="C77" s="357">
        <f t="shared" si="20"/>
        <v>4</v>
      </c>
      <c r="D77" s="357">
        <f t="shared" si="21"/>
        <v>6</v>
      </c>
      <c r="E77" s="357">
        <f t="shared" si="22"/>
        <v>33</v>
      </c>
      <c r="F77" s="356">
        <f t="shared" si="7"/>
        <v>208488.2237807406</v>
      </c>
      <c r="H77" s="356">
        <f t="shared" si="1"/>
        <v>1662.5143742003388</v>
      </c>
      <c r="I77" s="356">
        <v>0</v>
      </c>
      <c r="J77" s="360">
        <f>-SUM(F77:H77)*$J$21*1.16</f>
        <v>-2193.9737063375837</v>
      </c>
      <c r="K77" s="356">
        <f t="shared" si="8"/>
        <v>-241.2298467603799</v>
      </c>
      <c r="L77" s="356">
        <f t="shared" si="9"/>
        <v>207715.53460184298</v>
      </c>
      <c r="N77" s="356">
        <f t="shared" si="10"/>
        <v>54</v>
      </c>
      <c r="O77" s="357">
        <f t="shared" si="23"/>
        <v>4</v>
      </c>
      <c r="P77" s="357">
        <f t="shared" si="24"/>
        <v>6</v>
      </c>
      <c r="Q77" s="357">
        <f t="shared" si="25"/>
        <v>4</v>
      </c>
      <c r="R77" s="356">
        <f t="shared" si="12"/>
        <v>392550.1286421899</v>
      </c>
      <c r="S77" s="356">
        <f>IF($G$4="mensual",S76,0)</f>
        <v>10000</v>
      </c>
      <c r="U77" s="356">
        <f t="shared" si="26"/>
        <v>3209.9912554660978</v>
      </c>
      <c r="V77" s="359">
        <f t="shared" si="31"/>
        <v>-103.40613783552</v>
      </c>
      <c r="X77" s="359">
        <f t="shared" si="27"/>
        <v>-470.56178796139164</v>
      </c>
      <c r="Y77" s="356">
        <f t="shared" si="14"/>
        <v>405186.15197185904</v>
      </c>
      <c r="AA77" s="357">
        <f>+Bono!J77</f>
        <v>139493.18835622704</v>
      </c>
      <c r="AC77" s="378">
        <f t="shared" si="3"/>
        <v>4.5</v>
      </c>
      <c r="AD77" s="356">
        <f t="shared" si="15"/>
        <v>752394.874929929</v>
      </c>
      <c r="AF77" s="356">
        <f t="shared" si="18"/>
        <v>82</v>
      </c>
      <c r="AG77" s="356">
        <f t="shared" si="29"/>
        <v>53</v>
      </c>
      <c r="AH77" s="356">
        <f t="shared" si="30"/>
        <v>120000</v>
      </c>
      <c r="AI77" s="356">
        <f t="shared" si="19"/>
        <v>6360000</v>
      </c>
    </row>
    <row r="78" spans="1:35" x14ac:dyDescent="0.25">
      <c r="A78" s="356">
        <f t="shared" si="4"/>
        <v>4.583333333333333</v>
      </c>
      <c r="B78" s="356">
        <f t="shared" si="5"/>
        <v>55</v>
      </c>
      <c r="C78" s="357">
        <f t="shared" si="20"/>
        <v>4</v>
      </c>
      <c r="D78" s="357">
        <f t="shared" si="21"/>
        <v>7</v>
      </c>
      <c r="E78" s="357">
        <f t="shared" si="22"/>
        <v>33</v>
      </c>
      <c r="F78" s="356">
        <f t="shared" si="7"/>
        <v>207715.53460184298</v>
      </c>
      <c r="H78" s="356">
        <f t="shared" si="1"/>
        <v>1656.352842179915</v>
      </c>
      <c r="I78" s="356">
        <v>0</v>
      </c>
      <c r="J78" s="356">
        <v>0</v>
      </c>
      <c r="K78" s="356">
        <f t="shared" si="8"/>
        <v>-242.87138943506653</v>
      </c>
      <c r="L78" s="356">
        <f t="shared" si="9"/>
        <v>209129.01605458782</v>
      </c>
      <c r="N78" s="356">
        <f t="shared" si="10"/>
        <v>55</v>
      </c>
      <c r="O78" s="357">
        <f t="shared" si="23"/>
        <v>4</v>
      </c>
      <c r="P78" s="357">
        <f t="shared" si="24"/>
        <v>7</v>
      </c>
      <c r="Q78" s="357">
        <f t="shared" si="25"/>
        <v>4</v>
      </c>
      <c r="R78" s="356">
        <f t="shared" si="12"/>
        <v>405186.15197185904</v>
      </c>
      <c r="S78" s="356">
        <f>+IF($G$4="mensual",S72,IF($G$4="trimestral",S72,IF($G$4="semestral",S72,0)))</f>
        <v>10000</v>
      </c>
      <c r="U78" s="356">
        <f t="shared" si="26"/>
        <v>3310.7526799597836</v>
      </c>
      <c r="V78" s="359">
        <f t="shared" si="31"/>
        <v>-103.40613783552</v>
      </c>
      <c r="X78" s="359">
        <f t="shared" si="27"/>
        <v>-485.3364582762206</v>
      </c>
      <c r="Y78" s="356">
        <f t="shared" si="14"/>
        <v>417908.1620557071</v>
      </c>
      <c r="AA78" s="357">
        <f>+Bono!J78</f>
        <v>140358.062304244</v>
      </c>
      <c r="AC78" s="378">
        <f t="shared" si="3"/>
        <v>4.583333333333333</v>
      </c>
      <c r="AD78" s="356">
        <f t="shared" si="15"/>
        <v>767395.2404145389</v>
      </c>
      <c r="AF78" s="356">
        <f t="shared" si="18"/>
        <v>83</v>
      </c>
      <c r="AG78" s="356">
        <f t="shared" si="29"/>
        <v>54</v>
      </c>
      <c r="AH78" s="356">
        <f t="shared" si="30"/>
        <v>120000</v>
      </c>
      <c r="AI78" s="356">
        <f t="shared" si="19"/>
        <v>6480000</v>
      </c>
    </row>
    <row r="79" spans="1:35" x14ac:dyDescent="0.25">
      <c r="A79" s="356">
        <f t="shared" si="4"/>
        <v>4.666666666666667</v>
      </c>
      <c r="B79" s="356">
        <f t="shared" si="5"/>
        <v>56</v>
      </c>
      <c r="C79" s="357">
        <f t="shared" si="20"/>
        <v>4</v>
      </c>
      <c r="D79" s="357">
        <f t="shared" si="21"/>
        <v>8</v>
      </c>
      <c r="E79" s="357">
        <f t="shared" si="22"/>
        <v>33</v>
      </c>
      <c r="F79" s="356">
        <f t="shared" si="7"/>
        <v>209129.01605458782</v>
      </c>
      <c r="H79" s="356">
        <f t="shared" si="1"/>
        <v>1667.624141777753</v>
      </c>
      <c r="I79" s="356">
        <v>0</v>
      </c>
      <c r="J79" s="356">
        <v>0</v>
      </c>
      <c r="K79" s="356">
        <f t="shared" si="8"/>
        <v>-244.52410262778403</v>
      </c>
      <c r="L79" s="356">
        <f t="shared" si="9"/>
        <v>210552.11609373777</v>
      </c>
      <c r="N79" s="356">
        <f t="shared" si="10"/>
        <v>56</v>
      </c>
      <c r="O79" s="357">
        <f t="shared" si="23"/>
        <v>4</v>
      </c>
      <c r="P79" s="357">
        <f t="shared" si="24"/>
        <v>8</v>
      </c>
      <c r="Q79" s="357">
        <f t="shared" si="25"/>
        <v>4</v>
      </c>
      <c r="R79" s="356">
        <f t="shared" si="12"/>
        <v>417908.1620557071</v>
      </c>
      <c r="S79" s="356">
        <f>IF($G$4="mensual",S78,0)</f>
        <v>10000</v>
      </c>
      <c r="U79" s="356">
        <f t="shared" si="26"/>
        <v>3412.1997749063175</v>
      </c>
      <c r="V79" s="359">
        <f t="shared" si="31"/>
        <v>-103.40613783552</v>
      </c>
      <c r="X79" s="359">
        <f t="shared" si="27"/>
        <v>-500.21166860362234</v>
      </c>
      <c r="Y79" s="356">
        <f t="shared" si="14"/>
        <v>430716.74402417423</v>
      </c>
      <c r="AA79" s="357">
        <f>+Bono!J79</f>
        <v>141228.29857105785</v>
      </c>
      <c r="AC79" s="378">
        <f t="shared" si="3"/>
        <v>4.666666666666667</v>
      </c>
      <c r="AD79" s="356">
        <f t="shared" si="15"/>
        <v>782497.1586889699</v>
      </c>
      <c r="AF79" s="356">
        <f t="shared" si="18"/>
        <v>84</v>
      </c>
      <c r="AG79" s="356">
        <f t="shared" si="29"/>
        <v>55</v>
      </c>
      <c r="AH79" s="356">
        <f t="shared" si="30"/>
        <v>120000</v>
      </c>
      <c r="AI79" s="356">
        <f t="shared" si="19"/>
        <v>6600000</v>
      </c>
    </row>
    <row r="80" spans="1:35" x14ac:dyDescent="0.25">
      <c r="A80" s="356">
        <f t="shared" si="4"/>
        <v>4.75</v>
      </c>
      <c r="B80" s="356">
        <f t="shared" si="5"/>
        <v>57</v>
      </c>
      <c r="C80" s="357">
        <f t="shared" si="20"/>
        <v>4</v>
      </c>
      <c r="D80" s="357">
        <f t="shared" si="21"/>
        <v>9</v>
      </c>
      <c r="E80" s="357">
        <f t="shared" si="22"/>
        <v>33</v>
      </c>
      <c r="F80" s="356">
        <f t="shared" si="7"/>
        <v>210552.11609373777</v>
      </c>
      <c r="H80" s="356">
        <f t="shared" si="1"/>
        <v>1678.9721413343134</v>
      </c>
      <c r="I80" s="356">
        <v>0</v>
      </c>
      <c r="J80" s="360">
        <f>-SUM(F80:H80)*$J$21*1.16</f>
        <v>-2215.6925611741526</v>
      </c>
      <c r="K80" s="356">
        <f t="shared" si="8"/>
        <v>-243.61785898172158</v>
      </c>
      <c r="L80" s="356">
        <f t="shared" si="9"/>
        <v>209771.77781491622</v>
      </c>
      <c r="N80" s="356">
        <f t="shared" si="10"/>
        <v>57</v>
      </c>
      <c r="O80" s="357">
        <f t="shared" si="23"/>
        <v>4</v>
      </c>
      <c r="P80" s="357">
        <f t="shared" si="24"/>
        <v>9</v>
      </c>
      <c r="Q80" s="357">
        <f t="shared" si="25"/>
        <v>4</v>
      </c>
      <c r="R80" s="356">
        <f t="shared" si="12"/>
        <v>430716.74402417423</v>
      </c>
      <c r="S80" s="356">
        <f>IF($G$4="mensual",S79,0)</f>
        <v>10000</v>
      </c>
      <c r="U80" s="356">
        <f t="shared" si="26"/>
        <v>3514.337206217999</v>
      </c>
      <c r="V80" s="359">
        <f t="shared" si="31"/>
        <v>-103.40613783552</v>
      </c>
      <c r="X80" s="359">
        <f t="shared" si="27"/>
        <v>-515.1881031073657</v>
      </c>
      <c r="Y80" s="356">
        <f t="shared" si="14"/>
        <v>443612.4869894493</v>
      </c>
      <c r="AA80" s="357">
        <f>+Bono!J80</f>
        <v>140823.71481444486</v>
      </c>
      <c r="AC80" s="378">
        <f t="shared" si="3"/>
        <v>4.75</v>
      </c>
      <c r="AD80" s="356">
        <f t="shared" si="15"/>
        <v>794207.9796188104</v>
      </c>
      <c r="AF80" s="356">
        <f t="shared" si="18"/>
        <v>85</v>
      </c>
      <c r="AG80" s="356">
        <f t="shared" si="29"/>
        <v>56</v>
      </c>
      <c r="AH80" s="356">
        <f t="shared" si="30"/>
        <v>120000</v>
      </c>
      <c r="AI80" s="356">
        <f t="shared" si="19"/>
        <v>6720000</v>
      </c>
    </row>
    <row r="81" spans="1:35" x14ac:dyDescent="0.25">
      <c r="A81" s="356">
        <f t="shared" si="4"/>
        <v>4.833333333333333</v>
      </c>
      <c r="B81" s="356">
        <f t="shared" si="5"/>
        <v>58</v>
      </c>
      <c r="C81" s="357">
        <f t="shared" si="20"/>
        <v>4</v>
      </c>
      <c r="D81" s="357">
        <f t="shared" si="21"/>
        <v>10</v>
      </c>
      <c r="E81" s="357">
        <f t="shared" si="22"/>
        <v>33</v>
      </c>
      <c r="F81" s="356">
        <f t="shared" si="7"/>
        <v>209771.77781491622</v>
      </c>
      <c r="H81" s="356">
        <f t="shared" si="1"/>
        <v>1672.7496143169412</v>
      </c>
      <c r="I81" s="356">
        <v>0</v>
      </c>
      <c r="J81" s="356">
        <v>0</v>
      </c>
      <c r="K81" s="356">
        <f t="shared" si="8"/>
        <v>-245.27565181791047</v>
      </c>
      <c r="L81" s="356">
        <f t="shared" si="9"/>
        <v>211199.25177741525</v>
      </c>
      <c r="N81" s="356">
        <f t="shared" si="10"/>
        <v>58</v>
      </c>
      <c r="O81" s="357">
        <f t="shared" si="23"/>
        <v>4</v>
      </c>
      <c r="P81" s="357">
        <f t="shared" si="24"/>
        <v>10</v>
      </c>
      <c r="Q81" s="357">
        <f t="shared" si="25"/>
        <v>4</v>
      </c>
      <c r="R81" s="356">
        <f t="shared" si="12"/>
        <v>443612.4869894493</v>
      </c>
      <c r="S81" s="356">
        <f>IF($G$4="mensual",S72,IF($G$4="trimestral",S72,0))</f>
        <v>10000</v>
      </c>
      <c r="U81" s="356">
        <f t="shared" si="26"/>
        <v>3617.1696715581506</v>
      </c>
      <c r="V81" s="359">
        <f t="shared" si="31"/>
        <v>-103.40613783552</v>
      </c>
      <c r="X81" s="359">
        <f t="shared" si="27"/>
        <v>-530.2664506068794</v>
      </c>
      <c r="Y81" s="356">
        <f t="shared" si="14"/>
        <v>456595.98407256504</v>
      </c>
      <c r="AA81" s="357">
        <f>+Bono!J81</f>
        <v>141696.83818083428</v>
      </c>
      <c r="AC81" s="378">
        <f t="shared" si="3"/>
        <v>4.833333333333333</v>
      </c>
      <c r="AD81" s="356">
        <f t="shared" si="15"/>
        <v>809492.0740308146</v>
      </c>
      <c r="AF81" s="356">
        <f t="shared" si="18"/>
        <v>86</v>
      </c>
      <c r="AG81" s="356">
        <f t="shared" si="29"/>
        <v>57</v>
      </c>
      <c r="AH81" s="356">
        <f t="shared" si="30"/>
        <v>120000</v>
      </c>
      <c r="AI81" s="356">
        <f t="shared" si="19"/>
        <v>6840000</v>
      </c>
    </row>
    <row r="82" spans="1:35" x14ac:dyDescent="0.25">
      <c r="A82" s="356">
        <f t="shared" si="4"/>
        <v>4.916666666666667</v>
      </c>
      <c r="B82" s="356">
        <f t="shared" si="5"/>
        <v>59</v>
      </c>
      <c r="C82" s="357">
        <f t="shared" si="20"/>
        <v>4</v>
      </c>
      <c r="D82" s="357">
        <f t="shared" si="21"/>
        <v>11</v>
      </c>
      <c r="E82" s="357">
        <f t="shared" si="22"/>
        <v>33</v>
      </c>
      <c r="F82" s="356">
        <f t="shared" si="7"/>
        <v>211199.25177741525</v>
      </c>
      <c r="H82" s="356">
        <f t="shared" si="1"/>
        <v>1684.1324921525122</v>
      </c>
      <c r="I82" s="356">
        <v>0</v>
      </c>
      <c r="J82" s="356">
        <v>0</v>
      </c>
      <c r="K82" s="356">
        <f t="shared" si="8"/>
        <v>-246.9447257526986</v>
      </c>
      <c r="L82" s="356">
        <f t="shared" si="9"/>
        <v>212636.43954381507</v>
      </c>
      <c r="N82" s="356">
        <f t="shared" si="10"/>
        <v>59</v>
      </c>
      <c r="O82" s="357">
        <f t="shared" si="23"/>
        <v>4</v>
      </c>
      <c r="P82" s="357">
        <f t="shared" si="24"/>
        <v>11</v>
      </c>
      <c r="Q82" s="357">
        <f t="shared" si="25"/>
        <v>4</v>
      </c>
      <c r="R82" s="356">
        <f t="shared" si="12"/>
        <v>456595.98407256504</v>
      </c>
      <c r="S82" s="356">
        <f>IF($G$17="si",S70*(1+$G$20),S70)</f>
        <v>10000</v>
      </c>
      <c r="U82" s="356">
        <f t="shared" si="26"/>
        <v>3720.701900557178</v>
      </c>
      <c r="V82" s="359">
        <f t="shared" si="31"/>
        <v>-103.40613783552</v>
      </c>
      <c r="X82" s="359">
        <f t="shared" si="27"/>
        <v>-545.4474046089325</v>
      </c>
      <c r="Y82" s="356">
        <f t="shared" si="14"/>
        <v>469667.8324306777</v>
      </c>
      <c r="AA82" s="357">
        <f>+Bono!J82</f>
        <v>142575.3750133714</v>
      </c>
      <c r="AC82" s="378">
        <f t="shared" si="3"/>
        <v>4.916666666666667</v>
      </c>
      <c r="AD82" s="356">
        <f t="shared" si="15"/>
        <v>824879.6469878643</v>
      </c>
      <c r="AF82" s="356">
        <f t="shared" si="18"/>
        <v>87</v>
      </c>
      <c r="AG82" s="356">
        <f t="shared" si="29"/>
        <v>58</v>
      </c>
      <c r="AH82" s="356">
        <f t="shared" si="30"/>
        <v>120000</v>
      </c>
      <c r="AI82" s="356">
        <f t="shared" si="19"/>
        <v>6960000</v>
      </c>
    </row>
    <row r="83" spans="1:35" x14ac:dyDescent="0.25">
      <c r="A83" s="356">
        <f t="shared" si="4"/>
        <v>5</v>
      </c>
      <c r="B83" s="356">
        <f t="shared" si="5"/>
        <v>60</v>
      </c>
      <c r="C83" s="357">
        <f t="shared" si="20"/>
        <v>4</v>
      </c>
      <c r="D83" s="357">
        <f t="shared" si="21"/>
        <v>12</v>
      </c>
      <c r="E83" s="357">
        <f t="shared" si="22"/>
        <v>33</v>
      </c>
      <c r="F83" s="356">
        <f t="shared" si="7"/>
        <v>212636.43954381507</v>
      </c>
      <c r="H83" s="356">
        <f t="shared" si="1"/>
        <v>1695.5928292244869</v>
      </c>
      <c r="I83" s="356">
        <v>0</v>
      </c>
      <c r="J83" s="360">
        <f>-SUM(F83:H83)*$J$21*1.16</f>
        <v>-2237.626417974533</v>
      </c>
      <c r="K83" s="356">
        <f t="shared" si="8"/>
        <v>-246.0295109078754</v>
      </c>
      <c r="L83" s="356">
        <f t="shared" si="9"/>
        <v>211848.37644415713</v>
      </c>
      <c r="N83" s="356">
        <f t="shared" si="10"/>
        <v>60</v>
      </c>
      <c r="O83" s="357">
        <f t="shared" si="23"/>
        <v>4</v>
      </c>
      <c r="P83" s="357">
        <f t="shared" si="24"/>
        <v>12</v>
      </c>
      <c r="Q83" s="357">
        <f t="shared" si="25"/>
        <v>4</v>
      </c>
      <c r="R83" s="356">
        <f t="shared" si="12"/>
        <v>469667.8324306777</v>
      </c>
      <c r="S83" s="356">
        <f>IF($G$4="mensual",S82,0)</f>
        <v>10000</v>
      </c>
      <c r="U83" s="356">
        <f t="shared" si="26"/>
        <v>3824.9386550301033</v>
      </c>
      <c r="V83" s="359">
        <f t="shared" si="31"/>
        <v>-103.40613783552</v>
      </c>
      <c r="X83" s="359">
        <f t="shared" si="27"/>
        <v>-560.7316633395318</v>
      </c>
      <c r="Y83" s="356">
        <f t="shared" si="14"/>
        <v>482828.63328453276</v>
      </c>
      <c r="AA83" s="357">
        <f>+Bono!J83</f>
        <v>142166.9322196321</v>
      </c>
      <c r="AC83" s="378">
        <f t="shared" si="3"/>
        <v>5</v>
      </c>
      <c r="AD83" s="356">
        <f t="shared" si="15"/>
        <v>836843.941948322</v>
      </c>
      <c r="AF83" s="356">
        <f t="shared" si="18"/>
        <v>88</v>
      </c>
      <c r="AG83" s="356">
        <f t="shared" si="29"/>
        <v>59</v>
      </c>
      <c r="AH83" s="356">
        <f t="shared" si="30"/>
        <v>120000</v>
      </c>
      <c r="AI83" s="356">
        <f t="shared" si="19"/>
        <v>7080000</v>
      </c>
    </row>
    <row r="84" spans="1:35" x14ac:dyDescent="0.25">
      <c r="A84" s="356">
        <f t="shared" si="4"/>
        <v>5.083333333333333</v>
      </c>
      <c r="B84" s="356">
        <f t="shared" si="5"/>
        <v>61</v>
      </c>
      <c r="C84" s="357">
        <f t="shared" si="20"/>
        <v>5</v>
      </c>
      <c r="D84" s="357">
        <f t="shared" si="21"/>
        <v>1</v>
      </c>
      <c r="E84" s="357">
        <f t="shared" si="22"/>
        <v>34</v>
      </c>
      <c r="F84" s="356">
        <f t="shared" si="7"/>
        <v>211848.37644415713</v>
      </c>
      <c r="H84" s="356">
        <f t="shared" si="1"/>
        <v>1689.3087034009773</v>
      </c>
      <c r="I84" s="356">
        <v>0</v>
      </c>
      <c r="J84" s="356">
        <v>0</v>
      </c>
      <c r="K84" s="356">
        <f t="shared" si="8"/>
        <v>-247.7037147711674</v>
      </c>
      <c r="L84" s="356">
        <f t="shared" si="9"/>
        <v>213289.98143278694</v>
      </c>
      <c r="N84" s="356">
        <f t="shared" si="10"/>
        <v>61</v>
      </c>
      <c r="O84" s="357">
        <f t="shared" si="23"/>
        <v>5</v>
      </c>
      <c r="P84" s="357">
        <f t="shared" si="24"/>
        <v>1</v>
      </c>
      <c r="Q84" s="357">
        <f t="shared" si="25"/>
        <v>5</v>
      </c>
      <c r="R84" s="356">
        <f t="shared" si="12"/>
        <v>482828.63328453276</v>
      </c>
      <c r="S84" s="356">
        <f>IF($G$17="si",S72*(1+$G$20),S72)</f>
        <v>10000</v>
      </c>
      <c r="U84" s="356">
        <f t="shared" si="26"/>
        <v>3929.88472919558</v>
      </c>
      <c r="V84" s="359">
        <f>V83*(1+$G$18)</f>
        <v>-107.5423833489408</v>
      </c>
      <c r="X84" s="359">
        <f t="shared" si="27"/>
        <v>-576.1151317312401</v>
      </c>
      <c r="Y84" s="356">
        <f t="shared" si="14"/>
        <v>496074.86049864814</v>
      </c>
      <c r="AA84" s="357">
        <f>+Bono!J84</f>
        <v>143048.38368973727</v>
      </c>
      <c r="AC84" s="378">
        <f t="shared" si="3"/>
        <v>5.083333333333333</v>
      </c>
      <c r="AD84" s="356">
        <f t="shared" si="15"/>
        <v>852413.2256211723</v>
      </c>
      <c r="AF84" s="356">
        <f t="shared" si="18"/>
        <v>89</v>
      </c>
      <c r="AG84" s="356">
        <f t="shared" si="29"/>
        <v>60</v>
      </c>
      <c r="AH84" s="356">
        <f t="shared" si="30"/>
        <v>120000</v>
      </c>
      <c r="AI84" s="356">
        <f t="shared" si="19"/>
        <v>7200000</v>
      </c>
    </row>
    <row r="85" spans="1:35" x14ac:dyDescent="0.25">
      <c r="A85" s="356">
        <f t="shared" si="4"/>
        <v>5.166666666666667</v>
      </c>
      <c r="B85" s="356">
        <f t="shared" si="5"/>
        <v>62</v>
      </c>
      <c r="C85" s="357">
        <f t="shared" si="20"/>
        <v>5</v>
      </c>
      <c r="D85" s="357">
        <f t="shared" si="21"/>
        <v>2</v>
      </c>
      <c r="E85" s="357">
        <f t="shared" si="22"/>
        <v>34</v>
      </c>
      <c r="F85" s="356">
        <f t="shared" si="7"/>
        <v>213289.98143278694</v>
      </c>
      <c r="H85" s="356">
        <f t="shared" si="1"/>
        <v>1700.8042640233195</v>
      </c>
      <c r="I85" s="356">
        <v>0</v>
      </c>
      <c r="J85" s="356">
        <v>0</v>
      </c>
      <c r="K85" s="356">
        <f t="shared" si="8"/>
        <v>-249.38931140829987</v>
      </c>
      <c r="L85" s="356">
        <f t="shared" si="9"/>
        <v>214741.39638540195</v>
      </c>
      <c r="N85" s="356">
        <f t="shared" si="10"/>
        <v>62</v>
      </c>
      <c r="O85" s="357">
        <f t="shared" si="23"/>
        <v>5</v>
      </c>
      <c r="P85" s="357">
        <f t="shared" si="24"/>
        <v>2</v>
      </c>
      <c r="Q85" s="357">
        <f t="shared" si="25"/>
        <v>5</v>
      </c>
      <c r="R85" s="356">
        <f t="shared" si="12"/>
        <v>496074.86049864814</v>
      </c>
      <c r="S85" s="356">
        <f>IF($G$4="mensual",S84,0)</f>
        <v>10000</v>
      </c>
      <c r="U85" s="356">
        <f t="shared" si="26"/>
        <v>4035.5120051541026</v>
      </c>
      <c r="V85" s="359">
        <f t="shared" si="31"/>
        <v>-107.5423833489408</v>
      </c>
      <c r="X85" s="359">
        <f t="shared" si="27"/>
        <v>-591.6032829397258</v>
      </c>
      <c r="Y85" s="356">
        <f t="shared" si="14"/>
        <v>509411.2268375136</v>
      </c>
      <c r="AA85" s="357">
        <f>+Bono!J85</f>
        <v>143935.30026119915</v>
      </c>
      <c r="AC85" s="378">
        <f t="shared" si="3"/>
        <v>5.166666666666667</v>
      </c>
      <c r="AD85" s="356">
        <f t="shared" si="15"/>
        <v>868087.9234841147</v>
      </c>
      <c r="AF85" s="356">
        <f t="shared" si="18"/>
        <v>90</v>
      </c>
      <c r="AG85" s="356">
        <f t="shared" si="29"/>
        <v>61</v>
      </c>
      <c r="AH85" s="356">
        <f t="shared" si="30"/>
        <v>120000</v>
      </c>
      <c r="AI85" s="356">
        <f t="shared" si="19"/>
        <v>7320000</v>
      </c>
    </row>
    <row r="86" spans="1:35" x14ac:dyDescent="0.25">
      <c r="A86" s="356">
        <f t="shared" si="4"/>
        <v>5.25</v>
      </c>
      <c r="B86" s="356">
        <f t="shared" si="5"/>
        <v>63</v>
      </c>
      <c r="C86" s="357">
        <f t="shared" si="20"/>
        <v>5</v>
      </c>
      <c r="D86" s="357">
        <f t="shared" si="21"/>
        <v>3</v>
      </c>
      <c r="E86" s="357">
        <f t="shared" si="22"/>
        <v>34</v>
      </c>
      <c r="F86" s="356">
        <f t="shared" si="7"/>
        <v>214741.39638540195</v>
      </c>
      <c r="H86" s="356">
        <f t="shared" si="1"/>
        <v>1712.3780506760825</v>
      </c>
      <c r="I86" s="356">
        <v>0</v>
      </c>
      <c r="J86" s="360">
        <f>-SUM(F86:H86)*$J$21*1.16</f>
        <v>-2259.777405112655</v>
      </c>
      <c r="K86" s="356">
        <f t="shared" si="8"/>
        <v>-248.4650365559198</v>
      </c>
      <c r="L86" s="356">
        <f t="shared" si="9"/>
        <v>213945.53199440945</v>
      </c>
      <c r="N86" s="356">
        <f t="shared" si="10"/>
        <v>63</v>
      </c>
      <c r="O86" s="357">
        <f t="shared" si="23"/>
        <v>5</v>
      </c>
      <c r="P86" s="357">
        <f t="shared" si="24"/>
        <v>3</v>
      </c>
      <c r="Q86" s="357">
        <f t="shared" si="25"/>
        <v>5</v>
      </c>
      <c r="R86" s="356">
        <f t="shared" si="12"/>
        <v>509411.2268375136</v>
      </c>
      <c r="S86" s="356">
        <f>IF($G$4="mensual",S85,0)</f>
        <v>10000</v>
      </c>
      <c r="U86" s="356">
        <f t="shared" si="26"/>
        <v>4141.8580631515215</v>
      </c>
      <c r="V86" s="359">
        <f t="shared" si="31"/>
        <v>-107.5423833489408</v>
      </c>
      <c r="X86" s="359">
        <f t="shared" si="27"/>
        <v>-607.1968293200867</v>
      </c>
      <c r="Y86" s="356">
        <f t="shared" si="14"/>
        <v>522838.34568799613</v>
      </c>
      <c r="AA86" s="357">
        <f>+Bono!J86</f>
        <v>143522.96162171895</v>
      </c>
      <c r="AC86" s="378">
        <f t="shared" si="3"/>
        <v>5.25</v>
      </c>
      <c r="AD86" s="356">
        <f t="shared" si="15"/>
        <v>880306.8393041245</v>
      </c>
      <c r="AF86" s="356">
        <f t="shared" si="18"/>
        <v>91</v>
      </c>
      <c r="AG86" s="356">
        <f t="shared" si="29"/>
        <v>62</v>
      </c>
      <c r="AH86" s="356">
        <f t="shared" si="30"/>
        <v>120000</v>
      </c>
      <c r="AI86" s="356">
        <f t="shared" si="19"/>
        <v>7440000</v>
      </c>
    </row>
    <row r="87" spans="1:35" x14ac:dyDescent="0.25">
      <c r="A87" s="356">
        <f t="shared" si="4"/>
        <v>5.333333333333333</v>
      </c>
      <c r="B87" s="356">
        <f t="shared" si="5"/>
        <v>64</v>
      </c>
      <c r="C87" s="357">
        <f t="shared" si="20"/>
        <v>5</v>
      </c>
      <c r="D87" s="357">
        <f t="shared" si="21"/>
        <v>4</v>
      </c>
      <c r="E87" s="357">
        <f t="shared" si="22"/>
        <v>34</v>
      </c>
      <c r="F87" s="356">
        <f t="shared" si="7"/>
        <v>213945.53199440945</v>
      </c>
      <c r="H87" s="356">
        <f t="shared" si="1"/>
        <v>1706.0317162599442</v>
      </c>
      <c r="I87" s="356">
        <v>0</v>
      </c>
      <c r="J87" s="356">
        <v>0</v>
      </c>
      <c r="K87" s="356">
        <f t="shared" si="8"/>
        <v>-250.15581390437652</v>
      </c>
      <c r="L87" s="356">
        <f t="shared" si="9"/>
        <v>215401.40789676504</v>
      </c>
      <c r="N87" s="356">
        <f t="shared" si="10"/>
        <v>64</v>
      </c>
      <c r="O87" s="357">
        <f t="shared" si="23"/>
        <v>5</v>
      </c>
      <c r="P87" s="357">
        <f t="shared" si="24"/>
        <v>4</v>
      </c>
      <c r="Q87" s="357">
        <f t="shared" si="25"/>
        <v>5</v>
      </c>
      <c r="R87" s="356">
        <f t="shared" si="12"/>
        <v>522838.34568799613</v>
      </c>
      <c r="S87" s="356">
        <f>IF($G$4="mensual",S84,IF($G$4="trimestral",S84,0))</f>
        <v>10000</v>
      </c>
      <c r="U87" s="356">
        <f t="shared" si="26"/>
        <v>4248.92779442085</v>
      </c>
      <c r="V87" s="359">
        <f t="shared" si="31"/>
        <v>-107.5423833489408</v>
      </c>
      <c r="X87" s="359">
        <f t="shared" si="27"/>
        <v>-622.8964880749189</v>
      </c>
      <c r="Y87" s="356">
        <f t="shared" si="14"/>
        <v>536356.8346109932</v>
      </c>
      <c r="AA87" s="357">
        <f>+Bono!J87</f>
        <v>144412.82063140674</v>
      </c>
      <c r="AC87" s="378">
        <f t="shared" si="3"/>
        <v>5.333333333333333</v>
      </c>
      <c r="AD87" s="356">
        <f t="shared" si="15"/>
        <v>896171.0631391649</v>
      </c>
      <c r="AF87" s="356">
        <f t="shared" si="18"/>
        <v>92</v>
      </c>
      <c r="AG87" s="356">
        <f t="shared" si="29"/>
        <v>63</v>
      </c>
      <c r="AH87" s="356">
        <f t="shared" si="30"/>
        <v>120000</v>
      </c>
      <c r="AI87" s="356">
        <f t="shared" si="19"/>
        <v>7560000</v>
      </c>
    </row>
    <row r="88" spans="1:35" x14ac:dyDescent="0.25">
      <c r="A88" s="356">
        <f t="shared" si="4"/>
        <v>5.416666666666667</v>
      </c>
      <c r="B88" s="356">
        <f t="shared" si="5"/>
        <v>65</v>
      </c>
      <c r="C88" s="357">
        <f t="shared" si="20"/>
        <v>5</v>
      </c>
      <c r="D88" s="357">
        <f t="shared" si="21"/>
        <v>5</v>
      </c>
      <c r="E88" s="357">
        <f t="shared" si="22"/>
        <v>34</v>
      </c>
      <c r="F88" s="356">
        <f t="shared" si="7"/>
        <v>215401.40789676504</v>
      </c>
      <c r="H88" s="356">
        <f t="shared" ref="H88:H151" si="32">SUM(F88:G88)*$G$8</f>
        <v>1717.6410751523847</v>
      </c>
      <c r="I88" s="356">
        <v>0</v>
      </c>
      <c r="J88" s="356">
        <v>0</v>
      </c>
      <c r="K88" s="356">
        <f t="shared" si="8"/>
        <v>-251.8580968074242</v>
      </c>
      <c r="L88" s="356">
        <f t="shared" ref="L88:L151" si="33">SUM(F88:K88)</f>
        <v>216867.19087510998</v>
      </c>
      <c r="N88" s="356">
        <f t="shared" si="10"/>
        <v>65</v>
      </c>
      <c r="O88" s="357">
        <f t="shared" si="23"/>
        <v>5</v>
      </c>
      <c r="P88" s="357">
        <f t="shared" si="24"/>
        <v>5</v>
      </c>
      <c r="Q88" s="357">
        <f t="shared" si="25"/>
        <v>5</v>
      </c>
      <c r="R88" s="356">
        <f t="shared" si="12"/>
        <v>536356.8346109932</v>
      </c>
      <c r="S88" s="356">
        <f>IF($G$4="mensual",S87,0)</f>
        <v>10000</v>
      </c>
      <c r="U88" s="356">
        <f t="shared" si="26"/>
        <v>4356.726123479408</v>
      </c>
      <c r="V88" s="359">
        <f t="shared" si="31"/>
        <v>-107.5423833489408</v>
      </c>
      <c r="X88" s="359">
        <f t="shared" si="27"/>
        <v>-638.7029812873034</v>
      </c>
      <c r="Y88" s="356">
        <f t="shared" ref="Y88:Y151" si="34">SUM(R88:X88)</f>
        <v>549967.3153698364</v>
      </c>
      <c r="AA88" s="357">
        <f>+Bono!J88</f>
        <v>145308.19687017184</v>
      </c>
      <c r="AC88" s="378">
        <f t="shared" ref="AC88:AC151" si="35">+B88/12</f>
        <v>5.416666666666667</v>
      </c>
      <c r="AD88" s="356">
        <f t="shared" ref="AD88:AD151" si="36">+AA88+Y88+L88</f>
        <v>912142.7031151182</v>
      </c>
      <c r="AF88" s="356">
        <f t="shared" si="18"/>
        <v>93</v>
      </c>
      <c r="AG88" s="356">
        <f t="shared" si="29"/>
        <v>64</v>
      </c>
      <c r="AH88" s="356">
        <f t="shared" si="30"/>
        <v>120000</v>
      </c>
      <c r="AI88" s="356">
        <f t="shared" si="19"/>
        <v>7680000</v>
      </c>
    </row>
    <row r="89" spans="1:35" x14ac:dyDescent="0.25">
      <c r="A89" s="356">
        <f t="shared" ref="A89:A152" si="37">+B89/12</f>
        <v>5.5</v>
      </c>
      <c r="B89" s="356">
        <f t="shared" ref="B89:B152" si="38">+B88+1</f>
        <v>66</v>
      </c>
      <c r="C89" s="357">
        <f t="shared" si="20"/>
        <v>5</v>
      </c>
      <c r="D89" s="357">
        <f t="shared" si="21"/>
        <v>6</v>
      </c>
      <c r="E89" s="357">
        <f t="shared" si="22"/>
        <v>34</v>
      </c>
      <c r="F89" s="356">
        <f t="shared" ref="F89:F152" si="39">L88</f>
        <v>216867.19087510998</v>
      </c>
      <c r="H89" s="356">
        <f t="shared" si="32"/>
        <v>1729.329434460004</v>
      </c>
      <c r="I89" s="356">
        <v>0</v>
      </c>
      <c r="J89" s="360">
        <f>-SUM(F89:H89)*$J$21*1.16</f>
        <v>-2282.147672031911</v>
      </c>
      <c r="K89" s="356">
        <f t="shared" ref="K89:K152" si="40">-SUM(F89:J89)*0.1%*1.16</f>
        <v>-250.92467225954414</v>
      </c>
      <c r="L89" s="356">
        <f t="shared" si="33"/>
        <v>216063.44796527852</v>
      </c>
      <c r="N89" s="356">
        <f t="shared" ref="N89:N152" si="41">+N88+1</f>
        <v>66</v>
      </c>
      <c r="O89" s="357">
        <f t="shared" si="23"/>
        <v>5</v>
      </c>
      <c r="P89" s="357">
        <f t="shared" si="24"/>
        <v>6</v>
      </c>
      <c r="Q89" s="357">
        <f t="shared" si="25"/>
        <v>5</v>
      </c>
      <c r="R89" s="356">
        <f t="shared" ref="R89:R152" si="42">Y88</f>
        <v>549967.3153698364</v>
      </c>
      <c r="S89" s="356">
        <f>IF($G$4="mensual",S88,0)</f>
        <v>10000</v>
      </c>
      <c r="U89" s="356">
        <f t="shared" si="26"/>
        <v>4465.258008355317</v>
      </c>
      <c r="V89" s="359">
        <f t="shared" si="31"/>
        <v>-107.5423833489408</v>
      </c>
      <c r="X89" s="359">
        <f t="shared" si="27"/>
        <v>-654.6170359540176</v>
      </c>
      <c r="Y89" s="356">
        <f t="shared" si="34"/>
        <v>563670.4139588887</v>
      </c>
      <c r="AA89" s="357">
        <f>+Bono!J89</f>
        <v>144891.92522524504</v>
      </c>
      <c r="AC89" s="378">
        <f t="shared" si="35"/>
        <v>5.5</v>
      </c>
      <c r="AD89" s="356">
        <f t="shared" si="36"/>
        <v>924625.7871494123</v>
      </c>
      <c r="AF89" s="356">
        <f t="shared" si="18"/>
        <v>94</v>
      </c>
      <c r="AG89" s="356">
        <f t="shared" si="29"/>
        <v>65</v>
      </c>
      <c r="AH89" s="356">
        <f t="shared" si="30"/>
        <v>120000</v>
      </c>
      <c r="AI89" s="356">
        <f t="shared" si="19"/>
        <v>7800000</v>
      </c>
    </row>
    <row r="90" spans="1:35" x14ac:dyDescent="0.25">
      <c r="A90" s="356">
        <f t="shared" si="37"/>
        <v>5.583333333333333</v>
      </c>
      <c r="B90" s="356">
        <f t="shared" si="38"/>
        <v>67</v>
      </c>
      <c r="C90" s="357">
        <f t="shared" si="20"/>
        <v>5</v>
      </c>
      <c r="D90" s="357">
        <f t="shared" si="21"/>
        <v>7</v>
      </c>
      <c r="E90" s="357">
        <f t="shared" si="22"/>
        <v>34</v>
      </c>
      <c r="F90" s="356">
        <f t="shared" si="39"/>
        <v>216063.44796527852</v>
      </c>
      <c r="H90" s="356">
        <f t="shared" si="32"/>
        <v>1722.9202756282723</v>
      </c>
      <c r="I90" s="356">
        <v>0</v>
      </c>
      <c r="J90" s="356">
        <v>0</v>
      </c>
      <c r="K90" s="356">
        <f t="shared" si="40"/>
        <v>-252.63218715945186</v>
      </c>
      <c r="L90" s="356">
        <f t="shared" si="33"/>
        <v>217533.73605374736</v>
      </c>
      <c r="N90" s="356">
        <f t="shared" si="41"/>
        <v>67</v>
      </c>
      <c r="O90" s="357">
        <f t="shared" si="23"/>
        <v>5</v>
      </c>
      <c r="P90" s="357">
        <f t="shared" si="24"/>
        <v>7</v>
      </c>
      <c r="Q90" s="357">
        <f t="shared" si="25"/>
        <v>5</v>
      </c>
      <c r="R90" s="356">
        <f t="shared" si="42"/>
        <v>563670.4139588887</v>
      </c>
      <c r="S90" s="356">
        <f>+IF($G$4="mensual",S84,IF($G$4="trimestral",S84,IF($G$4="semestral",S84,0)))</f>
        <v>10000</v>
      </c>
      <c r="U90" s="356">
        <f t="shared" si="26"/>
        <v>4574.528440815533</v>
      </c>
      <c r="V90" s="359">
        <f t="shared" si="31"/>
        <v>-107.5423833489408</v>
      </c>
      <c r="X90" s="359">
        <f t="shared" si="27"/>
        <v>-670.6393840189721</v>
      </c>
      <c r="Y90" s="356">
        <f t="shared" si="34"/>
        <v>577466.7606323364</v>
      </c>
      <c r="AA90" s="357">
        <f>+Bono!J90</f>
        <v>145790.27196806463</v>
      </c>
      <c r="AC90" s="378">
        <f t="shared" si="35"/>
        <v>5.583333333333333</v>
      </c>
      <c r="AD90" s="356">
        <f t="shared" si="36"/>
        <v>940790.7686541483</v>
      </c>
      <c r="AF90" s="356">
        <f t="shared" si="18"/>
        <v>95</v>
      </c>
      <c r="AG90" s="356">
        <f t="shared" si="29"/>
        <v>66</v>
      </c>
      <c r="AH90" s="356">
        <f t="shared" si="30"/>
        <v>120000</v>
      </c>
      <c r="AI90" s="356">
        <f t="shared" si="19"/>
        <v>7920000</v>
      </c>
    </row>
    <row r="91" spans="1:35" x14ac:dyDescent="0.25">
      <c r="A91" s="356">
        <f t="shared" si="37"/>
        <v>5.666666666666667</v>
      </c>
      <c r="B91" s="356">
        <f t="shared" si="38"/>
        <v>68</v>
      </c>
      <c r="C91" s="357">
        <f t="shared" si="20"/>
        <v>5</v>
      </c>
      <c r="D91" s="357">
        <f t="shared" si="21"/>
        <v>8</v>
      </c>
      <c r="E91" s="357">
        <f t="shared" si="22"/>
        <v>34</v>
      </c>
      <c r="F91" s="356">
        <f t="shared" si="39"/>
        <v>217533.73605374736</v>
      </c>
      <c r="H91" s="356">
        <f t="shared" si="32"/>
        <v>1734.6445593166673</v>
      </c>
      <c r="I91" s="356">
        <v>0</v>
      </c>
      <c r="J91" s="356">
        <v>0</v>
      </c>
      <c r="K91" s="356">
        <f t="shared" si="40"/>
        <v>-254.35132151115423</v>
      </c>
      <c r="L91" s="356">
        <f t="shared" si="33"/>
        <v>219014.02929155287</v>
      </c>
      <c r="N91" s="356">
        <f t="shared" si="41"/>
        <v>68</v>
      </c>
      <c r="O91" s="357">
        <f t="shared" si="23"/>
        <v>5</v>
      </c>
      <c r="P91" s="357">
        <f t="shared" si="24"/>
        <v>8</v>
      </c>
      <c r="Q91" s="357">
        <f t="shared" si="25"/>
        <v>5</v>
      </c>
      <c r="R91" s="356">
        <f t="shared" si="42"/>
        <v>577466.7606323364</v>
      </c>
      <c r="S91" s="356">
        <f>IF($G$4="mensual",S90,0)</f>
        <v>10000</v>
      </c>
      <c r="U91" s="356">
        <f t="shared" si="26"/>
        <v>4684.542446595444</v>
      </c>
      <c r="V91" s="359">
        <f t="shared" si="31"/>
        <v>-107.5423833489408</v>
      </c>
      <c r="X91" s="359">
        <f t="shared" si="27"/>
        <v>-686.7707624068762</v>
      </c>
      <c r="Y91" s="356">
        <f t="shared" si="34"/>
        <v>591356.9899331761</v>
      </c>
      <c r="AA91" s="357">
        <f>+Bono!J91</f>
        <v>146694.1885648915</v>
      </c>
      <c r="AC91" s="378">
        <f t="shared" si="35"/>
        <v>5.666666666666667</v>
      </c>
      <c r="AD91" s="356">
        <f t="shared" si="36"/>
        <v>957065.2077896204</v>
      </c>
      <c r="AF91" s="356">
        <f t="shared" ref="AF91:AF104" si="43">+AF90+1</f>
        <v>96</v>
      </c>
      <c r="AG91" s="356">
        <f t="shared" si="29"/>
        <v>67</v>
      </c>
      <c r="AH91" s="356">
        <f t="shared" si="30"/>
        <v>120000</v>
      </c>
      <c r="AI91" s="356">
        <f t="shared" ref="AI91:AI104" si="44">+AI90+AH91</f>
        <v>8040000</v>
      </c>
    </row>
    <row r="92" spans="1:35" x14ac:dyDescent="0.25">
      <c r="A92" s="356">
        <f t="shared" si="37"/>
        <v>5.75</v>
      </c>
      <c r="B92" s="356">
        <f t="shared" si="38"/>
        <v>69</v>
      </c>
      <c r="C92" s="357">
        <f t="shared" si="20"/>
        <v>5</v>
      </c>
      <c r="D92" s="357">
        <f t="shared" si="21"/>
        <v>9</v>
      </c>
      <c r="E92" s="357">
        <f t="shared" si="22"/>
        <v>34</v>
      </c>
      <c r="F92" s="356">
        <f t="shared" si="39"/>
        <v>219014.02929155287</v>
      </c>
      <c r="H92" s="356">
        <f t="shared" si="32"/>
        <v>1746.448625470885</v>
      </c>
      <c r="I92" s="356">
        <v>0</v>
      </c>
      <c r="J92" s="360">
        <f>-SUM(F92:H92)*$J$21*1.16</f>
        <v>-2304.739389453728</v>
      </c>
      <c r="K92" s="356">
        <f t="shared" si="40"/>
        <v>-253.40865669198124</v>
      </c>
      <c r="L92" s="356">
        <f t="shared" si="33"/>
        <v>218202.32987087805</v>
      </c>
      <c r="N92" s="356">
        <f t="shared" si="41"/>
        <v>69</v>
      </c>
      <c r="O92" s="357">
        <f t="shared" si="23"/>
        <v>5</v>
      </c>
      <c r="P92" s="357">
        <f t="shared" si="24"/>
        <v>9</v>
      </c>
      <c r="Q92" s="357">
        <f t="shared" si="25"/>
        <v>5</v>
      </c>
      <c r="R92" s="356">
        <f t="shared" si="42"/>
        <v>591356.9899331761</v>
      </c>
      <c r="S92" s="356">
        <f>IF($G$4="mensual",S91,0)</f>
        <v>10000</v>
      </c>
      <c r="U92" s="356">
        <f t="shared" si="26"/>
        <v>4795.305085630013</v>
      </c>
      <c r="V92" s="359">
        <f t="shared" si="31"/>
        <v>-107.5423833489408</v>
      </c>
      <c r="X92" s="359">
        <f t="shared" si="27"/>
        <v>-703.0119130571304</v>
      </c>
      <c r="Y92" s="356">
        <f t="shared" si="34"/>
        <v>605341.7407224</v>
      </c>
      <c r="AA92" s="357">
        <f>+Bono!J92</f>
        <v>146273.9464003722</v>
      </c>
      <c r="AC92" s="378">
        <f t="shared" si="35"/>
        <v>5.75</v>
      </c>
      <c r="AD92" s="356">
        <f t="shared" si="36"/>
        <v>969818.0169936502</v>
      </c>
      <c r="AF92" s="356">
        <f t="shared" si="43"/>
        <v>97</v>
      </c>
      <c r="AG92" s="356">
        <f t="shared" ref="AG92:AG104" si="45">+AG91+1</f>
        <v>68</v>
      </c>
      <c r="AH92" s="356">
        <f t="shared" ref="AH92:AH104" si="46">IF($G$17="Si",(1+$G$20)*AH91,AH91)</f>
        <v>120000</v>
      </c>
      <c r="AI92" s="356">
        <f t="shared" si="44"/>
        <v>8160000</v>
      </c>
    </row>
    <row r="93" spans="1:35" x14ac:dyDescent="0.25">
      <c r="A93" s="356">
        <f t="shared" si="37"/>
        <v>5.833333333333333</v>
      </c>
      <c r="B93" s="356">
        <f t="shared" si="38"/>
        <v>70</v>
      </c>
      <c r="C93" s="357">
        <f t="shared" si="20"/>
        <v>5</v>
      </c>
      <c r="D93" s="357">
        <f t="shared" si="21"/>
        <v>10</v>
      </c>
      <c r="E93" s="357">
        <f t="shared" si="22"/>
        <v>34</v>
      </c>
      <c r="F93" s="356">
        <f t="shared" si="39"/>
        <v>218202.32987087805</v>
      </c>
      <c r="H93" s="356">
        <f t="shared" si="32"/>
        <v>1739.976020304364</v>
      </c>
      <c r="I93" s="356">
        <v>0</v>
      </c>
      <c r="J93" s="356">
        <v>0</v>
      </c>
      <c r="K93" s="356">
        <f t="shared" si="40"/>
        <v>-255.1330748337716</v>
      </c>
      <c r="L93" s="356">
        <f t="shared" si="33"/>
        <v>219687.17281634864</v>
      </c>
      <c r="N93" s="356">
        <f t="shared" si="41"/>
        <v>70</v>
      </c>
      <c r="O93" s="357">
        <f t="shared" si="23"/>
        <v>5</v>
      </c>
      <c r="P93" s="357">
        <f t="shared" si="24"/>
        <v>10</v>
      </c>
      <c r="Q93" s="357">
        <f t="shared" si="25"/>
        <v>5</v>
      </c>
      <c r="R93" s="356">
        <f t="shared" si="42"/>
        <v>605341.7407224</v>
      </c>
      <c r="S93" s="356">
        <f>IF($G$4="mensual",S84,IF($G$4="trimestral",S84,0))</f>
        <v>10000</v>
      </c>
      <c r="U93" s="356">
        <f t="shared" si="26"/>
        <v>4906.821452286508</v>
      </c>
      <c r="V93" s="359">
        <f t="shared" si="31"/>
        <v>-107.5423833489408</v>
      </c>
      <c r="X93" s="359">
        <f t="shared" si="27"/>
        <v>-719.3635829579517</v>
      </c>
      <c r="Y93" s="356">
        <f t="shared" si="34"/>
        <v>619421.6562083797</v>
      </c>
      <c r="AA93" s="357">
        <f>+Bono!J93</f>
        <v>147180.86183478215</v>
      </c>
      <c r="AC93" s="378">
        <f t="shared" si="35"/>
        <v>5.833333333333333</v>
      </c>
      <c r="AD93" s="356">
        <f t="shared" si="36"/>
        <v>986289.6908595104</v>
      </c>
      <c r="AF93" s="356">
        <f t="shared" si="43"/>
        <v>98</v>
      </c>
      <c r="AG93" s="356">
        <f t="shared" si="45"/>
        <v>69</v>
      </c>
      <c r="AH93" s="356">
        <f t="shared" si="46"/>
        <v>120000</v>
      </c>
      <c r="AI93" s="356">
        <f t="shared" si="44"/>
        <v>8280000</v>
      </c>
    </row>
    <row r="94" spans="1:35" x14ac:dyDescent="0.25">
      <c r="A94" s="356">
        <f t="shared" si="37"/>
        <v>5.916666666666667</v>
      </c>
      <c r="B94" s="356">
        <f t="shared" si="38"/>
        <v>71</v>
      </c>
      <c r="C94" s="357">
        <f t="shared" si="20"/>
        <v>5</v>
      </c>
      <c r="D94" s="357">
        <f t="shared" si="21"/>
        <v>11</v>
      </c>
      <c r="E94" s="357">
        <f t="shared" si="22"/>
        <v>34</v>
      </c>
      <c r="F94" s="356">
        <f t="shared" si="39"/>
        <v>219687.17281634864</v>
      </c>
      <c r="H94" s="356">
        <f t="shared" si="32"/>
        <v>1751.8163664664137</v>
      </c>
      <c r="I94" s="356">
        <v>0</v>
      </c>
      <c r="J94" s="356">
        <v>0</v>
      </c>
      <c r="K94" s="356">
        <f t="shared" si="40"/>
        <v>-256.86922745206545</v>
      </c>
      <c r="L94" s="356">
        <f t="shared" si="33"/>
        <v>221182.11995536298</v>
      </c>
      <c r="N94" s="356">
        <f t="shared" si="41"/>
        <v>71</v>
      </c>
      <c r="O94" s="357">
        <f t="shared" si="23"/>
        <v>5</v>
      </c>
      <c r="P94" s="357">
        <f t="shared" si="24"/>
        <v>11</v>
      </c>
      <c r="Q94" s="357">
        <f t="shared" si="25"/>
        <v>5</v>
      </c>
      <c r="R94" s="356">
        <f t="shared" si="42"/>
        <v>619421.6562083797</v>
      </c>
      <c r="S94" s="356">
        <f>IF($G$17="si",S82*(1+$G$20),S82)</f>
        <v>10000</v>
      </c>
      <c r="U94" s="356">
        <f t="shared" si="26"/>
        <v>5019.0966755988065</v>
      </c>
      <c r="V94" s="359">
        <f t="shared" si="31"/>
        <v>-107.5423833489408</v>
      </c>
      <c r="X94" s="359">
        <f t="shared" si="27"/>
        <v>-735.8265241807302</v>
      </c>
      <c r="Y94" s="356">
        <f t="shared" si="34"/>
        <v>633597.3839764488</v>
      </c>
      <c r="AA94" s="357">
        <f>+Bono!J94</f>
        <v>148093.4002500811</v>
      </c>
      <c r="AC94" s="378">
        <f t="shared" si="35"/>
        <v>5.916666666666667</v>
      </c>
      <c r="AD94" s="356">
        <f t="shared" si="36"/>
        <v>1002872.9041818929</v>
      </c>
      <c r="AF94" s="356">
        <f t="shared" si="43"/>
        <v>99</v>
      </c>
      <c r="AG94" s="356">
        <f t="shared" si="45"/>
        <v>70</v>
      </c>
      <c r="AH94" s="356">
        <f t="shared" si="46"/>
        <v>120000</v>
      </c>
      <c r="AI94" s="356">
        <f t="shared" si="44"/>
        <v>8400000</v>
      </c>
    </row>
    <row r="95" spans="1:35" x14ac:dyDescent="0.25">
      <c r="A95" s="356">
        <f t="shared" si="37"/>
        <v>6</v>
      </c>
      <c r="B95" s="356">
        <f t="shared" si="38"/>
        <v>72</v>
      </c>
      <c r="C95" s="357">
        <f t="shared" si="20"/>
        <v>5</v>
      </c>
      <c r="D95" s="357">
        <f t="shared" si="21"/>
        <v>12</v>
      </c>
      <c r="E95" s="357">
        <f t="shared" si="22"/>
        <v>34</v>
      </c>
      <c r="F95" s="356">
        <f t="shared" si="39"/>
        <v>221182.11995536298</v>
      </c>
      <c r="H95" s="356">
        <f t="shared" si="32"/>
        <v>1763.7372848867021</v>
      </c>
      <c r="I95" s="356">
        <v>0</v>
      </c>
      <c r="J95" s="360">
        <f>-SUM(F95:H95)*$J$21*1.16</f>
        <v>-2327.554749588207</v>
      </c>
      <c r="K95" s="356">
        <f t="shared" si="40"/>
        <v>-255.91723088916729</v>
      </c>
      <c r="L95" s="356">
        <f t="shared" si="33"/>
        <v>220362.3852597723</v>
      </c>
      <c r="N95" s="356">
        <f t="shared" si="41"/>
        <v>72</v>
      </c>
      <c r="O95" s="357">
        <f t="shared" si="23"/>
        <v>5</v>
      </c>
      <c r="P95" s="357">
        <f t="shared" si="24"/>
        <v>12</v>
      </c>
      <c r="Q95" s="357">
        <f t="shared" si="25"/>
        <v>5</v>
      </c>
      <c r="R95" s="356">
        <f t="shared" si="42"/>
        <v>633597.3839764488</v>
      </c>
      <c r="S95" s="356">
        <f>IF($G$4="mensual",S94,0)</f>
        <v>10000</v>
      </c>
      <c r="U95" s="356">
        <f t="shared" si="26"/>
        <v>5132.1359195033</v>
      </c>
      <c r="V95" s="359">
        <f t="shared" si="31"/>
        <v>-107.5423833489408</v>
      </c>
      <c r="X95" s="359">
        <f t="shared" si="27"/>
        <v>-752.4014939146197</v>
      </c>
      <c r="Y95" s="356">
        <f t="shared" si="34"/>
        <v>647869.5760186885</v>
      </c>
      <c r="AA95" s="357">
        <f>+Bono!J95</f>
        <v>147669.14969400276</v>
      </c>
      <c r="AC95" s="378">
        <f t="shared" si="35"/>
        <v>6</v>
      </c>
      <c r="AD95" s="356">
        <f t="shared" si="36"/>
        <v>1015901.1109724635</v>
      </c>
      <c r="AF95" s="356">
        <f t="shared" si="43"/>
        <v>100</v>
      </c>
      <c r="AG95" s="356">
        <f t="shared" si="45"/>
        <v>71</v>
      </c>
      <c r="AH95" s="356">
        <f t="shared" si="46"/>
        <v>120000</v>
      </c>
      <c r="AI95" s="356">
        <f t="shared" si="44"/>
        <v>8520000</v>
      </c>
    </row>
    <row r="96" spans="1:35" x14ac:dyDescent="0.25">
      <c r="A96" s="356">
        <f t="shared" si="37"/>
        <v>6.083333333333333</v>
      </c>
      <c r="B96" s="356">
        <f t="shared" si="38"/>
        <v>73</v>
      </c>
      <c r="C96" s="357">
        <f t="shared" si="20"/>
        <v>6</v>
      </c>
      <c r="D96" s="357">
        <f t="shared" si="21"/>
        <v>1</v>
      </c>
      <c r="E96" s="357">
        <f t="shared" si="22"/>
        <v>35</v>
      </c>
      <c r="F96" s="356">
        <f t="shared" si="39"/>
        <v>220362.3852597723</v>
      </c>
      <c r="H96" s="356">
        <f t="shared" si="32"/>
        <v>1757.2006053096172</v>
      </c>
      <c r="I96" s="356">
        <v>0</v>
      </c>
      <c r="J96" s="356">
        <v>0</v>
      </c>
      <c r="K96" s="356">
        <f t="shared" si="40"/>
        <v>-257.65871960349506</v>
      </c>
      <c r="L96" s="356">
        <f t="shared" si="33"/>
        <v>221861.92714547843</v>
      </c>
      <c r="N96" s="356">
        <f t="shared" si="41"/>
        <v>73</v>
      </c>
      <c r="O96" s="357">
        <f t="shared" si="23"/>
        <v>6</v>
      </c>
      <c r="P96" s="357">
        <f t="shared" si="24"/>
        <v>1</v>
      </c>
      <c r="Q96" s="357">
        <f t="shared" si="25"/>
        <v>6</v>
      </c>
      <c r="R96" s="356">
        <f t="shared" si="42"/>
        <v>647869.5760186885</v>
      </c>
      <c r="S96" s="356">
        <f>IF($G$17="si",S84*(1+$G$20),S84)</f>
        <v>10000</v>
      </c>
      <c r="U96" s="356">
        <f t="shared" si="26"/>
        <v>5245.944383076402</v>
      </c>
      <c r="V96" s="359">
        <f>V95*(1+$G$18)</f>
        <v>-111.84407868289844</v>
      </c>
      <c r="X96" s="359">
        <f t="shared" si="27"/>
        <v>-769.0842645347751</v>
      </c>
      <c r="Y96" s="356">
        <f t="shared" si="34"/>
        <v>662234.5920585472</v>
      </c>
      <c r="AA96" s="357">
        <f>+Bono!J96</f>
        <v>148584.71555066676</v>
      </c>
      <c r="AC96" s="378">
        <f t="shared" si="35"/>
        <v>6.083333333333333</v>
      </c>
      <c r="AD96" s="356">
        <f t="shared" si="36"/>
        <v>1032681.2347546924</v>
      </c>
      <c r="AF96" s="356">
        <f t="shared" si="43"/>
        <v>101</v>
      </c>
      <c r="AG96" s="356">
        <f t="shared" si="45"/>
        <v>72</v>
      </c>
      <c r="AH96" s="356">
        <f t="shared" si="46"/>
        <v>120000</v>
      </c>
      <c r="AI96" s="356">
        <f t="shared" si="44"/>
        <v>8640000</v>
      </c>
    </row>
    <row r="97" spans="1:35" x14ac:dyDescent="0.25">
      <c r="A97" s="356">
        <f t="shared" si="37"/>
        <v>6.166666666666667</v>
      </c>
      <c r="B97" s="356">
        <f t="shared" si="38"/>
        <v>74</v>
      </c>
      <c r="C97" s="357">
        <f t="shared" si="20"/>
        <v>6</v>
      </c>
      <c r="D97" s="357">
        <f t="shared" si="21"/>
        <v>2</v>
      </c>
      <c r="E97" s="357">
        <f t="shared" si="22"/>
        <v>35</v>
      </c>
      <c r="F97" s="356">
        <f t="shared" si="39"/>
        <v>221861.92714547843</v>
      </c>
      <c r="H97" s="356">
        <f t="shared" si="32"/>
        <v>1769.1581628852612</v>
      </c>
      <c r="I97" s="356">
        <v>0</v>
      </c>
      <c r="J97" s="356">
        <v>0</v>
      </c>
      <c r="K97" s="356">
        <f t="shared" si="40"/>
        <v>-259.4120589577019</v>
      </c>
      <c r="L97" s="356">
        <f t="shared" si="33"/>
        <v>223371.67324940598</v>
      </c>
      <c r="N97" s="356">
        <f t="shared" si="41"/>
        <v>74</v>
      </c>
      <c r="O97" s="357">
        <f t="shared" si="23"/>
        <v>6</v>
      </c>
      <c r="P97" s="357">
        <f t="shared" si="24"/>
        <v>2</v>
      </c>
      <c r="Q97" s="357">
        <f t="shared" si="25"/>
        <v>6</v>
      </c>
      <c r="R97" s="356">
        <f t="shared" si="42"/>
        <v>662234.5920585472</v>
      </c>
      <c r="S97" s="356">
        <f>IF($G$4="mensual",S96,0)</f>
        <v>10000</v>
      </c>
      <c r="U97" s="356">
        <f t="shared" si="26"/>
        <v>5360.493038241691</v>
      </c>
      <c r="V97" s="359">
        <f t="shared" si="31"/>
        <v>-111.84407868289844</v>
      </c>
      <c r="X97" s="359">
        <f t="shared" si="27"/>
        <v>-785.8805595810028</v>
      </c>
      <c r="Y97" s="356">
        <f t="shared" si="34"/>
        <v>676697.3604585249</v>
      </c>
      <c r="AA97" s="357">
        <f>+Bono!J97</f>
        <v>149505.95802184116</v>
      </c>
      <c r="AC97" s="378">
        <f t="shared" si="35"/>
        <v>6.166666666666667</v>
      </c>
      <c r="AD97" s="356">
        <f t="shared" si="36"/>
        <v>1049574.991729772</v>
      </c>
      <c r="AF97" s="356">
        <f t="shared" si="43"/>
        <v>102</v>
      </c>
      <c r="AG97" s="356">
        <f t="shared" si="45"/>
        <v>73</v>
      </c>
      <c r="AH97" s="356">
        <f t="shared" si="46"/>
        <v>120000</v>
      </c>
      <c r="AI97" s="356">
        <f t="shared" si="44"/>
        <v>8760000</v>
      </c>
    </row>
    <row r="98" spans="1:35" x14ac:dyDescent="0.25">
      <c r="A98" s="356">
        <f t="shared" si="37"/>
        <v>6.25</v>
      </c>
      <c r="B98" s="356">
        <f t="shared" si="38"/>
        <v>75</v>
      </c>
      <c r="C98" s="357">
        <f t="shared" si="20"/>
        <v>6</v>
      </c>
      <c r="D98" s="357">
        <f t="shared" si="21"/>
        <v>3</v>
      </c>
      <c r="E98" s="357">
        <f t="shared" si="22"/>
        <v>35</v>
      </c>
      <c r="F98" s="356">
        <f t="shared" si="39"/>
        <v>223371.67324940598</v>
      </c>
      <c r="H98" s="356">
        <f t="shared" si="32"/>
        <v>1781.1970903299698</v>
      </c>
      <c r="I98" s="356">
        <v>0</v>
      </c>
      <c r="J98" s="360">
        <f>-SUM(F98:H98)*$J$21*1.16</f>
        <v>-2350.5959663468434</v>
      </c>
      <c r="K98" s="356">
        <f t="shared" si="40"/>
        <v>-258.45063827313135</v>
      </c>
      <c r="L98" s="356">
        <f t="shared" si="33"/>
        <v>222543.823735116</v>
      </c>
      <c r="N98" s="356">
        <f t="shared" si="41"/>
        <v>75</v>
      </c>
      <c r="O98" s="357">
        <f t="shared" si="23"/>
        <v>6</v>
      </c>
      <c r="P98" s="357">
        <f t="shared" si="24"/>
        <v>3</v>
      </c>
      <c r="Q98" s="357">
        <f t="shared" si="25"/>
        <v>6</v>
      </c>
      <c r="R98" s="356">
        <f t="shared" si="42"/>
        <v>676697.3604585249</v>
      </c>
      <c r="S98" s="356">
        <f>IF($G$4="mensual",S97,0)</f>
        <v>10000</v>
      </c>
      <c r="U98" s="356">
        <f t="shared" si="26"/>
        <v>5475.821184453825</v>
      </c>
      <c r="V98" s="359">
        <f t="shared" si="31"/>
        <v>-111.84407868289844</v>
      </c>
      <c r="X98" s="359">
        <f t="shared" si="27"/>
        <v>-802.791151574583</v>
      </c>
      <c r="Y98" s="356">
        <f t="shared" si="34"/>
        <v>691258.5464127212</v>
      </c>
      <c r="AA98" s="357">
        <f>+Bono!J98</f>
        <v>149077.6608410034</v>
      </c>
      <c r="AC98" s="378">
        <f t="shared" si="35"/>
        <v>6.25</v>
      </c>
      <c r="AD98" s="356">
        <f t="shared" si="36"/>
        <v>1062880.0309888406</v>
      </c>
      <c r="AF98" s="356">
        <f t="shared" si="43"/>
        <v>103</v>
      </c>
      <c r="AG98" s="356">
        <f t="shared" si="45"/>
        <v>74</v>
      </c>
      <c r="AH98" s="356">
        <f t="shared" si="46"/>
        <v>120000</v>
      </c>
      <c r="AI98" s="356">
        <f t="shared" si="44"/>
        <v>8880000</v>
      </c>
    </row>
    <row r="99" spans="1:35" x14ac:dyDescent="0.25">
      <c r="A99" s="356">
        <f t="shared" si="37"/>
        <v>6.333333333333333</v>
      </c>
      <c r="B99" s="356">
        <f t="shared" si="38"/>
        <v>76</v>
      </c>
      <c r="C99" s="357">
        <f t="shared" si="20"/>
        <v>6</v>
      </c>
      <c r="D99" s="357">
        <f t="shared" si="21"/>
        <v>4</v>
      </c>
      <c r="E99" s="357">
        <f t="shared" si="22"/>
        <v>35</v>
      </c>
      <c r="F99" s="356">
        <f t="shared" si="39"/>
        <v>222543.823735116</v>
      </c>
      <c r="H99" s="356">
        <f t="shared" si="32"/>
        <v>1774.5957020490216</v>
      </c>
      <c r="I99" s="356">
        <v>0</v>
      </c>
      <c r="J99" s="356">
        <v>0</v>
      </c>
      <c r="K99" s="356">
        <f t="shared" si="40"/>
        <v>-260.2093665471114</v>
      </c>
      <c r="L99" s="356">
        <f t="shared" si="33"/>
        <v>224058.2100706179</v>
      </c>
      <c r="N99" s="356">
        <f t="shared" si="41"/>
        <v>76</v>
      </c>
      <c r="O99" s="357">
        <f t="shared" si="23"/>
        <v>6</v>
      </c>
      <c r="P99" s="357">
        <f t="shared" si="24"/>
        <v>4</v>
      </c>
      <c r="Q99" s="357">
        <f t="shared" si="25"/>
        <v>6</v>
      </c>
      <c r="R99" s="356">
        <f t="shared" si="42"/>
        <v>691258.5464127212</v>
      </c>
      <c r="S99" s="356">
        <f>IF($G$4="mensual",S96,IF($G$4="trimestral",S96,0))</f>
        <v>10000</v>
      </c>
      <c r="U99" s="356">
        <f t="shared" si="26"/>
        <v>5591.934126063967</v>
      </c>
      <c r="V99" s="359">
        <f t="shared" si="31"/>
        <v>-111.84407868289844</v>
      </c>
      <c r="X99" s="359">
        <f t="shared" si="27"/>
        <v>-819.8168182937185</v>
      </c>
      <c r="Y99" s="356">
        <f t="shared" si="34"/>
        <v>705918.8196418084</v>
      </c>
      <c r="AA99" s="357">
        <f>+Bono!J99</f>
        <v>150001.959630156</v>
      </c>
      <c r="AC99" s="378">
        <f t="shared" si="35"/>
        <v>6.333333333333333</v>
      </c>
      <c r="AD99" s="356">
        <f t="shared" si="36"/>
        <v>1079978.9893425824</v>
      </c>
      <c r="AF99" s="356">
        <f t="shared" si="43"/>
        <v>104</v>
      </c>
      <c r="AG99" s="356">
        <f t="shared" si="45"/>
        <v>75</v>
      </c>
      <c r="AH99" s="356">
        <f t="shared" si="46"/>
        <v>120000</v>
      </c>
      <c r="AI99" s="356">
        <f t="shared" si="44"/>
        <v>9000000</v>
      </c>
    </row>
    <row r="100" spans="1:35" x14ac:dyDescent="0.25">
      <c r="A100" s="356">
        <f t="shared" si="37"/>
        <v>6.416666666666667</v>
      </c>
      <c r="B100" s="356">
        <f t="shared" si="38"/>
        <v>77</v>
      </c>
      <c r="C100" s="357">
        <f t="shared" ref="C100:C163" si="47">C88+1</f>
        <v>6</v>
      </c>
      <c r="D100" s="357">
        <f t="shared" ref="D100:D163" si="48">D88</f>
        <v>5</v>
      </c>
      <c r="E100" s="357">
        <f t="shared" ref="E100:E163" si="49">E88+1</f>
        <v>35</v>
      </c>
      <c r="F100" s="356">
        <f t="shared" si="39"/>
        <v>224058.2100706179</v>
      </c>
      <c r="H100" s="356">
        <f t="shared" si="32"/>
        <v>1786.6716313519269</v>
      </c>
      <c r="I100" s="356">
        <v>0</v>
      </c>
      <c r="J100" s="356">
        <v>0</v>
      </c>
      <c r="K100" s="356">
        <f t="shared" si="40"/>
        <v>-261.980062774285</v>
      </c>
      <c r="L100" s="356">
        <f t="shared" si="33"/>
        <v>225582.90163919554</v>
      </c>
      <c r="N100" s="356">
        <f t="shared" si="41"/>
        <v>77</v>
      </c>
      <c r="O100" s="357">
        <f t="shared" ref="O100:O163" si="50">O88+1</f>
        <v>6</v>
      </c>
      <c r="P100" s="357">
        <f t="shared" ref="P100:P163" si="51">P88</f>
        <v>5</v>
      </c>
      <c r="Q100" s="357">
        <f t="shared" ref="Q100:Q163" si="52">Q88+1</f>
        <v>6</v>
      </c>
      <c r="R100" s="356">
        <f t="shared" si="42"/>
        <v>705918.8196418084</v>
      </c>
      <c r="S100" s="356">
        <f>IF($G$4="mensual",S99,0)</f>
        <v>10000</v>
      </c>
      <c r="U100" s="356">
        <f t="shared" ref="U100:U163" si="53">SUM(R100:T100)*$G$8</f>
        <v>5708.837203518807</v>
      </c>
      <c r="V100" s="359">
        <f t="shared" si="31"/>
        <v>-111.84407868289844</v>
      </c>
      <c r="X100" s="359">
        <f t="shared" si="27"/>
        <v>-836.9583428093074</v>
      </c>
      <c r="Y100" s="356">
        <f t="shared" si="34"/>
        <v>720678.854423835</v>
      </c>
      <c r="AA100" s="357">
        <f>+Bono!J100</f>
        <v>150931.98917901336</v>
      </c>
      <c r="AC100" s="378">
        <f t="shared" si="35"/>
        <v>6.416666666666667</v>
      </c>
      <c r="AD100" s="356">
        <f t="shared" si="36"/>
        <v>1097193.7452420439</v>
      </c>
      <c r="AF100" s="356">
        <f t="shared" si="43"/>
        <v>105</v>
      </c>
      <c r="AG100" s="356">
        <f t="shared" si="45"/>
        <v>76</v>
      </c>
      <c r="AH100" s="356">
        <f t="shared" si="46"/>
        <v>120000</v>
      </c>
      <c r="AI100" s="356">
        <f t="shared" si="44"/>
        <v>9120000</v>
      </c>
    </row>
    <row r="101" spans="1:35" x14ac:dyDescent="0.25">
      <c r="A101" s="356">
        <f t="shared" si="37"/>
        <v>6.5</v>
      </c>
      <c r="B101" s="356">
        <f t="shared" si="38"/>
        <v>78</v>
      </c>
      <c r="C101" s="357">
        <f t="shared" si="47"/>
        <v>6</v>
      </c>
      <c r="D101" s="357">
        <f t="shared" si="48"/>
        <v>6</v>
      </c>
      <c r="E101" s="357">
        <f t="shared" si="49"/>
        <v>35</v>
      </c>
      <c r="F101" s="356">
        <f t="shared" si="39"/>
        <v>225582.90163919554</v>
      </c>
      <c r="H101" s="356">
        <f t="shared" si="32"/>
        <v>1798.8297360305303</v>
      </c>
      <c r="I101" s="356">
        <v>0</v>
      </c>
      <c r="J101" s="360">
        <f>-SUM(F101:H101)*$J$21*1.16</f>
        <v>-2373.8652755573603</v>
      </c>
      <c r="K101" s="356">
        <f t="shared" si="40"/>
        <v>-261.0091246756157</v>
      </c>
      <c r="L101" s="356">
        <f t="shared" si="33"/>
        <v>224746.8569749931</v>
      </c>
      <c r="N101" s="356">
        <f t="shared" si="41"/>
        <v>78</v>
      </c>
      <c r="O101" s="357">
        <f t="shared" si="50"/>
        <v>6</v>
      </c>
      <c r="P101" s="357">
        <f t="shared" si="51"/>
        <v>6</v>
      </c>
      <c r="Q101" s="357">
        <f t="shared" si="52"/>
        <v>6</v>
      </c>
      <c r="R101" s="356">
        <f t="shared" si="42"/>
        <v>720678.854423835</v>
      </c>
      <c r="S101" s="356">
        <f>IF($G$4="mensual",S100,0)</f>
        <v>10000</v>
      </c>
      <c r="U101" s="356">
        <f t="shared" si="53"/>
        <v>5826.53579360619</v>
      </c>
      <c r="V101" s="359">
        <f t="shared" si="31"/>
        <v>-111.84407868289844</v>
      </c>
      <c r="X101" s="359">
        <f t="shared" si="27"/>
        <v>-854.2165135209594</v>
      </c>
      <c r="Y101" s="356">
        <f t="shared" si="34"/>
        <v>735539.3296252373</v>
      </c>
      <c r="AA101" s="357">
        <f>+Bono!J101</f>
        <v>150499.6067755364</v>
      </c>
      <c r="AC101" s="378">
        <f t="shared" si="35"/>
        <v>6.5</v>
      </c>
      <c r="AD101" s="356">
        <f t="shared" si="36"/>
        <v>1110785.7933757668</v>
      </c>
      <c r="AF101" s="356">
        <f t="shared" si="43"/>
        <v>106</v>
      </c>
      <c r="AG101" s="356">
        <f t="shared" si="45"/>
        <v>77</v>
      </c>
      <c r="AH101" s="356">
        <f t="shared" si="46"/>
        <v>120000</v>
      </c>
      <c r="AI101" s="356">
        <f t="shared" si="44"/>
        <v>9240000</v>
      </c>
    </row>
    <row r="102" spans="1:35" x14ac:dyDescent="0.25">
      <c r="A102" s="356">
        <f t="shared" si="37"/>
        <v>6.583333333333333</v>
      </c>
      <c r="B102" s="356">
        <f t="shared" si="38"/>
        <v>79</v>
      </c>
      <c r="C102" s="357">
        <f t="shared" si="47"/>
        <v>6</v>
      </c>
      <c r="D102" s="357">
        <f t="shared" si="48"/>
        <v>7</v>
      </c>
      <c r="E102" s="357">
        <f t="shared" si="49"/>
        <v>35</v>
      </c>
      <c r="F102" s="356">
        <f t="shared" si="39"/>
        <v>224746.8569749931</v>
      </c>
      <c r="H102" s="356">
        <f t="shared" si="32"/>
        <v>1792.1629984733445</v>
      </c>
      <c r="I102" s="356">
        <v>0</v>
      </c>
      <c r="J102" s="356">
        <v>0</v>
      </c>
      <c r="K102" s="356">
        <f t="shared" si="40"/>
        <v>-262.7852631692211</v>
      </c>
      <c r="L102" s="356">
        <f t="shared" si="33"/>
        <v>226276.23471029726</v>
      </c>
      <c r="N102" s="356">
        <f t="shared" si="41"/>
        <v>79</v>
      </c>
      <c r="O102" s="357">
        <f t="shared" si="50"/>
        <v>6</v>
      </c>
      <c r="P102" s="357">
        <f t="shared" si="51"/>
        <v>7</v>
      </c>
      <c r="Q102" s="357">
        <f t="shared" si="52"/>
        <v>6</v>
      </c>
      <c r="R102" s="356">
        <f t="shared" si="42"/>
        <v>735539.3296252373</v>
      </c>
      <c r="S102" s="356">
        <f>+IF($G$4="mensual",S96,IF($G$4="trimestral",S96,IF($G$4="semestral",S96,0)))</f>
        <v>10000</v>
      </c>
      <c r="U102" s="356">
        <f t="shared" si="53"/>
        <v>5945.035309702414</v>
      </c>
      <c r="V102" s="359">
        <f t="shared" si="31"/>
        <v>-111.84407868289844</v>
      </c>
      <c r="X102" s="359">
        <f t="shared" si="27"/>
        <v>-871.5921241932577</v>
      </c>
      <c r="Y102" s="356">
        <f t="shared" si="34"/>
        <v>750500.9287320635</v>
      </c>
      <c r="AA102" s="357">
        <f>+Bono!J102</f>
        <v>151432.7217944186</v>
      </c>
      <c r="AC102" s="378">
        <f t="shared" si="35"/>
        <v>6.583333333333333</v>
      </c>
      <c r="AD102" s="356">
        <f t="shared" si="36"/>
        <v>1128209.8852367795</v>
      </c>
      <c r="AF102" s="356">
        <f t="shared" si="43"/>
        <v>107</v>
      </c>
      <c r="AG102" s="356">
        <f t="shared" si="45"/>
        <v>78</v>
      </c>
      <c r="AH102" s="356">
        <f t="shared" si="46"/>
        <v>120000</v>
      </c>
      <c r="AI102" s="356">
        <f t="shared" si="44"/>
        <v>9360000</v>
      </c>
    </row>
    <row r="103" spans="1:35" x14ac:dyDescent="0.25">
      <c r="A103" s="356">
        <f t="shared" si="37"/>
        <v>6.666666666666667</v>
      </c>
      <c r="B103" s="356">
        <f t="shared" si="38"/>
        <v>80</v>
      </c>
      <c r="C103" s="357">
        <f t="shared" si="47"/>
        <v>6</v>
      </c>
      <c r="D103" s="357">
        <f t="shared" si="48"/>
        <v>8</v>
      </c>
      <c r="E103" s="357">
        <f t="shared" si="49"/>
        <v>35</v>
      </c>
      <c r="F103" s="356">
        <f t="shared" si="39"/>
        <v>226276.23471029726</v>
      </c>
      <c r="H103" s="356">
        <f t="shared" si="32"/>
        <v>1804.3584713034986</v>
      </c>
      <c r="I103" s="356">
        <v>0</v>
      </c>
      <c r="J103" s="356">
        <v>0</v>
      </c>
      <c r="K103" s="356">
        <f t="shared" si="40"/>
        <v>-264.57348809065684</v>
      </c>
      <c r="L103" s="356">
        <f t="shared" si="33"/>
        <v>227816.0196935101</v>
      </c>
      <c r="N103" s="356">
        <f t="shared" si="41"/>
        <v>80</v>
      </c>
      <c r="O103" s="357">
        <f t="shared" si="50"/>
        <v>6</v>
      </c>
      <c r="P103" s="357">
        <f t="shared" si="51"/>
        <v>8</v>
      </c>
      <c r="Q103" s="357">
        <f t="shared" si="52"/>
        <v>6</v>
      </c>
      <c r="R103" s="356">
        <f t="shared" si="42"/>
        <v>750500.9287320635</v>
      </c>
      <c r="S103" s="356">
        <f>IF($G$4="mensual",S102,0)</f>
        <v>10000</v>
      </c>
      <c r="U103" s="356">
        <f t="shared" si="53"/>
        <v>6064.341202021208</v>
      </c>
      <c r="V103" s="359">
        <f t="shared" si="31"/>
        <v>-111.84407868289844</v>
      </c>
      <c r="X103" s="359">
        <f t="shared" si="27"/>
        <v>-889.085973992266</v>
      </c>
      <c r="Y103" s="356">
        <f t="shared" si="34"/>
        <v>765564.3398814095</v>
      </c>
      <c r="AA103" s="357">
        <f>+Bono!J103</f>
        <v>152371.62223465255</v>
      </c>
      <c r="AC103" s="378">
        <f t="shared" si="35"/>
        <v>6.666666666666667</v>
      </c>
      <c r="AD103" s="356">
        <f t="shared" si="36"/>
        <v>1145751.981809572</v>
      </c>
      <c r="AF103" s="356">
        <f t="shared" si="43"/>
        <v>108</v>
      </c>
      <c r="AG103" s="356">
        <f t="shared" si="45"/>
        <v>79</v>
      </c>
      <c r="AH103" s="356">
        <f t="shared" si="46"/>
        <v>120000</v>
      </c>
      <c r="AI103" s="356">
        <f t="shared" si="44"/>
        <v>9480000</v>
      </c>
    </row>
    <row r="104" spans="1:35" x14ac:dyDescent="0.25">
      <c r="A104" s="356">
        <f t="shared" si="37"/>
        <v>6.75</v>
      </c>
      <c r="B104" s="356">
        <f t="shared" si="38"/>
        <v>81</v>
      </c>
      <c r="C104" s="357">
        <f t="shared" si="47"/>
        <v>6</v>
      </c>
      <c r="D104" s="357">
        <f t="shared" si="48"/>
        <v>9</v>
      </c>
      <c r="E104" s="357">
        <f t="shared" si="49"/>
        <v>35</v>
      </c>
      <c r="F104" s="356">
        <f t="shared" si="39"/>
        <v>227816.0196935101</v>
      </c>
      <c r="H104" s="356">
        <f t="shared" si="32"/>
        <v>1816.636932989955</v>
      </c>
      <c r="I104" s="356">
        <v>0</v>
      </c>
      <c r="J104" s="360">
        <f>-SUM(F104:H104)*$J$21*1.16</f>
        <v>-2397.3649351806607</v>
      </c>
      <c r="K104" s="356">
        <f t="shared" si="40"/>
        <v>-263.5929383619305</v>
      </c>
      <c r="L104" s="356">
        <f t="shared" si="33"/>
        <v>226971.69875295748</v>
      </c>
      <c r="N104" s="356">
        <f t="shared" si="41"/>
        <v>81</v>
      </c>
      <c r="O104" s="357">
        <f t="shared" si="50"/>
        <v>6</v>
      </c>
      <c r="P104" s="357">
        <f t="shared" si="51"/>
        <v>9</v>
      </c>
      <c r="Q104" s="357">
        <f t="shared" si="52"/>
        <v>6</v>
      </c>
      <c r="R104" s="356">
        <f t="shared" si="42"/>
        <v>765564.3398814095</v>
      </c>
      <c r="S104" s="356">
        <f>IF($G$4="mensual",S103,0)</f>
        <v>10000</v>
      </c>
      <c r="U104" s="356">
        <f t="shared" si="53"/>
        <v>6184.458957864408</v>
      </c>
      <c r="V104" s="359">
        <f t="shared" si="31"/>
        <v>-111.84407868289844</v>
      </c>
      <c r="X104" s="359">
        <f t="shared" si="27"/>
        <v>-906.6988675222856</v>
      </c>
      <c r="Y104" s="356">
        <f t="shared" si="34"/>
        <v>780730.2558930687</v>
      </c>
      <c r="AA104" s="357">
        <f>+Bono!J104</f>
        <v>151935.1156424989</v>
      </c>
      <c r="AC104" s="378">
        <f t="shared" si="35"/>
        <v>6.75</v>
      </c>
      <c r="AD104" s="356">
        <f t="shared" si="36"/>
        <v>1159637.070288525</v>
      </c>
      <c r="AF104" s="356">
        <f t="shared" si="43"/>
        <v>109</v>
      </c>
      <c r="AG104" s="356">
        <f t="shared" si="45"/>
        <v>80</v>
      </c>
      <c r="AH104" s="356">
        <f t="shared" si="46"/>
        <v>120000</v>
      </c>
      <c r="AI104" s="356">
        <f t="shared" si="44"/>
        <v>9600000</v>
      </c>
    </row>
    <row r="105" spans="1:30" x14ac:dyDescent="0.25">
      <c r="A105" s="356">
        <f t="shared" si="37"/>
        <v>6.833333333333333</v>
      </c>
      <c r="B105" s="356">
        <f t="shared" si="38"/>
        <v>82</v>
      </c>
      <c r="C105" s="357">
        <f t="shared" si="47"/>
        <v>6</v>
      </c>
      <c r="D105" s="357">
        <f t="shared" si="48"/>
        <v>10</v>
      </c>
      <c r="E105" s="357">
        <f t="shared" si="49"/>
        <v>35</v>
      </c>
      <c r="F105" s="356">
        <f t="shared" si="39"/>
        <v>226971.69875295748</v>
      </c>
      <c r="H105" s="356">
        <f t="shared" si="32"/>
        <v>1809.9041992429243</v>
      </c>
      <c r="I105" s="356">
        <v>0</v>
      </c>
      <c r="J105" s="356">
        <v>0</v>
      </c>
      <c r="K105" s="356">
        <f t="shared" si="40"/>
        <v>-265.3866594245524</v>
      </c>
      <c r="L105" s="356">
        <f t="shared" si="33"/>
        <v>228516.21629277585</v>
      </c>
      <c r="N105" s="356">
        <f t="shared" si="41"/>
        <v>82</v>
      </c>
      <c r="O105" s="357">
        <f t="shared" si="50"/>
        <v>6</v>
      </c>
      <c r="P105" s="357">
        <f t="shared" si="51"/>
        <v>10</v>
      </c>
      <c r="Q105" s="357">
        <f t="shared" si="52"/>
        <v>6</v>
      </c>
      <c r="R105" s="356">
        <f t="shared" si="42"/>
        <v>780730.2558930687</v>
      </c>
      <c r="S105" s="356">
        <f>IF($G$4="mensual",S96,IF($G$4="trimestral",S96,0))</f>
        <v>10000</v>
      </c>
      <c r="U105" s="356">
        <f t="shared" si="53"/>
        <v>6305.394101874338</v>
      </c>
      <c r="V105" s="359">
        <f t="shared" si="31"/>
        <v>-111.84407868289844</v>
      </c>
      <c r="X105" s="359">
        <f t="shared" si="27"/>
        <v>-924.4316148628617</v>
      </c>
      <c r="Y105" s="356">
        <f t="shared" si="34"/>
        <v>795999.3743013972</v>
      </c>
      <c r="AA105" s="357">
        <f>+Bono!J105</f>
        <v>152877.130982865</v>
      </c>
      <c r="AC105" s="378">
        <f t="shared" si="35"/>
        <v>6.833333333333333</v>
      </c>
      <c r="AD105" s="356">
        <f t="shared" si="36"/>
        <v>1177392.721577038</v>
      </c>
    </row>
    <row r="106" spans="1:30" x14ac:dyDescent="0.25">
      <c r="A106" s="356">
        <f t="shared" si="37"/>
        <v>6.916666666666667</v>
      </c>
      <c r="B106" s="356">
        <f t="shared" si="38"/>
        <v>83</v>
      </c>
      <c r="C106" s="357">
        <f t="shared" si="47"/>
        <v>6</v>
      </c>
      <c r="D106" s="357">
        <f t="shared" si="48"/>
        <v>11</v>
      </c>
      <c r="E106" s="357">
        <f t="shared" si="49"/>
        <v>35</v>
      </c>
      <c r="F106" s="356">
        <f t="shared" si="39"/>
        <v>228516.21629277585</v>
      </c>
      <c r="H106" s="356">
        <f t="shared" si="32"/>
        <v>1822.2203990003409</v>
      </c>
      <c r="I106" s="356">
        <v>0</v>
      </c>
      <c r="J106" s="356">
        <v>0</v>
      </c>
      <c r="K106" s="356">
        <f t="shared" si="40"/>
        <v>-267.19258656246035</v>
      </c>
      <c r="L106" s="356">
        <f t="shared" si="33"/>
        <v>230071.24410521373</v>
      </c>
      <c r="N106" s="356">
        <f t="shared" si="41"/>
        <v>83</v>
      </c>
      <c r="O106" s="357">
        <f t="shared" si="50"/>
        <v>6</v>
      </c>
      <c r="P106" s="357">
        <f t="shared" si="51"/>
        <v>11</v>
      </c>
      <c r="Q106" s="357">
        <f t="shared" si="52"/>
        <v>6</v>
      </c>
      <c r="R106" s="356">
        <f t="shared" si="42"/>
        <v>795999.3743013972</v>
      </c>
      <c r="S106" s="356">
        <f>IF($G$17="si",S94*(1+$G$20),S94)</f>
        <v>10000</v>
      </c>
      <c r="U106" s="356">
        <f t="shared" si="53"/>
        <v>6427.15219628791</v>
      </c>
      <c r="V106" s="359">
        <f t="shared" si="31"/>
        <v>-111.84407868289844</v>
      </c>
      <c r="X106" s="359">
        <f t="shared" si="27"/>
        <v>-942.2850316060425</v>
      </c>
      <c r="Y106" s="356">
        <f t="shared" si="34"/>
        <v>811372.3973873961</v>
      </c>
      <c r="AA106" s="357">
        <f>+Bono!J106</f>
        <v>153824.98692760838</v>
      </c>
      <c r="AC106" s="378">
        <f t="shared" si="35"/>
        <v>6.916666666666667</v>
      </c>
      <c r="AD106" s="356">
        <f t="shared" si="36"/>
        <v>1195268.6284202181</v>
      </c>
    </row>
    <row r="107" spans="1:30" x14ac:dyDescent="0.25">
      <c r="A107" s="356">
        <f t="shared" si="37"/>
        <v>7</v>
      </c>
      <c r="B107" s="356">
        <f t="shared" si="38"/>
        <v>84</v>
      </c>
      <c r="C107" s="357">
        <f t="shared" si="47"/>
        <v>6</v>
      </c>
      <c r="D107" s="357">
        <f t="shared" si="48"/>
        <v>12</v>
      </c>
      <c r="E107" s="357">
        <f t="shared" si="49"/>
        <v>35</v>
      </c>
      <c r="F107" s="356">
        <f t="shared" si="39"/>
        <v>230071.24410521373</v>
      </c>
      <c r="H107" s="356">
        <f t="shared" si="32"/>
        <v>1834.6204091475718</v>
      </c>
      <c r="I107" s="356">
        <v>0</v>
      </c>
      <c r="J107" s="360">
        <f>-SUM(F107:H107)*$J$21*1.16</f>
        <v>-2421.097225529932</v>
      </c>
      <c r="K107" s="356">
        <f t="shared" si="40"/>
        <v>-266.2023300550444</v>
      </c>
      <c r="L107" s="356">
        <f t="shared" si="33"/>
        <v>229218.56495877635</v>
      </c>
      <c r="N107" s="356">
        <f t="shared" si="41"/>
        <v>84</v>
      </c>
      <c r="O107" s="357">
        <f t="shared" si="50"/>
        <v>6</v>
      </c>
      <c r="P107" s="357">
        <f t="shared" si="51"/>
        <v>12</v>
      </c>
      <c r="Q107" s="357">
        <f t="shared" si="52"/>
        <v>6</v>
      </c>
      <c r="R107" s="356">
        <f t="shared" si="42"/>
        <v>811372.3973873961</v>
      </c>
      <c r="S107" s="356">
        <f>IF($G$4="mensual",S106,0)</f>
        <v>10000</v>
      </c>
      <c r="U107" s="356">
        <f t="shared" si="53"/>
        <v>6549.738841192444</v>
      </c>
      <c r="V107" s="359">
        <f t="shared" si="31"/>
        <v>-111.84407868289844</v>
      </c>
      <c r="X107" s="359">
        <f t="shared" ref="X107:X170" si="54">-SUM(R107:V107)*0.1%*1.16</f>
        <v>-960.2599388938905</v>
      </c>
      <c r="Y107" s="356">
        <f t="shared" si="34"/>
        <v>826850.0322110117</v>
      </c>
      <c r="AA107" s="357">
        <f>+Bono!J107</f>
        <v>153384.3168090712</v>
      </c>
      <c r="AC107" s="378">
        <f t="shared" si="35"/>
        <v>7</v>
      </c>
      <c r="AD107" s="356">
        <f t="shared" si="36"/>
        <v>1209452.9139788593</v>
      </c>
    </row>
    <row r="108" spans="1:30" x14ac:dyDescent="0.25">
      <c r="A108" s="356">
        <f t="shared" si="37"/>
        <v>7.083333333333333</v>
      </c>
      <c r="B108" s="356">
        <f t="shared" si="38"/>
        <v>85</v>
      </c>
      <c r="C108" s="357">
        <f t="shared" si="47"/>
        <v>7</v>
      </c>
      <c r="D108" s="357">
        <f t="shared" si="48"/>
        <v>1</v>
      </c>
      <c r="E108" s="357">
        <f t="shared" si="49"/>
        <v>36</v>
      </c>
      <c r="F108" s="356">
        <f t="shared" si="39"/>
        <v>229218.56495877635</v>
      </c>
      <c r="H108" s="356">
        <f t="shared" si="32"/>
        <v>1827.8210258930822</v>
      </c>
      <c r="I108" s="356">
        <v>0</v>
      </c>
      <c r="J108" s="356">
        <v>0</v>
      </c>
      <c r="K108" s="356">
        <f t="shared" si="40"/>
        <v>-268.01380774221656</v>
      </c>
      <c r="L108" s="356">
        <f t="shared" si="33"/>
        <v>230778.37217692722</v>
      </c>
      <c r="N108" s="356">
        <f t="shared" si="41"/>
        <v>85</v>
      </c>
      <c r="O108" s="357">
        <f t="shared" si="50"/>
        <v>7</v>
      </c>
      <c r="P108" s="357">
        <f t="shared" si="51"/>
        <v>1</v>
      </c>
      <c r="Q108" s="357">
        <f t="shared" si="52"/>
        <v>7</v>
      </c>
      <c r="R108" s="356">
        <f t="shared" si="42"/>
        <v>826850.0322110117</v>
      </c>
      <c r="S108" s="356">
        <f>IF($G$17="si",S96*(1+$G$20),S96)</f>
        <v>10000</v>
      </c>
      <c r="U108" s="356">
        <f t="shared" si="53"/>
        <v>6673.159674783246</v>
      </c>
      <c r="V108" s="359">
        <f>V107*(1+$G$18)</f>
        <v>-116.31784183021438</v>
      </c>
      <c r="X108" s="359">
        <f t="shared" si="54"/>
        <v>-978.351973890999</v>
      </c>
      <c r="Y108" s="356">
        <f t="shared" si="34"/>
        <v>842428.5220700738</v>
      </c>
      <c r="AA108" s="357">
        <f>+Bono!J108</f>
        <v>154335.31736476696</v>
      </c>
      <c r="AC108" s="378">
        <f t="shared" si="35"/>
        <v>7.083333333333333</v>
      </c>
      <c r="AD108" s="356">
        <f t="shared" si="36"/>
        <v>1227542.211611768</v>
      </c>
    </row>
    <row r="109" spans="1:30" x14ac:dyDescent="0.25">
      <c r="A109" s="356">
        <f t="shared" si="37"/>
        <v>7.166666666666667</v>
      </c>
      <c r="B109" s="356">
        <f t="shared" si="38"/>
        <v>86</v>
      </c>
      <c r="C109" s="357">
        <f t="shared" si="47"/>
        <v>7</v>
      </c>
      <c r="D109" s="357">
        <f t="shared" si="48"/>
        <v>2</v>
      </c>
      <c r="E109" s="357">
        <f t="shared" si="49"/>
        <v>36</v>
      </c>
      <c r="F109" s="356">
        <f t="shared" si="39"/>
        <v>230778.37217692722</v>
      </c>
      <c r="H109" s="356">
        <f t="shared" si="32"/>
        <v>1840.259147692635</v>
      </c>
      <c r="I109" s="356">
        <v>0</v>
      </c>
      <c r="J109" s="356">
        <v>0</v>
      </c>
      <c r="K109" s="356">
        <f t="shared" si="40"/>
        <v>-269.83761233655906</v>
      </c>
      <c r="L109" s="356">
        <f t="shared" si="33"/>
        <v>232348.7937122833</v>
      </c>
      <c r="N109" s="356">
        <f t="shared" si="41"/>
        <v>86</v>
      </c>
      <c r="O109" s="357">
        <f t="shared" si="50"/>
        <v>7</v>
      </c>
      <c r="P109" s="357">
        <f t="shared" si="51"/>
        <v>2</v>
      </c>
      <c r="Q109" s="357">
        <f t="shared" si="52"/>
        <v>7</v>
      </c>
      <c r="R109" s="356">
        <f t="shared" si="42"/>
        <v>842428.5220700738</v>
      </c>
      <c r="S109" s="356">
        <f>IF($G$4="mensual",S108,0)</f>
        <v>10000</v>
      </c>
      <c r="U109" s="356">
        <f t="shared" si="53"/>
        <v>6797.3847405896595</v>
      </c>
      <c r="V109" s="359">
        <f t="shared" si="31"/>
        <v>-116.31784183021438</v>
      </c>
      <c r="X109" s="359">
        <f t="shared" si="54"/>
        <v>-996.5671232038464</v>
      </c>
      <c r="Y109" s="356">
        <f t="shared" si="34"/>
        <v>858113.0218456293</v>
      </c>
      <c r="AA109" s="357">
        <f>+Bono!J109</f>
        <v>155292.21423421727</v>
      </c>
      <c r="AC109" s="378">
        <f t="shared" si="35"/>
        <v>7.166666666666667</v>
      </c>
      <c r="AD109" s="356">
        <f t="shared" si="36"/>
        <v>1245754.02979213</v>
      </c>
    </row>
    <row r="110" spans="1:30" x14ac:dyDescent="0.25">
      <c r="A110" s="356">
        <f t="shared" si="37"/>
        <v>7.25</v>
      </c>
      <c r="B110" s="356">
        <f t="shared" si="38"/>
        <v>87</v>
      </c>
      <c r="C110" s="357">
        <f t="shared" si="47"/>
        <v>7</v>
      </c>
      <c r="D110" s="357">
        <f t="shared" si="48"/>
        <v>3</v>
      </c>
      <c r="E110" s="357">
        <f t="shared" si="49"/>
        <v>36</v>
      </c>
      <c r="F110" s="356">
        <f t="shared" si="39"/>
        <v>232348.7937122833</v>
      </c>
      <c r="H110" s="356">
        <f t="shared" si="32"/>
        <v>1852.781909548139</v>
      </c>
      <c r="I110" s="356">
        <v>0</v>
      </c>
      <c r="J110" s="360">
        <f>-SUM(F110:H110)*$J$21*1.16</f>
        <v>-2445.0644494919206</v>
      </c>
      <c r="K110" s="356">
        <f t="shared" si="40"/>
        <v>-268.83755295991386</v>
      </c>
      <c r="L110" s="356">
        <f t="shared" si="33"/>
        <v>231487.67361937964</v>
      </c>
      <c r="N110" s="356">
        <f t="shared" si="41"/>
        <v>87</v>
      </c>
      <c r="O110" s="357">
        <f t="shared" si="50"/>
        <v>7</v>
      </c>
      <c r="P110" s="357">
        <f t="shared" si="51"/>
        <v>3</v>
      </c>
      <c r="Q110" s="357">
        <f t="shared" si="52"/>
        <v>7</v>
      </c>
      <c r="R110" s="356">
        <f t="shared" si="42"/>
        <v>858113.0218456293</v>
      </c>
      <c r="S110" s="356">
        <f>IF($G$4="mensual",S109,0)</f>
        <v>10000</v>
      </c>
      <c r="U110" s="356">
        <f t="shared" si="53"/>
        <v>6922.45514435705</v>
      </c>
      <c r="V110" s="359">
        <f t="shared" si="31"/>
        <v>-116.31784183021438</v>
      </c>
      <c r="X110" s="359">
        <f t="shared" si="54"/>
        <v>-1014.906224611861</v>
      </c>
      <c r="Y110" s="356">
        <f t="shared" si="34"/>
        <v>873904.2529235443</v>
      </c>
      <c r="AA110" s="357">
        <f>+Bono!J110</f>
        <v>154847.34087637524</v>
      </c>
      <c r="AC110" s="378">
        <f t="shared" si="35"/>
        <v>7.25</v>
      </c>
      <c r="AD110" s="356">
        <f t="shared" si="36"/>
        <v>1260239.267419299</v>
      </c>
    </row>
    <row r="111" spans="1:30" x14ac:dyDescent="0.25">
      <c r="A111" s="356">
        <f t="shared" si="37"/>
        <v>7.333333333333333</v>
      </c>
      <c r="B111" s="356">
        <f t="shared" si="38"/>
        <v>88</v>
      </c>
      <c r="C111" s="357">
        <f t="shared" si="47"/>
        <v>7</v>
      </c>
      <c r="D111" s="357">
        <f t="shared" si="48"/>
        <v>4</v>
      </c>
      <c r="E111" s="357">
        <f t="shared" si="49"/>
        <v>36</v>
      </c>
      <c r="F111" s="356">
        <f t="shared" si="39"/>
        <v>231487.67361937964</v>
      </c>
      <c r="H111" s="356">
        <f t="shared" si="32"/>
        <v>1845.9152170011746</v>
      </c>
      <c r="I111" s="356">
        <v>0</v>
      </c>
      <c r="J111" s="356">
        <v>0</v>
      </c>
      <c r="K111" s="356">
        <f t="shared" si="40"/>
        <v>-270.66696305020173</v>
      </c>
      <c r="L111" s="356">
        <f t="shared" si="33"/>
        <v>233062.9218733306</v>
      </c>
      <c r="N111" s="356">
        <f t="shared" si="41"/>
        <v>88</v>
      </c>
      <c r="O111" s="357">
        <f t="shared" si="50"/>
        <v>7</v>
      </c>
      <c r="P111" s="357">
        <f t="shared" si="51"/>
        <v>4</v>
      </c>
      <c r="Q111" s="357">
        <f t="shared" si="52"/>
        <v>7</v>
      </c>
      <c r="R111" s="356">
        <f t="shared" si="42"/>
        <v>873904.2529235443</v>
      </c>
      <c r="S111" s="356">
        <f>IF($G$4="mensual",S108,IF($G$4="trimestral",S108,0))</f>
        <v>10000</v>
      </c>
      <c r="U111" s="356">
        <f t="shared" si="53"/>
        <v>7048.376638517612</v>
      </c>
      <c r="V111" s="359">
        <f t="shared" si="31"/>
        <v>-116.31784183021438</v>
      </c>
      <c r="X111" s="359">
        <f t="shared" si="54"/>
        <v>-1033.3701215954686</v>
      </c>
      <c r="Y111" s="356">
        <f t="shared" si="34"/>
        <v>889802.9415986362</v>
      </c>
      <c r="AA111" s="357">
        <f>+Bono!J111</f>
        <v>155807.4123509886</v>
      </c>
      <c r="AC111" s="378">
        <f t="shared" si="35"/>
        <v>7.333333333333333</v>
      </c>
      <c r="AD111" s="356">
        <f t="shared" si="36"/>
        <v>1278673.2758229554</v>
      </c>
    </row>
    <row r="112" spans="1:30" x14ac:dyDescent="0.25">
      <c r="A112" s="356">
        <f t="shared" si="37"/>
        <v>7.416666666666667</v>
      </c>
      <c r="B112" s="356">
        <f t="shared" si="38"/>
        <v>89</v>
      </c>
      <c r="C112" s="357">
        <f t="shared" si="47"/>
        <v>7</v>
      </c>
      <c r="D112" s="357">
        <f t="shared" si="48"/>
        <v>5</v>
      </c>
      <c r="E112" s="357">
        <f t="shared" si="49"/>
        <v>36</v>
      </c>
      <c r="F112" s="356">
        <f t="shared" si="39"/>
        <v>233062.9218733306</v>
      </c>
      <c r="H112" s="356">
        <f t="shared" si="32"/>
        <v>1858.476467788565</v>
      </c>
      <c r="I112" s="356">
        <v>0</v>
      </c>
      <c r="J112" s="356">
        <v>0</v>
      </c>
      <c r="K112" s="356">
        <f t="shared" si="40"/>
        <v>-272.5088220756982</v>
      </c>
      <c r="L112" s="356">
        <f t="shared" si="33"/>
        <v>234648.88951904347</v>
      </c>
      <c r="N112" s="356">
        <f t="shared" si="41"/>
        <v>89</v>
      </c>
      <c r="O112" s="357">
        <f t="shared" si="50"/>
        <v>7</v>
      </c>
      <c r="P112" s="357">
        <f t="shared" si="51"/>
        <v>5</v>
      </c>
      <c r="Q112" s="357">
        <f t="shared" si="52"/>
        <v>7</v>
      </c>
      <c r="R112" s="356">
        <f t="shared" si="42"/>
        <v>889802.9415986362</v>
      </c>
      <c r="S112" s="356">
        <f>IF($G$4="mensual",S111,0)</f>
        <v>10000</v>
      </c>
      <c r="U112" s="356">
        <f t="shared" si="53"/>
        <v>7175.155014648218</v>
      </c>
      <c r="V112" s="359">
        <f t="shared" si="31"/>
        <v>-116.31784183021438</v>
      </c>
      <c r="X112" s="359">
        <f t="shared" si="54"/>
        <v>-1051.959663374887</v>
      </c>
      <c r="Y112" s="356">
        <f t="shared" si="34"/>
        <v>905809.8191080793</v>
      </c>
      <c r="AA112" s="357">
        <f>+Bono!J112</f>
        <v>156773.43638010597</v>
      </c>
      <c r="AC112" s="378">
        <f t="shared" si="35"/>
        <v>7.416666666666667</v>
      </c>
      <c r="AD112" s="356">
        <f t="shared" si="36"/>
        <v>1297232.1450072287</v>
      </c>
    </row>
    <row r="113" spans="1:30" x14ac:dyDescent="0.25">
      <c r="A113" s="356">
        <f t="shared" si="37"/>
        <v>7.5</v>
      </c>
      <c r="B113" s="356">
        <f t="shared" si="38"/>
        <v>90</v>
      </c>
      <c r="C113" s="357">
        <f t="shared" si="47"/>
        <v>7</v>
      </c>
      <c r="D113" s="357">
        <f t="shared" si="48"/>
        <v>6</v>
      </c>
      <c r="E113" s="357">
        <f t="shared" si="49"/>
        <v>36</v>
      </c>
      <c r="F113" s="356">
        <f t="shared" si="39"/>
        <v>234648.88951904347</v>
      </c>
      <c r="H113" s="356">
        <f t="shared" si="32"/>
        <v>1871.1231965111774</v>
      </c>
      <c r="I113" s="356">
        <v>0</v>
      </c>
      <c r="J113" s="360">
        <f>-SUM(F113:H113)*$J$21*1.16</f>
        <v>-2469.2689327503904</v>
      </c>
      <c r="K113" s="356">
        <f t="shared" si="40"/>
        <v>-271.4988627880529</v>
      </c>
      <c r="L113" s="356">
        <f t="shared" si="33"/>
        <v>233779.2449200162</v>
      </c>
      <c r="N113" s="356">
        <f t="shared" si="41"/>
        <v>90</v>
      </c>
      <c r="O113" s="357">
        <f t="shared" si="50"/>
        <v>7</v>
      </c>
      <c r="P113" s="357">
        <f t="shared" si="51"/>
        <v>6</v>
      </c>
      <c r="Q113" s="357">
        <f t="shared" si="52"/>
        <v>7</v>
      </c>
      <c r="R113" s="356">
        <f t="shared" si="42"/>
        <v>905809.8191080793</v>
      </c>
      <c r="S113" s="356">
        <f>IF($G$4="mensual",S112,0)</f>
        <v>10000</v>
      </c>
      <c r="U113" s="356">
        <f t="shared" si="53"/>
        <v>7302.796103736779</v>
      </c>
      <c r="V113" s="359">
        <f t="shared" si="31"/>
        <v>-116.31784183021438</v>
      </c>
      <c r="X113" s="359">
        <f t="shared" si="54"/>
        <v>-1070.6757049491835</v>
      </c>
      <c r="Y113" s="356">
        <f t="shared" si="34"/>
        <v>921925.6216650367</v>
      </c>
      <c r="AA113" s="357">
        <f>+Bono!J113</f>
        <v>156324.31969124437</v>
      </c>
      <c r="AC113" s="378">
        <f t="shared" si="35"/>
        <v>7.5</v>
      </c>
      <c r="AD113" s="356">
        <f t="shared" si="36"/>
        <v>1312029.1862762973</v>
      </c>
    </row>
    <row r="114" spans="1:30" x14ac:dyDescent="0.25">
      <c r="A114" s="356">
        <f t="shared" si="37"/>
        <v>7.583333333333333</v>
      </c>
      <c r="B114" s="356">
        <f t="shared" si="38"/>
        <v>91</v>
      </c>
      <c r="C114" s="357">
        <f t="shared" si="47"/>
        <v>7</v>
      </c>
      <c r="D114" s="357">
        <f t="shared" si="48"/>
        <v>7</v>
      </c>
      <c r="E114" s="357">
        <f t="shared" si="49"/>
        <v>36</v>
      </c>
      <c r="F114" s="356">
        <f t="shared" si="39"/>
        <v>233779.2449200162</v>
      </c>
      <c r="H114" s="356">
        <f t="shared" si="32"/>
        <v>1864.1885283552963</v>
      </c>
      <c r="I114" s="356">
        <v>0</v>
      </c>
      <c r="J114" s="356">
        <v>0</v>
      </c>
      <c r="K114" s="356">
        <f t="shared" si="40"/>
        <v>-273.346382800111</v>
      </c>
      <c r="L114" s="356">
        <f t="shared" si="33"/>
        <v>235370.0870655714</v>
      </c>
      <c r="N114" s="356">
        <f t="shared" si="41"/>
        <v>91</v>
      </c>
      <c r="O114" s="357">
        <f t="shared" si="50"/>
        <v>7</v>
      </c>
      <c r="P114" s="357">
        <f t="shared" si="51"/>
        <v>7</v>
      </c>
      <c r="Q114" s="357">
        <f t="shared" si="52"/>
        <v>7</v>
      </c>
      <c r="R114" s="356">
        <f t="shared" si="42"/>
        <v>921925.6216650367</v>
      </c>
      <c r="S114" s="356">
        <f>+IF($G$4="mensual",S108,IF($G$4="trimestral",S108,IF($G$4="semestral",S108,0)))</f>
        <v>10000</v>
      </c>
      <c r="U114" s="356">
        <f t="shared" si="53"/>
        <v>7431.305776450443</v>
      </c>
      <c r="V114" s="359">
        <f t="shared" si="31"/>
        <v>-116.31784183021438</v>
      </c>
      <c r="X114" s="359">
        <f t="shared" si="54"/>
        <v>-1089.5191071356019</v>
      </c>
      <c r="Y114" s="356">
        <f t="shared" si="34"/>
        <v>938151.0904925213</v>
      </c>
      <c r="AA114" s="357">
        <f>+Bono!J114</f>
        <v>157293.54860582884</v>
      </c>
      <c r="AC114" s="378">
        <f t="shared" si="35"/>
        <v>7.583333333333333</v>
      </c>
      <c r="AD114" s="356">
        <f t="shared" si="36"/>
        <v>1330814.7261639216</v>
      </c>
    </row>
    <row r="115" spans="1:30" x14ac:dyDescent="0.25">
      <c r="A115" s="356">
        <f t="shared" si="37"/>
        <v>7.666666666666667</v>
      </c>
      <c r="B115" s="356">
        <f t="shared" si="38"/>
        <v>92</v>
      </c>
      <c r="C115" s="357">
        <f t="shared" si="47"/>
        <v>7</v>
      </c>
      <c r="D115" s="357">
        <f t="shared" si="48"/>
        <v>8</v>
      </c>
      <c r="E115" s="357">
        <f t="shared" si="49"/>
        <v>36</v>
      </c>
      <c r="F115" s="356">
        <f t="shared" si="39"/>
        <v>235370.0870655714</v>
      </c>
      <c r="H115" s="356">
        <f t="shared" si="32"/>
        <v>1876.874127024172</v>
      </c>
      <c r="I115" s="356">
        <v>0</v>
      </c>
      <c r="J115" s="356">
        <v>0</v>
      </c>
      <c r="K115" s="356">
        <f t="shared" si="40"/>
        <v>-275.2064749834108</v>
      </c>
      <c r="L115" s="356">
        <f t="shared" si="33"/>
        <v>236971.75471761214</v>
      </c>
      <c r="N115" s="356">
        <f t="shared" si="41"/>
        <v>92</v>
      </c>
      <c r="O115" s="357">
        <f t="shared" si="50"/>
        <v>7</v>
      </c>
      <c r="P115" s="357">
        <f t="shared" si="51"/>
        <v>8</v>
      </c>
      <c r="Q115" s="357">
        <f t="shared" si="52"/>
        <v>7</v>
      </c>
      <c r="R115" s="356">
        <f t="shared" si="42"/>
        <v>938151.0904925213</v>
      </c>
      <c r="S115" s="356">
        <f>IF($G$4="mensual",S114,0)</f>
        <v>10000</v>
      </c>
      <c r="U115" s="356">
        <f t="shared" si="53"/>
        <v>7560.689943405606</v>
      </c>
      <c r="V115" s="359">
        <f t="shared" si="31"/>
        <v>-116.31784183021438</v>
      </c>
      <c r="X115" s="359">
        <f t="shared" si="54"/>
        <v>-1108.490736609152</v>
      </c>
      <c r="Y115" s="356">
        <f t="shared" si="34"/>
        <v>954486.9718574875</v>
      </c>
      <c r="AA115" s="357">
        <f>+Bono!J115</f>
        <v>158268.78685210733</v>
      </c>
      <c r="AC115" s="378">
        <f t="shared" si="35"/>
        <v>7.666666666666667</v>
      </c>
      <c r="AD115" s="356">
        <f t="shared" si="36"/>
        <v>1349727.513427207</v>
      </c>
    </row>
    <row r="116" spans="1:30" x14ac:dyDescent="0.25">
      <c r="A116" s="356">
        <f t="shared" si="37"/>
        <v>7.75</v>
      </c>
      <c r="B116" s="356">
        <f t="shared" si="38"/>
        <v>93</v>
      </c>
      <c r="C116" s="357">
        <f t="shared" si="47"/>
        <v>7</v>
      </c>
      <c r="D116" s="357">
        <f t="shared" si="48"/>
        <v>9</v>
      </c>
      <c r="E116" s="357">
        <f t="shared" si="49"/>
        <v>36</v>
      </c>
      <c r="F116" s="356">
        <f t="shared" si="39"/>
        <v>236971.75471761214</v>
      </c>
      <c r="H116" s="356">
        <f t="shared" si="32"/>
        <v>1889.6460498019774</v>
      </c>
      <c r="I116" s="356">
        <v>0</v>
      </c>
      <c r="J116" s="360">
        <f>-SUM(F116:H116)*$J$21*1.16</f>
        <v>-2493.713024011804</v>
      </c>
      <c r="K116" s="356">
        <f t="shared" si="40"/>
        <v>-274.18651778234664</v>
      </c>
      <c r="L116" s="356">
        <f t="shared" si="33"/>
        <v>236093.50122561998</v>
      </c>
      <c r="N116" s="356">
        <f t="shared" si="41"/>
        <v>93</v>
      </c>
      <c r="O116" s="357">
        <f t="shared" si="50"/>
        <v>7</v>
      </c>
      <c r="P116" s="357">
        <f t="shared" si="51"/>
        <v>9</v>
      </c>
      <c r="Q116" s="357">
        <f t="shared" si="52"/>
        <v>7</v>
      </c>
      <c r="R116" s="356">
        <f t="shared" si="42"/>
        <v>954486.9718574875</v>
      </c>
      <c r="S116" s="356">
        <f>IF($G$4="mensual",S115,0)</f>
        <v>10000</v>
      </c>
      <c r="U116" s="356">
        <f t="shared" si="53"/>
        <v>7690.954555439758</v>
      </c>
      <c r="V116" s="359">
        <f t="shared" si="31"/>
        <v>-116.31784183021438</v>
      </c>
      <c r="X116" s="359">
        <f t="shared" si="54"/>
        <v>-1127.5914659424725</v>
      </c>
      <c r="Y116" s="356">
        <f t="shared" si="34"/>
        <v>970934.0171051546</v>
      </c>
      <c r="AA116" s="357">
        <f>+Bono!J116</f>
        <v>157815.38635810514</v>
      </c>
      <c r="AC116" s="378">
        <f t="shared" si="35"/>
        <v>7.75</v>
      </c>
      <c r="AD116" s="356">
        <f t="shared" si="36"/>
        <v>1364842.9046888798</v>
      </c>
    </row>
    <row r="117" spans="1:30" x14ac:dyDescent="0.25">
      <c r="A117" s="356">
        <f t="shared" si="37"/>
        <v>7.833333333333333</v>
      </c>
      <c r="B117" s="356">
        <f t="shared" si="38"/>
        <v>94</v>
      </c>
      <c r="C117" s="357">
        <f t="shared" si="47"/>
        <v>7</v>
      </c>
      <c r="D117" s="357">
        <f t="shared" si="48"/>
        <v>10</v>
      </c>
      <c r="E117" s="357">
        <f t="shared" si="49"/>
        <v>36</v>
      </c>
      <c r="F117" s="356">
        <f t="shared" si="39"/>
        <v>236093.50122561998</v>
      </c>
      <c r="H117" s="356">
        <f t="shared" si="32"/>
        <v>1882.6427331246568</v>
      </c>
      <c r="I117" s="356">
        <v>0</v>
      </c>
      <c r="J117" s="356">
        <v>0</v>
      </c>
      <c r="K117" s="356">
        <f t="shared" si="40"/>
        <v>-276.0523269921438</v>
      </c>
      <c r="L117" s="356">
        <f t="shared" si="33"/>
        <v>237700.0916317525</v>
      </c>
      <c r="N117" s="356">
        <f t="shared" si="41"/>
        <v>94</v>
      </c>
      <c r="O117" s="357">
        <f t="shared" si="50"/>
        <v>7</v>
      </c>
      <c r="P117" s="357">
        <f t="shared" si="51"/>
        <v>10</v>
      </c>
      <c r="Q117" s="357">
        <f t="shared" si="52"/>
        <v>7</v>
      </c>
      <c r="R117" s="356">
        <f t="shared" si="42"/>
        <v>970934.0171051546</v>
      </c>
      <c r="S117" s="356">
        <f>IF($G$4="mensual",S108,IF($G$4="trimestral",S108,0))</f>
        <v>10000</v>
      </c>
      <c r="U117" s="356">
        <f t="shared" si="53"/>
        <v>7822.105603885189</v>
      </c>
      <c r="V117" s="359">
        <f t="shared" si="31"/>
        <v>-116.31784183021438</v>
      </c>
      <c r="X117" s="359">
        <f t="shared" si="54"/>
        <v>-1146.822173645963</v>
      </c>
      <c r="Y117" s="356">
        <f t="shared" si="34"/>
        <v>987492.9826935636</v>
      </c>
      <c r="AA117" s="357">
        <f>+Bono!J117</f>
        <v>158793.8600589772</v>
      </c>
      <c r="AC117" s="378">
        <f t="shared" si="35"/>
        <v>7.833333333333333</v>
      </c>
      <c r="AD117" s="356">
        <f t="shared" si="36"/>
        <v>1383986.9343842932</v>
      </c>
    </row>
    <row r="118" spans="1:30" x14ac:dyDescent="0.25">
      <c r="A118" s="356">
        <f t="shared" si="37"/>
        <v>7.916666666666667</v>
      </c>
      <c r="B118" s="356">
        <f t="shared" si="38"/>
        <v>95</v>
      </c>
      <c r="C118" s="357">
        <f t="shared" si="47"/>
        <v>7</v>
      </c>
      <c r="D118" s="357">
        <f t="shared" si="48"/>
        <v>11</v>
      </c>
      <c r="E118" s="357">
        <f t="shared" si="49"/>
        <v>36</v>
      </c>
      <c r="F118" s="356">
        <f t="shared" si="39"/>
        <v>237700.0916317525</v>
      </c>
      <c r="H118" s="356">
        <f t="shared" si="32"/>
        <v>1895.4539106348868</v>
      </c>
      <c r="I118" s="356">
        <v>0</v>
      </c>
      <c r="J118" s="356">
        <v>0</v>
      </c>
      <c r="K118" s="356">
        <f t="shared" si="40"/>
        <v>-277.93083282916933</v>
      </c>
      <c r="L118" s="356">
        <f t="shared" si="33"/>
        <v>239317.6147095582</v>
      </c>
      <c r="N118" s="356">
        <f t="shared" si="41"/>
        <v>95</v>
      </c>
      <c r="O118" s="357">
        <f t="shared" si="50"/>
        <v>7</v>
      </c>
      <c r="P118" s="357">
        <f t="shared" si="51"/>
        <v>11</v>
      </c>
      <c r="Q118" s="357">
        <f t="shared" si="52"/>
        <v>7</v>
      </c>
      <c r="R118" s="356">
        <f t="shared" si="42"/>
        <v>987492.9826935636</v>
      </c>
      <c r="S118" s="356">
        <f>IF($G$17="si",S106*(1+$G$20),S106)</f>
        <v>10000</v>
      </c>
      <c r="U118" s="356">
        <f t="shared" si="53"/>
        <v>7954.149120844548</v>
      </c>
      <c r="V118" s="359">
        <f t="shared" si="31"/>
        <v>-116.31784183021438</v>
      </c>
      <c r="X118" s="359">
        <f t="shared" si="54"/>
        <v>-1166.1837442081903</v>
      </c>
      <c r="Y118" s="356">
        <f t="shared" si="34"/>
        <v>1004164.6302283697</v>
      </c>
      <c r="AA118" s="357">
        <f>+Bono!J118</f>
        <v>159778.40041029057</v>
      </c>
      <c r="AC118" s="378">
        <f t="shared" si="35"/>
        <v>7.916666666666667</v>
      </c>
      <c r="AD118" s="356">
        <f t="shared" si="36"/>
        <v>1403260.6453482185</v>
      </c>
    </row>
    <row r="119" spans="1:30" x14ac:dyDescent="0.25">
      <c r="A119" s="356">
        <f t="shared" si="37"/>
        <v>8</v>
      </c>
      <c r="B119" s="356">
        <f t="shared" si="38"/>
        <v>96</v>
      </c>
      <c r="C119" s="357">
        <f t="shared" si="47"/>
        <v>7</v>
      </c>
      <c r="D119" s="357">
        <f t="shared" si="48"/>
        <v>12</v>
      </c>
      <c r="E119" s="357">
        <f t="shared" si="49"/>
        <v>36</v>
      </c>
      <c r="F119" s="356">
        <f t="shared" si="39"/>
        <v>239317.6147095582</v>
      </c>
      <c r="H119" s="356">
        <f t="shared" si="32"/>
        <v>1908.3522668043022</v>
      </c>
      <c r="I119" s="356">
        <v>0</v>
      </c>
      <c r="J119" s="360">
        <f>-SUM(F119:H119)*$J$21*1.16</f>
        <v>-2518.3990952332247</v>
      </c>
      <c r="K119" s="356">
        <f t="shared" si="40"/>
        <v>-276.90077874210994</v>
      </c>
      <c r="L119" s="356">
        <f t="shared" si="33"/>
        <v>238430.66710238717</v>
      </c>
      <c r="N119" s="356">
        <f t="shared" si="41"/>
        <v>96</v>
      </c>
      <c r="O119" s="357">
        <f t="shared" si="50"/>
        <v>7</v>
      </c>
      <c r="P119" s="357">
        <f t="shared" si="51"/>
        <v>12</v>
      </c>
      <c r="Q119" s="357">
        <f t="shared" si="52"/>
        <v>7</v>
      </c>
      <c r="R119" s="356">
        <f t="shared" si="42"/>
        <v>1004164.6302283697</v>
      </c>
      <c r="S119" s="356">
        <f>IF($G$4="mensual",S118,0)</f>
        <v>10000</v>
      </c>
      <c r="U119" s="356">
        <f t="shared" si="53"/>
        <v>8087.09117946828</v>
      </c>
      <c r="V119" s="359">
        <f t="shared" si="31"/>
        <v>-116.31784183021438</v>
      </c>
      <c r="X119" s="359">
        <f t="shared" si="54"/>
        <v>-1185.677068136569</v>
      </c>
      <c r="Y119" s="356">
        <f t="shared" si="34"/>
        <v>1020949.7264978713</v>
      </c>
      <c r="AA119" s="357">
        <f>+Bono!J119</f>
        <v>159320.67525097285</v>
      </c>
      <c r="AC119" s="378">
        <f t="shared" si="35"/>
        <v>8</v>
      </c>
      <c r="AD119" s="356">
        <f t="shared" si="36"/>
        <v>1418701.0688512314</v>
      </c>
    </row>
    <row r="120" spans="1:30" x14ac:dyDescent="0.25">
      <c r="A120" s="356">
        <f t="shared" si="37"/>
        <v>8.083333333333334</v>
      </c>
      <c r="B120" s="356">
        <f t="shared" si="38"/>
        <v>97</v>
      </c>
      <c r="C120" s="357">
        <f t="shared" si="47"/>
        <v>8</v>
      </c>
      <c r="D120" s="357">
        <f t="shared" si="48"/>
        <v>1</v>
      </c>
      <c r="E120" s="357">
        <f t="shared" si="49"/>
        <v>37</v>
      </c>
      <c r="F120" s="356">
        <f t="shared" si="39"/>
        <v>238430.66710238717</v>
      </c>
      <c r="H120" s="356">
        <f t="shared" si="32"/>
        <v>1901.2796220316402</v>
      </c>
      <c r="I120" s="356">
        <v>0</v>
      </c>
      <c r="J120" s="356">
        <v>0</v>
      </c>
      <c r="K120" s="356">
        <f t="shared" si="40"/>
        <v>-278.7850582003258</v>
      </c>
      <c r="L120" s="356">
        <f t="shared" si="33"/>
        <v>240053.16166621848</v>
      </c>
      <c r="N120" s="356">
        <f t="shared" si="41"/>
        <v>97</v>
      </c>
      <c r="O120" s="357">
        <f t="shared" si="50"/>
        <v>8</v>
      </c>
      <c r="P120" s="357">
        <f t="shared" si="51"/>
        <v>1</v>
      </c>
      <c r="Q120" s="357">
        <f t="shared" si="52"/>
        <v>8</v>
      </c>
      <c r="R120" s="356">
        <f t="shared" si="42"/>
        <v>1020949.7264978713</v>
      </c>
      <c r="S120" s="356">
        <f>IF($G$17="si",S108*(1+$G$20),S108)</f>
        <v>10000</v>
      </c>
      <c r="U120" s="356">
        <f t="shared" si="53"/>
        <v>8220.937894233954</v>
      </c>
      <c r="V120" s="359">
        <f>V119*(1+$G$18)</f>
        <v>-120.97055550342296</v>
      </c>
      <c r="X120" s="359">
        <f t="shared" si="54"/>
        <v>-1205.2976448504583</v>
      </c>
      <c r="Y120" s="356">
        <f t="shared" si="34"/>
        <v>1037844.3961917515</v>
      </c>
      <c r="AA120" s="357">
        <f>+Bono!J120</f>
        <v>160308.48191758338</v>
      </c>
      <c r="AC120" s="378">
        <f t="shared" si="35"/>
        <v>8.083333333333334</v>
      </c>
      <c r="AD120" s="356">
        <f t="shared" si="36"/>
        <v>1438206.0397755534</v>
      </c>
    </row>
    <row r="121" spans="1:30" x14ac:dyDescent="0.25">
      <c r="A121" s="356">
        <f t="shared" si="37"/>
        <v>8.166666666666666</v>
      </c>
      <c r="B121" s="356">
        <f t="shared" si="38"/>
        <v>98</v>
      </c>
      <c r="C121" s="357">
        <f t="shared" si="47"/>
        <v>8</v>
      </c>
      <c r="D121" s="357">
        <f t="shared" si="48"/>
        <v>2</v>
      </c>
      <c r="E121" s="357">
        <f t="shared" si="49"/>
        <v>37</v>
      </c>
      <c r="F121" s="356">
        <f t="shared" si="39"/>
        <v>240053.16166621848</v>
      </c>
      <c r="H121" s="356">
        <f t="shared" si="32"/>
        <v>1914.217621528764</v>
      </c>
      <c r="I121" s="356">
        <v>0</v>
      </c>
      <c r="J121" s="356">
        <v>0</v>
      </c>
      <c r="K121" s="356">
        <f t="shared" si="40"/>
        <v>-280.6821599737868</v>
      </c>
      <c r="L121" s="356">
        <f t="shared" si="33"/>
        <v>241686.69712777348</v>
      </c>
      <c r="N121" s="356">
        <f t="shared" si="41"/>
        <v>98</v>
      </c>
      <c r="O121" s="357">
        <f t="shared" si="50"/>
        <v>8</v>
      </c>
      <c r="P121" s="357">
        <f t="shared" si="51"/>
        <v>2</v>
      </c>
      <c r="Q121" s="357">
        <f t="shared" si="52"/>
        <v>8</v>
      </c>
      <c r="R121" s="356">
        <f t="shared" si="42"/>
        <v>1037844.3961917515</v>
      </c>
      <c r="S121" s="356">
        <f>IF($G$4="mensual",S120,0)</f>
        <v>10000</v>
      </c>
      <c r="U121" s="356">
        <f t="shared" si="53"/>
        <v>8355.658362872899</v>
      </c>
      <c r="V121" s="359">
        <f t="shared" si="31"/>
        <v>-120.97055550342296</v>
      </c>
      <c r="X121" s="359">
        <f t="shared" si="54"/>
        <v>-1225.0517374389806</v>
      </c>
      <c r="Y121" s="356">
        <f t="shared" si="34"/>
        <v>1054854.0322616822</v>
      </c>
      <c r="AA121" s="357">
        <f>+Bono!J121</f>
        <v>161302.4131001054</v>
      </c>
      <c r="AC121" s="378">
        <f t="shared" si="35"/>
        <v>8.166666666666666</v>
      </c>
      <c r="AD121" s="356">
        <f t="shared" si="36"/>
        <v>1457843.142489561</v>
      </c>
    </row>
    <row r="122" spans="1:30" x14ac:dyDescent="0.25">
      <c r="A122" s="356">
        <f t="shared" si="37"/>
        <v>8.25</v>
      </c>
      <c r="B122" s="356">
        <f t="shared" si="38"/>
        <v>99</v>
      </c>
      <c r="C122" s="357">
        <f t="shared" si="47"/>
        <v>8</v>
      </c>
      <c r="D122" s="357">
        <f t="shared" si="48"/>
        <v>3</v>
      </c>
      <c r="E122" s="357">
        <f t="shared" si="49"/>
        <v>37</v>
      </c>
      <c r="F122" s="356">
        <f t="shared" si="39"/>
        <v>241686.69712777348</v>
      </c>
      <c r="H122" s="356">
        <f t="shared" si="32"/>
        <v>1927.2436626947979</v>
      </c>
      <c r="I122" s="356">
        <v>0</v>
      </c>
      <c r="J122" s="360">
        <f>-SUM(F122:H122)*$J$21*1.16</f>
        <v>-2543.329541852489</v>
      </c>
      <c r="K122" s="356">
        <f t="shared" si="40"/>
        <v>-279.6419090483943</v>
      </c>
      <c r="L122" s="356">
        <f t="shared" si="33"/>
        <v>240790.96933956738</v>
      </c>
      <c r="N122" s="356">
        <f t="shared" si="41"/>
        <v>99</v>
      </c>
      <c r="O122" s="357">
        <f t="shared" si="50"/>
        <v>8</v>
      </c>
      <c r="P122" s="357">
        <f t="shared" si="51"/>
        <v>3</v>
      </c>
      <c r="Q122" s="357">
        <f t="shared" si="52"/>
        <v>8</v>
      </c>
      <c r="R122" s="356">
        <f t="shared" si="42"/>
        <v>1054854.0322616822</v>
      </c>
      <c r="S122" s="356">
        <f>IF($G$4="mensual",S121,0)</f>
        <v>10000</v>
      </c>
      <c r="U122" s="356">
        <f t="shared" si="53"/>
        <v>8491.295589539073</v>
      </c>
      <c r="V122" s="359">
        <f t="shared" si="31"/>
        <v>-120.97055550342296</v>
      </c>
      <c r="X122" s="359">
        <f t="shared" si="54"/>
        <v>-1244.9402544630327</v>
      </c>
      <c r="Y122" s="356">
        <f t="shared" si="34"/>
        <v>1071979.4170412547</v>
      </c>
      <c r="AA122" s="357">
        <f>+Bono!J122</f>
        <v>160840.32202556098</v>
      </c>
      <c r="AC122" s="378">
        <f t="shared" si="35"/>
        <v>8.25</v>
      </c>
      <c r="AD122" s="356">
        <f t="shared" si="36"/>
        <v>1473610.7084063832</v>
      </c>
    </row>
    <row r="123" spans="1:30" x14ac:dyDescent="0.25">
      <c r="A123" s="356">
        <f t="shared" si="37"/>
        <v>8.333333333333334</v>
      </c>
      <c r="B123" s="356">
        <f t="shared" si="38"/>
        <v>100</v>
      </c>
      <c r="C123" s="357">
        <f t="shared" si="47"/>
        <v>8</v>
      </c>
      <c r="D123" s="357">
        <f t="shared" si="48"/>
        <v>4</v>
      </c>
      <c r="E123" s="357">
        <f t="shared" si="49"/>
        <v>37</v>
      </c>
      <c r="F123" s="356">
        <f t="shared" si="39"/>
        <v>240790.96933956738</v>
      </c>
      <c r="H123" s="356">
        <f t="shared" si="32"/>
        <v>1920.101003525571</v>
      </c>
      <c r="I123" s="356">
        <v>0</v>
      </c>
      <c r="J123" s="356">
        <v>0</v>
      </c>
      <c r="K123" s="356">
        <f t="shared" si="40"/>
        <v>-281.5448415979878</v>
      </c>
      <c r="L123" s="356">
        <f t="shared" si="33"/>
        <v>242429.52550149497</v>
      </c>
      <c r="N123" s="356">
        <f t="shared" si="41"/>
        <v>100</v>
      </c>
      <c r="O123" s="357">
        <f t="shared" si="50"/>
        <v>8</v>
      </c>
      <c r="P123" s="357">
        <f t="shared" si="51"/>
        <v>4</v>
      </c>
      <c r="Q123" s="357">
        <f t="shared" si="52"/>
        <v>8</v>
      </c>
      <c r="R123" s="356">
        <f t="shared" si="42"/>
        <v>1071979.4170412547</v>
      </c>
      <c r="S123" s="356">
        <f>IF($G$4="mensual",S120,IF($G$4="trimestral",S120,0))</f>
        <v>10000</v>
      </c>
      <c r="U123" s="356">
        <f t="shared" si="53"/>
        <v>8627.855812670396</v>
      </c>
      <c r="V123" s="359">
        <f t="shared" si="31"/>
        <v>-120.97055550342296</v>
      </c>
      <c r="X123" s="359">
        <f t="shared" si="54"/>
        <v>-1264.9641106661693</v>
      </c>
      <c r="Y123" s="356">
        <f t="shared" si="34"/>
        <v>1089221.3381877556</v>
      </c>
      <c r="AA123" s="357">
        <f>+Bono!J123</f>
        <v>161837.55067844206</v>
      </c>
      <c r="AC123" s="378">
        <f t="shared" si="35"/>
        <v>8.333333333333334</v>
      </c>
      <c r="AD123" s="356">
        <f t="shared" si="36"/>
        <v>1493488.4143676925</v>
      </c>
    </row>
    <row r="124" spans="1:30" x14ac:dyDescent="0.25">
      <c r="A124" s="356">
        <f t="shared" si="37"/>
        <v>8.416666666666666</v>
      </c>
      <c r="B124" s="356">
        <f t="shared" si="38"/>
        <v>101</v>
      </c>
      <c r="C124" s="357">
        <f t="shared" si="47"/>
        <v>8</v>
      </c>
      <c r="D124" s="357">
        <f t="shared" si="48"/>
        <v>5</v>
      </c>
      <c r="E124" s="357">
        <f t="shared" si="49"/>
        <v>37</v>
      </c>
      <c r="F124" s="356">
        <f t="shared" si="39"/>
        <v>242429.52550149497</v>
      </c>
      <c r="H124" s="356">
        <f t="shared" si="32"/>
        <v>1933.167080461427</v>
      </c>
      <c r="I124" s="356">
        <v>0</v>
      </c>
      <c r="J124" s="356">
        <v>0</v>
      </c>
      <c r="K124" s="356">
        <f t="shared" si="40"/>
        <v>-283.4607233950694</v>
      </c>
      <c r="L124" s="356">
        <f t="shared" si="33"/>
        <v>244079.2318585613</v>
      </c>
      <c r="N124" s="356">
        <f t="shared" si="41"/>
        <v>101</v>
      </c>
      <c r="O124" s="357">
        <f t="shared" si="50"/>
        <v>8</v>
      </c>
      <c r="P124" s="357">
        <f t="shared" si="51"/>
        <v>5</v>
      </c>
      <c r="Q124" s="357">
        <f t="shared" si="52"/>
        <v>8</v>
      </c>
      <c r="R124" s="356">
        <f t="shared" si="42"/>
        <v>1089221.3381877556</v>
      </c>
      <c r="S124" s="356">
        <f>IF($G$4="mensual",S123,0)</f>
        <v>10000</v>
      </c>
      <c r="U124" s="356">
        <f t="shared" si="53"/>
        <v>8765.345313156678</v>
      </c>
      <c r="V124" s="359">
        <f t="shared" si="31"/>
        <v>-120.97055550342296</v>
      </c>
      <c r="X124" s="359">
        <f t="shared" si="54"/>
        <v>-1285.1242270166742</v>
      </c>
      <c r="Y124" s="356">
        <f t="shared" si="34"/>
        <v>1106580.5887183922</v>
      </c>
      <c r="AA124" s="357">
        <f>+Bono!J124</f>
        <v>162840.96226464238</v>
      </c>
      <c r="AC124" s="378">
        <f t="shared" si="35"/>
        <v>8.416666666666666</v>
      </c>
      <c r="AD124" s="356">
        <f t="shared" si="36"/>
        <v>1513500.7828415958</v>
      </c>
    </row>
    <row r="125" spans="1:30" x14ac:dyDescent="0.25">
      <c r="A125" s="356">
        <f t="shared" si="37"/>
        <v>8.5</v>
      </c>
      <c r="B125" s="356">
        <f t="shared" si="38"/>
        <v>102</v>
      </c>
      <c r="C125" s="357">
        <f t="shared" si="47"/>
        <v>8</v>
      </c>
      <c r="D125" s="357">
        <f t="shared" si="48"/>
        <v>6</v>
      </c>
      <c r="E125" s="357">
        <f t="shared" si="49"/>
        <v>37</v>
      </c>
      <c r="F125" s="356">
        <f t="shared" si="39"/>
        <v>244079.2318585613</v>
      </c>
      <c r="H125" s="356">
        <f t="shared" si="32"/>
        <v>1946.3220706191294</v>
      </c>
      <c r="I125" s="356">
        <v>0</v>
      </c>
      <c r="J125" s="360">
        <f>-SUM(F125:H125)*$J$21*1.16</f>
        <v>-2568.506783020644</v>
      </c>
      <c r="K125" s="356">
        <f t="shared" si="40"/>
        <v>-282.41017468954533</v>
      </c>
      <c r="L125" s="356">
        <f t="shared" si="33"/>
        <v>243174.63697147023</v>
      </c>
      <c r="N125" s="356">
        <f t="shared" si="41"/>
        <v>102</v>
      </c>
      <c r="O125" s="357">
        <f t="shared" si="50"/>
        <v>8</v>
      </c>
      <c r="P125" s="357">
        <f t="shared" si="51"/>
        <v>6</v>
      </c>
      <c r="Q125" s="357">
        <f t="shared" si="52"/>
        <v>8</v>
      </c>
      <c r="R125" s="356">
        <f t="shared" si="42"/>
        <v>1106580.5887183922</v>
      </c>
      <c r="S125" s="356">
        <f>IF($G$4="mensual",S124,0)</f>
        <v>10000</v>
      </c>
      <c r="U125" s="356">
        <f t="shared" si="53"/>
        <v>8903.770414628498</v>
      </c>
      <c r="V125" s="359">
        <f t="shared" ref="V125:V188" si="55">V124</f>
        <v>-120.97055550342296</v>
      </c>
      <c r="X125" s="359">
        <f t="shared" si="54"/>
        <v>-1305.42153074992</v>
      </c>
      <c r="Y125" s="356">
        <f t="shared" si="34"/>
        <v>1124057.9670467675</v>
      </c>
      <c r="AA125" s="357">
        <f>+Bono!J125</f>
        <v>162374.46363150654</v>
      </c>
      <c r="AC125" s="378">
        <f t="shared" si="35"/>
        <v>8.5</v>
      </c>
      <c r="AD125" s="356">
        <f t="shared" si="36"/>
        <v>1529607.0676497442</v>
      </c>
    </row>
    <row r="126" spans="1:30" x14ac:dyDescent="0.25">
      <c r="A126" s="356">
        <f t="shared" si="37"/>
        <v>8.583333333333334</v>
      </c>
      <c r="B126" s="356">
        <f t="shared" si="38"/>
        <v>103</v>
      </c>
      <c r="C126" s="357">
        <f t="shared" si="47"/>
        <v>8</v>
      </c>
      <c r="D126" s="357">
        <f t="shared" si="48"/>
        <v>7</v>
      </c>
      <c r="E126" s="357">
        <f t="shared" si="49"/>
        <v>37</v>
      </c>
      <c r="F126" s="356">
        <f t="shared" si="39"/>
        <v>243174.63697147023</v>
      </c>
      <c r="H126" s="356">
        <f t="shared" si="32"/>
        <v>1939.1087039581969</v>
      </c>
      <c r="I126" s="356">
        <v>0</v>
      </c>
      <c r="J126" s="356">
        <v>0</v>
      </c>
      <c r="K126" s="356">
        <f t="shared" si="40"/>
        <v>-284.33194498349695</v>
      </c>
      <c r="L126" s="356">
        <f t="shared" si="33"/>
        <v>244829.4137304449</v>
      </c>
      <c r="N126" s="356">
        <f t="shared" si="41"/>
        <v>103</v>
      </c>
      <c r="O126" s="357">
        <f t="shared" si="50"/>
        <v>8</v>
      </c>
      <c r="P126" s="357">
        <f t="shared" si="51"/>
        <v>7</v>
      </c>
      <c r="Q126" s="357">
        <f t="shared" si="52"/>
        <v>8</v>
      </c>
      <c r="R126" s="356">
        <f t="shared" si="42"/>
        <v>1124057.9670467675</v>
      </c>
      <c r="S126" s="356">
        <f>+IF($G$4="mensual",S120,IF($G$4="trimestral",S120,IF($G$4="semestral",S120,0)))</f>
        <v>10000</v>
      </c>
      <c r="U126" s="356">
        <f t="shared" si="53"/>
        <v>9043.137483748042</v>
      </c>
      <c r="V126" s="359">
        <f t="shared" si="55"/>
        <v>-120.97055550342296</v>
      </c>
      <c r="X126" s="359">
        <f t="shared" si="54"/>
        <v>-1325.856955411014</v>
      </c>
      <c r="Y126" s="356">
        <f t="shared" si="34"/>
        <v>1141654.2770196013</v>
      </c>
      <c r="AA126" s="357">
        <f>+Bono!J126</f>
        <v>163381.2041402939</v>
      </c>
      <c r="AC126" s="378">
        <f t="shared" si="35"/>
        <v>8.583333333333334</v>
      </c>
      <c r="AD126" s="356">
        <f t="shared" si="36"/>
        <v>1549864.89489034</v>
      </c>
    </row>
    <row r="127" spans="1:30" x14ac:dyDescent="0.25">
      <c r="A127" s="356">
        <f t="shared" si="37"/>
        <v>8.666666666666666</v>
      </c>
      <c r="B127" s="356">
        <f t="shared" si="38"/>
        <v>104</v>
      </c>
      <c r="C127" s="357">
        <f t="shared" si="47"/>
        <v>8</v>
      </c>
      <c r="D127" s="357">
        <f t="shared" si="48"/>
        <v>8</v>
      </c>
      <c r="E127" s="357">
        <f t="shared" si="49"/>
        <v>37</v>
      </c>
      <c r="F127" s="356">
        <f t="shared" si="39"/>
        <v>244829.4137304449</v>
      </c>
      <c r="H127" s="356">
        <f t="shared" si="32"/>
        <v>1952.3041262127472</v>
      </c>
      <c r="I127" s="356">
        <v>0</v>
      </c>
      <c r="J127" s="356">
        <v>0</v>
      </c>
      <c r="K127" s="356">
        <f t="shared" si="40"/>
        <v>-286.2667927137229</v>
      </c>
      <c r="L127" s="356">
        <f t="shared" si="33"/>
        <v>246495.45106394394</v>
      </c>
      <c r="N127" s="356">
        <f t="shared" si="41"/>
        <v>104</v>
      </c>
      <c r="O127" s="357">
        <f t="shared" si="50"/>
        <v>8</v>
      </c>
      <c r="P127" s="357">
        <f t="shared" si="51"/>
        <v>8</v>
      </c>
      <c r="Q127" s="357">
        <f t="shared" si="52"/>
        <v>8</v>
      </c>
      <c r="R127" s="356">
        <f t="shared" si="42"/>
        <v>1141654.2770196013</v>
      </c>
      <c r="S127" s="356">
        <f>IF($G$4="mensual",S126,0)</f>
        <v>10000</v>
      </c>
      <c r="U127" s="356">
        <f t="shared" si="53"/>
        <v>9183.452930501939</v>
      </c>
      <c r="V127" s="359">
        <f t="shared" si="55"/>
        <v>-120.97055550342296</v>
      </c>
      <c r="X127" s="359">
        <f t="shared" si="54"/>
        <v>-1346.4314408977357</v>
      </c>
      <c r="Y127" s="356">
        <f t="shared" si="34"/>
        <v>1159370.327953702</v>
      </c>
      <c r="AA127" s="357">
        <f>+Bono!J127</f>
        <v>164394.18655701043</v>
      </c>
      <c r="AC127" s="378">
        <f t="shared" si="35"/>
        <v>8.666666666666666</v>
      </c>
      <c r="AD127" s="356">
        <f t="shared" si="36"/>
        <v>1570259.9655746566</v>
      </c>
    </row>
    <row r="128" spans="1:30" x14ac:dyDescent="0.25">
      <c r="A128" s="356">
        <f t="shared" si="37"/>
        <v>8.75</v>
      </c>
      <c r="B128" s="356">
        <f t="shared" si="38"/>
        <v>105</v>
      </c>
      <c r="C128" s="357">
        <f t="shared" si="47"/>
        <v>8</v>
      </c>
      <c r="D128" s="357">
        <f t="shared" si="48"/>
        <v>9</v>
      </c>
      <c r="E128" s="357">
        <f t="shared" si="49"/>
        <v>37</v>
      </c>
      <c r="F128" s="356">
        <f t="shared" si="39"/>
        <v>246495.45106394394</v>
      </c>
      <c r="H128" s="356">
        <f t="shared" si="32"/>
        <v>1965.5893418698647</v>
      </c>
      <c r="I128" s="356">
        <v>0</v>
      </c>
      <c r="J128" s="360">
        <f>-SUM(F128:H128)*$J$21*1.16</f>
        <v>-2593.933261836696</v>
      </c>
      <c r="K128" s="356">
        <f t="shared" si="40"/>
        <v>-285.2058442870134</v>
      </c>
      <c r="L128" s="356">
        <f t="shared" si="33"/>
        <v>245581.9012996901</v>
      </c>
      <c r="N128" s="356">
        <f t="shared" si="41"/>
        <v>105</v>
      </c>
      <c r="O128" s="357">
        <f t="shared" si="50"/>
        <v>8</v>
      </c>
      <c r="P128" s="357">
        <f t="shared" si="51"/>
        <v>9</v>
      </c>
      <c r="Q128" s="357">
        <f t="shared" si="52"/>
        <v>8</v>
      </c>
      <c r="R128" s="356">
        <f t="shared" si="42"/>
        <v>1159370.327953702</v>
      </c>
      <c r="S128" s="356">
        <f>IF($G$4="mensual",S127,0)</f>
        <v>10000</v>
      </c>
      <c r="U128" s="356">
        <f t="shared" si="53"/>
        <v>9324.723208496069</v>
      </c>
      <c r="V128" s="359">
        <f t="shared" si="55"/>
        <v>-120.97055550342296</v>
      </c>
      <c r="X128" s="359">
        <f t="shared" si="54"/>
        <v>-1367.145933503766</v>
      </c>
      <c r="Y128" s="356">
        <f t="shared" si="34"/>
        <v>1177206.934673191</v>
      </c>
      <c r="AA128" s="357">
        <f>+Bono!J128</f>
        <v>163923.2383247119</v>
      </c>
      <c r="AC128" s="378">
        <f t="shared" si="35"/>
        <v>8.75</v>
      </c>
      <c r="AD128" s="356">
        <f t="shared" si="36"/>
        <v>1586712.0742975932</v>
      </c>
    </row>
    <row r="129" spans="1:30" x14ac:dyDescent="0.25">
      <c r="A129" s="356">
        <f t="shared" si="37"/>
        <v>8.833333333333334</v>
      </c>
      <c r="B129" s="356">
        <f t="shared" si="38"/>
        <v>106</v>
      </c>
      <c r="C129" s="357">
        <f t="shared" si="47"/>
        <v>8</v>
      </c>
      <c r="D129" s="357">
        <f t="shared" si="48"/>
        <v>10</v>
      </c>
      <c r="E129" s="357">
        <f t="shared" si="49"/>
        <v>37</v>
      </c>
      <c r="F129" s="356">
        <f t="shared" si="39"/>
        <v>245581.9012996901</v>
      </c>
      <c r="H129" s="356">
        <f t="shared" si="32"/>
        <v>1958.3045677609127</v>
      </c>
      <c r="I129" s="356">
        <v>0</v>
      </c>
      <c r="J129" s="356">
        <v>0</v>
      </c>
      <c r="K129" s="356">
        <f t="shared" si="40"/>
        <v>-287.1466388062432</v>
      </c>
      <c r="L129" s="356">
        <f t="shared" si="33"/>
        <v>247253.05922864476</v>
      </c>
      <c r="N129" s="356">
        <f t="shared" si="41"/>
        <v>106</v>
      </c>
      <c r="O129" s="357">
        <f t="shared" si="50"/>
        <v>8</v>
      </c>
      <c r="P129" s="357">
        <f t="shared" si="51"/>
        <v>10</v>
      </c>
      <c r="Q129" s="357">
        <f t="shared" si="52"/>
        <v>8</v>
      </c>
      <c r="R129" s="356">
        <f t="shared" si="42"/>
        <v>1177206.934673191</v>
      </c>
      <c r="S129" s="356">
        <f>IF($G$4="mensual",S120,IF($G$4="trimestral",S120,0))</f>
        <v>10000</v>
      </c>
      <c r="U129" s="356">
        <f t="shared" si="53"/>
        <v>9466.954815252402</v>
      </c>
      <c r="V129" s="359">
        <f t="shared" si="55"/>
        <v>-120.97055550342296</v>
      </c>
      <c r="X129" s="359">
        <f t="shared" si="54"/>
        <v>-1388.0013859622106</v>
      </c>
      <c r="Y129" s="356">
        <f t="shared" si="34"/>
        <v>1195164.917546978</v>
      </c>
      <c r="AA129" s="357">
        <f>+Bono!J129</f>
        <v>164939.58141624392</v>
      </c>
      <c r="AC129" s="378">
        <f t="shared" si="35"/>
        <v>8.833333333333334</v>
      </c>
      <c r="AD129" s="356">
        <f t="shared" si="36"/>
        <v>1607357.5581918666</v>
      </c>
    </row>
    <row r="130" spans="1:30" x14ac:dyDescent="0.25">
      <c r="A130" s="356">
        <f t="shared" si="37"/>
        <v>8.916666666666666</v>
      </c>
      <c r="B130" s="356">
        <f t="shared" si="38"/>
        <v>107</v>
      </c>
      <c r="C130" s="357">
        <f t="shared" si="47"/>
        <v>8</v>
      </c>
      <c r="D130" s="357">
        <f t="shared" si="48"/>
        <v>11</v>
      </c>
      <c r="E130" s="357">
        <f t="shared" si="49"/>
        <v>37</v>
      </c>
      <c r="F130" s="356">
        <f t="shared" si="39"/>
        <v>247253.05922864476</v>
      </c>
      <c r="H130" s="356">
        <f t="shared" si="32"/>
        <v>1971.6306157652732</v>
      </c>
      <c r="I130" s="356">
        <v>0</v>
      </c>
      <c r="J130" s="356">
        <v>0</v>
      </c>
      <c r="K130" s="356">
        <f t="shared" si="40"/>
        <v>-289.10064021951564</v>
      </c>
      <c r="L130" s="356">
        <f t="shared" si="33"/>
        <v>248935.58920419053</v>
      </c>
      <c r="N130" s="356">
        <f t="shared" si="41"/>
        <v>107</v>
      </c>
      <c r="O130" s="357">
        <f t="shared" si="50"/>
        <v>8</v>
      </c>
      <c r="P130" s="357">
        <f t="shared" si="51"/>
        <v>11</v>
      </c>
      <c r="Q130" s="357">
        <f t="shared" si="52"/>
        <v>8</v>
      </c>
      <c r="R130" s="356">
        <f t="shared" si="42"/>
        <v>1195164.917546978</v>
      </c>
      <c r="S130" s="356">
        <f>IF($G$17="si",S118*(1+$G$20),S118)</f>
        <v>10000</v>
      </c>
      <c r="U130" s="356">
        <f t="shared" si="53"/>
        <v>9610.154292507828</v>
      </c>
      <c r="V130" s="359">
        <f t="shared" si="55"/>
        <v>-120.97055550342296</v>
      </c>
      <c r="X130" s="359">
        <f t="shared" si="54"/>
        <v>-1408.9987574894196</v>
      </c>
      <c r="Y130" s="356">
        <f t="shared" si="34"/>
        <v>1213245.102526493</v>
      </c>
      <c r="AA130" s="357">
        <f>+Bono!J130</f>
        <v>165962.2259528319</v>
      </c>
      <c r="AC130" s="378">
        <f t="shared" si="35"/>
        <v>8.916666666666666</v>
      </c>
      <c r="AD130" s="356">
        <f t="shared" si="36"/>
        <v>1628142.9176835155</v>
      </c>
    </row>
    <row r="131" spans="1:30" x14ac:dyDescent="0.25">
      <c r="A131" s="356">
        <f t="shared" si="37"/>
        <v>9</v>
      </c>
      <c r="B131" s="356">
        <f t="shared" si="38"/>
        <v>108</v>
      </c>
      <c r="C131" s="357">
        <f t="shared" si="47"/>
        <v>8</v>
      </c>
      <c r="D131" s="357">
        <f t="shared" si="48"/>
        <v>12</v>
      </c>
      <c r="E131" s="357">
        <f t="shared" si="49"/>
        <v>37</v>
      </c>
      <c r="F131" s="356">
        <f t="shared" si="39"/>
        <v>248935.58920419053</v>
      </c>
      <c r="H131" s="356">
        <f t="shared" si="32"/>
        <v>1985.047346066115</v>
      </c>
      <c r="I131" s="356">
        <v>0</v>
      </c>
      <c r="J131" s="360">
        <f>-SUM(F131:H131)*$J$21*1.16</f>
        <v>-2619.611445584679</v>
      </c>
      <c r="K131" s="356">
        <f t="shared" si="40"/>
        <v>-288.02918912141945</v>
      </c>
      <c r="L131" s="356">
        <f t="shared" si="33"/>
        <v>248012.99591555053</v>
      </c>
      <c r="N131" s="356">
        <f t="shared" si="41"/>
        <v>108</v>
      </c>
      <c r="O131" s="357">
        <f t="shared" si="50"/>
        <v>8</v>
      </c>
      <c r="P131" s="357">
        <f t="shared" si="51"/>
        <v>12</v>
      </c>
      <c r="Q131" s="357">
        <f t="shared" si="52"/>
        <v>8</v>
      </c>
      <c r="R131" s="356">
        <f t="shared" si="42"/>
        <v>1213245.102526493</v>
      </c>
      <c r="S131" s="356">
        <f>IF($G$4="mensual",S130,0)</f>
        <v>10000</v>
      </c>
      <c r="U131" s="356">
        <f t="shared" si="53"/>
        <v>9754.328226515037</v>
      </c>
      <c r="V131" s="359">
        <f t="shared" si="55"/>
        <v>-120.97055550342296</v>
      </c>
      <c r="X131" s="359">
        <f t="shared" si="54"/>
        <v>-1430.1390138291054</v>
      </c>
      <c r="Y131" s="356">
        <f t="shared" si="34"/>
        <v>1231448.3211836754</v>
      </c>
      <c r="AA131" s="357">
        <f>+Bono!J131</f>
        <v>165486.7856798043</v>
      </c>
      <c r="AC131" s="378">
        <f t="shared" si="35"/>
        <v>9</v>
      </c>
      <c r="AD131" s="356">
        <f t="shared" si="36"/>
        <v>1644948.1027790303</v>
      </c>
    </row>
    <row r="132" spans="1:30" x14ac:dyDescent="0.25">
      <c r="A132" s="356">
        <f t="shared" si="37"/>
        <v>9.083333333333334</v>
      </c>
      <c r="B132" s="356">
        <f t="shared" si="38"/>
        <v>109</v>
      </c>
      <c r="C132" s="357">
        <f t="shared" si="47"/>
        <v>9</v>
      </c>
      <c r="D132" s="357">
        <f t="shared" si="48"/>
        <v>1</v>
      </c>
      <c r="E132" s="357">
        <f t="shared" si="49"/>
        <v>38</v>
      </c>
      <c r="F132" s="356">
        <f t="shared" si="39"/>
        <v>248012.99591555053</v>
      </c>
      <c r="H132" s="356">
        <f t="shared" si="32"/>
        <v>1977.6904576237357</v>
      </c>
      <c r="I132" s="356">
        <v>0</v>
      </c>
      <c r="J132" s="356">
        <v>0</v>
      </c>
      <c r="K132" s="356">
        <f t="shared" si="40"/>
        <v>-289.98919619288216</v>
      </c>
      <c r="L132" s="356">
        <f t="shared" si="33"/>
        <v>249700.6971769814</v>
      </c>
      <c r="N132" s="356">
        <f t="shared" si="41"/>
        <v>109</v>
      </c>
      <c r="O132" s="357">
        <f t="shared" si="50"/>
        <v>9</v>
      </c>
      <c r="P132" s="357">
        <f t="shared" si="51"/>
        <v>1</v>
      </c>
      <c r="Q132" s="357">
        <f t="shared" si="52"/>
        <v>9</v>
      </c>
      <c r="R132" s="356">
        <f t="shared" si="42"/>
        <v>1231448.3211836754</v>
      </c>
      <c r="S132" s="356">
        <f>IF($G$17="si",S120*(1+$G$20),S120)</f>
        <v>10000</v>
      </c>
      <c r="U132" s="356">
        <f t="shared" si="53"/>
        <v>9899.483248345452</v>
      </c>
      <c r="V132" s="359">
        <f>V131*(1+$G$18)</f>
        <v>-125.80937772355988</v>
      </c>
      <c r="X132" s="359">
        <f t="shared" si="54"/>
        <v>-1451.417514262985</v>
      </c>
      <c r="Y132" s="356">
        <f t="shared" si="34"/>
        <v>1249770.5775400344</v>
      </c>
      <c r="AA132" s="357">
        <f>+Bono!J132</f>
        <v>166512.82294629814</v>
      </c>
      <c r="AC132" s="378">
        <f t="shared" si="35"/>
        <v>9.083333333333334</v>
      </c>
      <c r="AD132" s="356">
        <f t="shared" si="36"/>
        <v>1665984.097663314</v>
      </c>
    </row>
    <row r="133" spans="1:30" x14ac:dyDescent="0.25">
      <c r="A133" s="356">
        <f t="shared" si="37"/>
        <v>9.166666666666666</v>
      </c>
      <c r="B133" s="356">
        <f t="shared" si="38"/>
        <v>110</v>
      </c>
      <c r="C133" s="357">
        <f t="shared" si="47"/>
        <v>9</v>
      </c>
      <c r="D133" s="357">
        <f t="shared" si="48"/>
        <v>2</v>
      </c>
      <c r="E133" s="357">
        <f t="shared" si="49"/>
        <v>38</v>
      </c>
      <c r="F133" s="356">
        <f t="shared" si="39"/>
        <v>249700.6971769814</v>
      </c>
      <c r="H133" s="356">
        <f t="shared" si="32"/>
        <v>1991.1484244844235</v>
      </c>
      <c r="I133" s="356">
        <v>0</v>
      </c>
      <c r="J133" s="356">
        <v>0</v>
      </c>
      <c r="K133" s="356">
        <f t="shared" si="40"/>
        <v>-291.9625408977003</v>
      </c>
      <c r="L133" s="356">
        <f t="shared" si="33"/>
        <v>251399.88306056813</v>
      </c>
      <c r="N133" s="356">
        <f t="shared" si="41"/>
        <v>110</v>
      </c>
      <c r="O133" s="357">
        <f t="shared" si="50"/>
        <v>9</v>
      </c>
      <c r="P133" s="357">
        <f t="shared" si="51"/>
        <v>2</v>
      </c>
      <c r="Q133" s="357">
        <f t="shared" si="52"/>
        <v>9</v>
      </c>
      <c r="R133" s="356">
        <f t="shared" si="42"/>
        <v>1249770.5775400344</v>
      </c>
      <c r="S133" s="356">
        <f>IF($G$4="mensual",S132,0)</f>
        <v>10000</v>
      </c>
      <c r="U133" s="356">
        <f t="shared" si="53"/>
        <v>10045.587493505433</v>
      </c>
      <c r="V133" s="359">
        <f t="shared" si="55"/>
        <v>-125.80937772355988</v>
      </c>
      <c r="X133" s="359">
        <f t="shared" si="54"/>
        <v>-1472.8408125607466</v>
      </c>
      <c r="Y133" s="356">
        <f t="shared" si="34"/>
        <v>1268217.5148432555</v>
      </c>
      <c r="AA133" s="357">
        <f>+Bono!J133</f>
        <v>167545.2217628572</v>
      </c>
      <c r="AC133" s="378">
        <f t="shared" si="35"/>
        <v>9.166666666666666</v>
      </c>
      <c r="AD133" s="356">
        <f t="shared" si="36"/>
        <v>1687162.6196666807</v>
      </c>
    </row>
    <row r="134" spans="1:30" x14ac:dyDescent="0.25">
      <c r="A134" s="356">
        <f t="shared" si="37"/>
        <v>9.25</v>
      </c>
      <c r="B134" s="356">
        <f t="shared" si="38"/>
        <v>111</v>
      </c>
      <c r="C134" s="357">
        <f t="shared" si="47"/>
        <v>9</v>
      </c>
      <c r="D134" s="357">
        <f t="shared" si="48"/>
        <v>3</v>
      </c>
      <c r="E134" s="357">
        <f t="shared" si="49"/>
        <v>38</v>
      </c>
      <c r="F134" s="356">
        <f t="shared" si="39"/>
        <v>251399.88306056813</v>
      </c>
      <c r="H134" s="356">
        <f t="shared" si="32"/>
        <v>2004.697971334955</v>
      </c>
      <c r="I134" s="356">
        <v>0</v>
      </c>
      <c r="J134" s="360">
        <f>-SUM(F134:H134)*$J$21*1.16</f>
        <v>-2645.543825973068</v>
      </c>
      <c r="K134" s="356">
        <f t="shared" si="40"/>
        <v>-290.8804831588788</v>
      </c>
      <c r="L134" s="356">
        <f t="shared" si="33"/>
        <v>250468.15672277112</v>
      </c>
      <c r="N134" s="356">
        <f t="shared" si="41"/>
        <v>111</v>
      </c>
      <c r="O134" s="357">
        <f t="shared" si="50"/>
        <v>9</v>
      </c>
      <c r="P134" s="357">
        <f t="shared" si="51"/>
        <v>3</v>
      </c>
      <c r="Q134" s="357">
        <f t="shared" si="52"/>
        <v>9</v>
      </c>
      <c r="R134" s="356">
        <f t="shared" si="42"/>
        <v>1268217.5148432555</v>
      </c>
      <c r="S134" s="356">
        <f>IF($G$4="mensual",S133,0)</f>
        <v>10000</v>
      </c>
      <c r="U134" s="356">
        <f t="shared" si="53"/>
        <v>10192.685962044501</v>
      </c>
      <c r="V134" s="359">
        <f t="shared" si="55"/>
        <v>-125.80937772355988</v>
      </c>
      <c r="X134" s="359">
        <f t="shared" si="54"/>
        <v>-1494.4098940559884</v>
      </c>
      <c r="Y134" s="356">
        <f t="shared" si="34"/>
        <v>1286789.9815335204</v>
      </c>
      <c r="AA134" s="357">
        <f>+Bono!J134</f>
        <v>167065.24660271415</v>
      </c>
      <c r="AC134" s="378">
        <f t="shared" si="35"/>
        <v>9.25</v>
      </c>
      <c r="AD134" s="356">
        <f t="shared" si="36"/>
        <v>1704323.3848590055</v>
      </c>
    </row>
    <row r="135" spans="1:30" x14ac:dyDescent="0.25">
      <c r="A135" s="356">
        <f t="shared" si="37"/>
        <v>9.333333333333334</v>
      </c>
      <c r="B135" s="356">
        <f t="shared" si="38"/>
        <v>112</v>
      </c>
      <c r="C135" s="357">
        <f t="shared" si="47"/>
        <v>9</v>
      </c>
      <c r="D135" s="357">
        <f t="shared" si="48"/>
        <v>4</v>
      </c>
      <c r="E135" s="357">
        <f t="shared" si="49"/>
        <v>38</v>
      </c>
      <c r="F135" s="356">
        <f t="shared" si="39"/>
        <v>250468.15672277112</v>
      </c>
      <c r="H135" s="356">
        <f t="shared" si="32"/>
        <v>1997.2682546760534</v>
      </c>
      <c r="I135" s="356">
        <v>0</v>
      </c>
      <c r="J135" s="356">
        <v>0</v>
      </c>
      <c r="K135" s="356">
        <f t="shared" si="40"/>
        <v>-292.8598929738387</v>
      </c>
      <c r="L135" s="356">
        <f t="shared" si="33"/>
        <v>252172.56508447332</v>
      </c>
      <c r="N135" s="356">
        <f t="shared" si="41"/>
        <v>112</v>
      </c>
      <c r="O135" s="357">
        <f t="shared" si="50"/>
        <v>9</v>
      </c>
      <c r="P135" s="357">
        <f t="shared" si="51"/>
        <v>4</v>
      </c>
      <c r="Q135" s="357">
        <f t="shared" si="52"/>
        <v>9</v>
      </c>
      <c r="R135" s="356">
        <f t="shared" si="42"/>
        <v>1286789.9815335204</v>
      </c>
      <c r="S135" s="356">
        <f>IF($G$4="mensual",S132,IF($G$4="trimestral",S132,0))</f>
        <v>10000</v>
      </c>
      <c r="U135" s="356">
        <f t="shared" si="53"/>
        <v>10340.78541954381</v>
      </c>
      <c r="V135" s="359">
        <f t="shared" si="55"/>
        <v>-125.80937772355988</v>
      </c>
      <c r="X135" s="359">
        <f t="shared" si="54"/>
        <v>-1516.125750787395</v>
      </c>
      <c r="Y135" s="356">
        <f t="shared" si="34"/>
        <v>1305488.8318245532</v>
      </c>
      <c r="AA135" s="357">
        <f>+Bono!J135</f>
        <v>168101.07051002013</v>
      </c>
      <c r="AC135" s="378">
        <f t="shared" si="35"/>
        <v>9.333333333333334</v>
      </c>
      <c r="AD135" s="356">
        <f t="shared" si="36"/>
        <v>1725762.4674190464</v>
      </c>
    </row>
    <row r="136" spans="1:30" x14ac:dyDescent="0.25">
      <c r="A136" s="356">
        <f t="shared" si="37"/>
        <v>9.416666666666666</v>
      </c>
      <c r="B136" s="356">
        <f t="shared" si="38"/>
        <v>113</v>
      </c>
      <c r="C136" s="357">
        <f t="shared" si="47"/>
        <v>9</v>
      </c>
      <c r="D136" s="357">
        <f t="shared" si="48"/>
        <v>5</v>
      </c>
      <c r="E136" s="357">
        <f t="shared" si="49"/>
        <v>38</v>
      </c>
      <c r="F136" s="356">
        <f t="shared" si="39"/>
        <v>252172.56508447332</v>
      </c>
      <c r="H136" s="356">
        <f t="shared" si="32"/>
        <v>2010.8594463004645</v>
      </c>
      <c r="I136" s="356">
        <v>0</v>
      </c>
      <c r="J136" s="356">
        <v>0</v>
      </c>
      <c r="K136" s="356">
        <f t="shared" si="40"/>
        <v>-294.85277245569756</v>
      </c>
      <c r="L136" s="356">
        <f t="shared" si="33"/>
        <v>253888.57175831808</v>
      </c>
      <c r="N136" s="356">
        <f t="shared" si="41"/>
        <v>113</v>
      </c>
      <c r="O136" s="357">
        <f t="shared" si="50"/>
        <v>9</v>
      </c>
      <c r="P136" s="357">
        <f t="shared" si="51"/>
        <v>5</v>
      </c>
      <c r="Q136" s="357">
        <f t="shared" si="52"/>
        <v>9</v>
      </c>
      <c r="R136" s="356">
        <f t="shared" si="42"/>
        <v>1305488.8318245532</v>
      </c>
      <c r="S136" s="356">
        <f>IF($G$4="mensual",S135,0)</f>
        <v>10000</v>
      </c>
      <c r="U136" s="356">
        <f t="shared" si="53"/>
        <v>10489.892677623555</v>
      </c>
      <c r="V136" s="359">
        <f t="shared" si="55"/>
        <v>-125.80937772355988</v>
      </c>
      <c r="X136" s="359">
        <f t="shared" si="54"/>
        <v>-1537.9893815443656</v>
      </c>
      <c r="Y136" s="356">
        <f t="shared" si="34"/>
        <v>1324314.9257429088</v>
      </c>
      <c r="AA136" s="357">
        <f>+Bono!J136</f>
        <v>169143.31664569958</v>
      </c>
      <c r="AC136" s="378">
        <f t="shared" si="35"/>
        <v>9.416666666666666</v>
      </c>
      <c r="AD136" s="356">
        <f t="shared" si="36"/>
        <v>1747346.8141469264</v>
      </c>
    </row>
    <row r="137" spans="1:30" x14ac:dyDescent="0.25">
      <c r="A137" s="356">
        <f t="shared" si="37"/>
        <v>9.5</v>
      </c>
      <c r="B137" s="356">
        <f t="shared" si="38"/>
        <v>114</v>
      </c>
      <c r="C137" s="357">
        <f t="shared" si="47"/>
        <v>9</v>
      </c>
      <c r="D137" s="357">
        <f t="shared" si="48"/>
        <v>6</v>
      </c>
      <c r="E137" s="357">
        <f t="shared" si="49"/>
        <v>38</v>
      </c>
      <c r="F137" s="356">
        <f t="shared" si="39"/>
        <v>253888.57175831808</v>
      </c>
      <c r="H137" s="356">
        <f t="shared" si="32"/>
        <v>2024.5431244946387</v>
      </c>
      <c r="I137" s="356">
        <v>0</v>
      </c>
      <c r="J137" s="360">
        <f>-SUM(F137:H137)*$J$21*1.16</f>
        <v>-2671.732919376565</v>
      </c>
      <c r="K137" s="356">
        <f t="shared" si="40"/>
        <v>-293.7600030775859</v>
      </c>
      <c r="L137" s="356">
        <f t="shared" si="33"/>
        <v>252947.62196035855</v>
      </c>
      <c r="N137" s="356">
        <f t="shared" si="41"/>
        <v>114</v>
      </c>
      <c r="O137" s="357">
        <f t="shared" si="50"/>
        <v>9</v>
      </c>
      <c r="P137" s="357">
        <f t="shared" si="51"/>
        <v>6</v>
      </c>
      <c r="Q137" s="357">
        <f t="shared" si="52"/>
        <v>9</v>
      </c>
      <c r="R137" s="356">
        <f t="shared" si="42"/>
        <v>1324314.9257429088</v>
      </c>
      <c r="S137" s="356">
        <f>IF($G$4="mensual",S136,0)</f>
        <v>10000</v>
      </c>
      <c r="U137" s="356">
        <f t="shared" si="53"/>
        <v>10640.014594256254</v>
      </c>
      <c r="V137" s="359">
        <f t="shared" si="55"/>
        <v>-125.80937772355988</v>
      </c>
      <c r="X137" s="359">
        <f t="shared" si="54"/>
        <v>-1560.001791912952</v>
      </c>
      <c r="Y137" s="356">
        <f t="shared" si="34"/>
        <v>1343269.1291675284</v>
      </c>
      <c r="AA137" s="357">
        <f>+Bono!J137</f>
        <v>168658.76334337358</v>
      </c>
      <c r="AC137" s="378">
        <f t="shared" si="35"/>
        <v>9.5</v>
      </c>
      <c r="AD137" s="356">
        <f t="shared" si="36"/>
        <v>1764875.5144712604</v>
      </c>
    </row>
    <row r="138" spans="1:30" x14ac:dyDescent="0.25">
      <c r="A138" s="356">
        <f t="shared" si="37"/>
        <v>9.583333333333334</v>
      </c>
      <c r="B138" s="356">
        <f t="shared" si="38"/>
        <v>115</v>
      </c>
      <c r="C138" s="357">
        <f t="shared" si="47"/>
        <v>9</v>
      </c>
      <c r="D138" s="357">
        <f t="shared" si="48"/>
        <v>7</v>
      </c>
      <c r="E138" s="357">
        <f t="shared" si="49"/>
        <v>38</v>
      </c>
      <c r="F138" s="356">
        <f t="shared" si="39"/>
        <v>252947.62196035855</v>
      </c>
      <c r="H138" s="356">
        <f t="shared" si="32"/>
        <v>2017.0398586691608</v>
      </c>
      <c r="I138" s="356">
        <v>0</v>
      </c>
      <c r="J138" s="356">
        <v>0</v>
      </c>
      <c r="K138" s="356">
        <f t="shared" si="40"/>
        <v>-295.7590077100721</v>
      </c>
      <c r="L138" s="356">
        <f t="shared" si="33"/>
        <v>254668.90281131765</v>
      </c>
      <c r="N138" s="356">
        <f t="shared" si="41"/>
        <v>115</v>
      </c>
      <c r="O138" s="357">
        <f t="shared" si="50"/>
        <v>9</v>
      </c>
      <c r="P138" s="357">
        <f t="shared" si="51"/>
        <v>7</v>
      </c>
      <c r="Q138" s="357">
        <f t="shared" si="52"/>
        <v>9</v>
      </c>
      <c r="R138" s="356">
        <f t="shared" si="42"/>
        <v>1343269.1291675284</v>
      </c>
      <c r="S138" s="356">
        <f>+IF($G$4="mensual",S132,IF($G$4="trimestral",S132,IF($G$4="semestral",S132,0)))</f>
        <v>10000</v>
      </c>
      <c r="U138" s="356">
        <f t="shared" si="53"/>
        <v>10791.158074082177</v>
      </c>
      <c r="V138" s="359">
        <f t="shared" si="55"/>
        <v>-125.80937772355988</v>
      </c>
      <c r="X138" s="359">
        <f t="shared" si="54"/>
        <v>-1582.1639943221087</v>
      </c>
      <c r="Y138" s="356">
        <f t="shared" si="34"/>
        <v>1362352.3138695648</v>
      </c>
      <c r="AA138" s="357">
        <f>+Bono!J138</f>
        <v>169704.46723930814</v>
      </c>
      <c r="AC138" s="378">
        <f t="shared" si="35"/>
        <v>9.583333333333334</v>
      </c>
      <c r="AD138" s="356">
        <f t="shared" si="36"/>
        <v>1786725.6839201907</v>
      </c>
    </row>
    <row r="139" spans="1:30" x14ac:dyDescent="0.25">
      <c r="A139" s="356">
        <f t="shared" si="37"/>
        <v>9.666666666666666</v>
      </c>
      <c r="B139" s="356">
        <f t="shared" si="38"/>
        <v>116</v>
      </c>
      <c r="C139" s="357">
        <f t="shared" si="47"/>
        <v>9</v>
      </c>
      <c r="D139" s="357">
        <f t="shared" si="48"/>
        <v>8</v>
      </c>
      <c r="E139" s="357">
        <f t="shared" si="49"/>
        <v>38</v>
      </c>
      <c r="F139" s="356">
        <f t="shared" si="39"/>
        <v>254668.90281131765</v>
      </c>
      <c r="H139" s="356">
        <f t="shared" si="32"/>
        <v>2030.7655938922915</v>
      </c>
      <c r="I139" s="356">
        <v>0</v>
      </c>
      <c r="J139" s="356">
        <v>0</v>
      </c>
      <c r="K139" s="356">
        <f t="shared" si="40"/>
        <v>-297.7716153500435</v>
      </c>
      <c r="L139" s="356">
        <f t="shared" si="33"/>
        <v>256401.8967898599</v>
      </c>
      <c r="N139" s="356">
        <f t="shared" si="41"/>
        <v>116</v>
      </c>
      <c r="O139" s="357">
        <f t="shared" si="50"/>
        <v>9</v>
      </c>
      <c r="P139" s="357">
        <f t="shared" si="51"/>
        <v>8</v>
      </c>
      <c r="Q139" s="357">
        <f t="shared" si="52"/>
        <v>9</v>
      </c>
      <c r="R139" s="356">
        <f t="shared" si="42"/>
        <v>1362352.3138695648</v>
      </c>
      <c r="S139" s="356">
        <f>IF($G$4="mensual",S138,0)</f>
        <v>10000</v>
      </c>
      <c r="U139" s="356">
        <f t="shared" si="53"/>
        <v>10943.330068726924</v>
      </c>
      <c r="V139" s="359">
        <f t="shared" si="55"/>
        <v>-125.80937772355988</v>
      </c>
      <c r="X139" s="359">
        <f t="shared" si="54"/>
        <v>-1604.477008090259</v>
      </c>
      <c r="Y139" s="356">
        <f t="shared" si="34"/>
        <v>1381565.3575524779</v>
      </c>
      <c r="AA139" s="357">
        <f>+Bono!J139</f>
        <v>170756.65462069167</v>
      </c>
      <c r="AC139" s="378">
        <f t="shared" si="35"/>
        <v>9.666666666666666</v>
      </c>
      <c r="AD139" s="356">
        <f t="shared" si="36"/>
        <v>1808723.9089630295</v>
      </c>
    </row>
    <row r="140" spans="1:30" x14ac:dyDescent="0.25">
      <c r="A140" s="356">
        <f t="shared" si="37"/>
        <v>9.75</v>
      </c>
      <c r="B140" s="356">
        <f t="shared" si="38"/>
        <v>117</v>
      </c>
      <c r="C140" s="357">
        <f t="shared" si="47"/>
        <v>9</v>
      </c>
      <c r="D140" s="357">
        <f t="shared" si="48"/>
        <v>9</v>
      </c>
      <c r="E140" s="357">
        <f t="shared" si="49"/>
        <v>38</v>
      </c>
      <c r="F140" s="356">
        <f t="shared" si="39"/>
        <v>256401.8967898599</v>
      </c>
      <c r="H140" s="356">
        <f t="shared" si="32"/>
        <v>2044.584731239632</v>
      </c>
      <c r="I140" s="356">
        <v>0</v>
      </c>
      <c r="J140" s="360">
        <f>-SUM(F140:H140)*$J$21*1.16</f>
        <v>-2698.1812670802788</v>
      </c>
      <c r="K140" s="356">
        <f t="shared" si="40"/>
        <v>-296.6680282946623</v>
      </c>
      <c r="L140" s="356">
        <f t="shared" si="33"/>
        <v>255451.63222572458</v>
      </c>
      <c r="N140" s="356">
        <f t="shared" si="41"/>
        <v>117</v>
      </c>
      <c r="O140" s="357">
        <f t="shared" si="50"/>
        <v>9</v>
      </c>
      <c r="P140" s="357">
        <f t="shared" si="51"/>
        <v>9</v>
      </c>
      <c r="Q140" s="357">
        <f t="shared" si="52"/>
        <v>9</v>
      </c>
      <c r="R140" s="356">
        <f t="shared" si="42"/>
        <v>1381565.3575524779</v>
      </c>
      <c r="S140" s="356">
        <f>IF($G$4="mensual",S139,0)</f>
        <v>10000</v>
      </c>
      <c r="U140" s="356">
        <f t="shared" si="53"/>
        <v>11096.537577121137</v>
      </c>
      <c r="V140" s="359">
        <f t="shared" si="55"/>
        <v>-125.80937772355988</v>
      </c>
      <c r="X140" s="359">
        <f t="shared" si="54"/>
        <v>-1626.9418594721753</v>
      </c>
      <c r="Y140" s="356">
        <f t="shared" si="34"/>
        <v>1400909.1438924032</v>
      </c>
      <c r="AA140" s="357">
        <f>+Bono!J140</f>
        <v>170267.47950853565</v>
      </c>
      <c r="AC140" s="378">
        <f t="shared" si="35"/>
        <v>9.75</v>
      </c>
      <c r="AD140" s="356">
        <f t="shared" si="36"/>
        <v>1826628.2556266636</v>
      </c>
    </row>
    <row r="141" spans="1:30" x14ac:dyDescent="0.25">
      <c r="A141" s="356">
        <f t="shared" si="37"/>
        <v>9.833333333333334</v>
      </c>
      <c r="B141" s="356">
        <f t="shared" si="38"/>
        <v>118</v>
      </c>
      <c r="C141" s="357">
        <f t="shared" si="47"/>
        <v>9</v>
      </c>
      <c r="D141" s="357">
        <f t="shared" si="48"/>
        <v>10</v>
      </c>
      <c r="E141" s="357">
        <f t="shared" si="49"/>
        <v>38</v>
      </c>
      <c r="F141" s="356">
        <f t="shared" si="39"/>
        <v>255451.63222572458</v>
      </c>
      <c r="H141" s="356">
        <f t="shared" si="32"/>
        <v>2037.0071881606061</v>
      </c>
      <c r="I141" s="356">
        <v>0</v>
      </c>
      <c r="J141" s="356">
        <v>0</v>
      </c>
      <c r="K141" s="356">
        <f t="shared" si="40"/>
        <v>-298.6868217201068</v>
      </c>
      <c r="L141" s="356">
        <f t="shared" si="33"/>
        <v>257189.9525921651</v>
      </c>
      <c r="N141" s="356">
        <f t="shared" si="41"/>
        <v>118</v>
      </c>
      <c r="O141" s="357">
        <f t="shared" si="50"/>
        <v>9</v>
      </c>
      <c r="P141" s="357">
        <f t="shared" si="51"/>
        <v>10</v>
      </c>
      <c r="Q141" s="357">
        <f t="shared" si="52"/>
        <v>9</v>
      </c>
      <c r="R141" s="356">
        <f t="shared" si="42"/>
        <v>1400909.1438924032</v>
      </c>
      <c r="S141" s="356">
        <f>IF($G$4="mensual",S132,IF($G$4="trimestral",S132,0))</f>
        <v>10000</v>
      </c>
      <c r="U141" s="356">
        <f t="shared" si="53"/>
        <v>11250.787645822411</v>
      </c>
      <c r="V141" s="359">
        <f t="shared" si="55"/>
        <v>-125.80937772355988</v>
      </c>
      <c r="X141" s="359">
        <f t="shared" si="54"/>
        <v>-1649.5595817061821</v>
      </c>
      <c r="Y141" s="356">
        <f t="shared" si="34"/>
        <v>1420384.562578796</v>
      </c>
      <c r="AA141" s="357">
        <f>+Bono!J141</f>
        <v>171323.15763129375</v>
      </c>
      <c r="AC141" s="378">
        <f t="shared" si="35"/>
        <v>9.833333333333334</v>
      </c>
      <c r="AD141" s="356">
        <f t="shared" si="36"/>
        <v>1848897.672802255</v>
      </c>
    </row>
    <row r="142" spans="1:30" x14ac:dyDescent="0.25">
      <c r="A142" s="356">
        <f t="shared" si="37"/>
        <v>9.916666666666666</v>
      </c>
      <c r="B142" s="356">
        <f t="shared" si="38"/>
        <v>119</v>
      </c>
      <c r="C142" s="357">
        <f t="shared" si="47"/>
        <v>9</v>
      </c>
      <c r="D142" s="357">
        <f t="shared" si="48"/>
        <v>11</v>
      </c>
      <c r="E142" s="357">
        <f t="shared" si="49"/>
        <v>38</v>
      </c>
      <c r="F142" s="356">
        <f t="shared" si="39"/>
        <v>257189.9525921651</v>
      </c>
      <c r="H142" s="356">
        <f t="shared" si="32"/>
        <v>2050.868798873026</v>
      </c>
      <c r="I142" s="356">
        <v>0</v>
      </c>
      <c r="J142" s="356">
        <v>0</v>
      </c>
      <c r="K142" s="356">
        <f t="shared" si="40"/>
        <v>-300.71935281360425</v>
      </c>
      <c r="L142" s="356">
        <f t="shared" si="33"/>
        <v>258940.10203822452</v>
      </c>
      <c r="N142" s="356">
        <f t="shared" si="41"/>
        <v>119</v>
      </c>
      <c r="O142" s="357">
        <f t="shared" si="50"/>
        <v>9</v>
      </c>
      <c r="P142" s="357">
        <f t="shared" si="51"/>
        <v>11</v>
      </c>
      <c r="Q142" s="357">
        <f t="shared" si="52"/>
        <v>9</v>
      </c>
      <c r="R142" s="356">
        <f t="shared" si="42"/>
        <v>1420384.562578796</v>
      </c>
      <c r="S142" s="356">
        <f>IF($G$17="si",S130*(1+$G$20),S130)</f>
        <v>10000</v>
      </c>
      <c r="U142" s="356">
        <f t="shared" si="53"/>
        <v>11406.087369339402</v>
      </c>
      <c r="V142" s="359">
        <f t="shared" si="55"/>
        <v>-125.80937772355988</v>
      </c>
      <c r="X142" s="359">
        <f t="shared" si="54"/>
        <v>-1672.3312150616773</v>
      </c>
      <c r="Y142" s="356">
        <f t="shared" si="34"/>
        <v>1439992.50935535</v>
      </c>
      <c r="AA142" s="357">
        <f>+Bono!J142</f>
        <v>172385.38108086406</v>
      </c>
      <c r="AC142" s="378">
        <f t="shared" si="35"/>
        <v>9.916666666666666</v>
      </c>
      <c r="AD142" s="356">
        <f t="shared" si="36"/>
        <v>1871317.9924744384</v>
      </c>
    </row>
    <row r="143" spans="1:30" x14ac:dyDescent="0.25">
      <c r="A143" s="356">
        <f t="shared" si="37"/>
        <v>10</v>
      </c>
      <c r="B143" s="356">
        <f t="shared" si="38"/>
        <v>120</v>
      </c>
      <c r="C143" s="357">
        <f t="shared" si="47"/>
        <v>9</v>
      </c>
      <c r="D143" s="357">
        <f t="shared" si="48"/>
        <v>12</v>
      </c>
      <c r="E143" s="357">
        <f t="shared" si="49"/>
        <v>38</v>
      </c>
      <c r="F143" s="356">
        <f t="shared" si="39"/>
        <v>258940.10203822452</v>
      </c>
      <c r="H143" s="356">
        <f t="shared" si="32"/>
        <v>2064.8247363274722</v>
      </c>
      <c r="I143" s="356">
        <v>0</v>
      </c>
      <c r="J143" s="360">
        <f>-SUM(F143:H143)*$J$21*1.16</f>
        <v>-2724.891435526323</v>
      </c>
      <c r="K143" s="356">
        <f t="shared" si="40"/>
        <v>-299.60484099326976</v>
      </c>
      <c r="L143" s="356">
        <f t="shared" si="33"/>
        <v>257980.43049803242</v>
      </c>
      <c r="N143" s="356">
        <f t="shared" si="41"/>
        <v>120</v>
      </c>
      <c r="O143" s="357">
        <f t="shared" si="50"/>
        <v>9</v>
      </c>
      <c r="P143" s="357">
        <f t="shared" si="51"/>
        <v>12</v>
      </c>
      <c r="Q143" s="357">
        <f t="shared" si="52"/>
        <v>9</v>
      </c>
      <c r="R143" s="356">
        <f t="shared" si="42"/>
        <v>1439992.50935535</v>
      </c>
      <c r="S143" s="356">
        <f>IF($G$4="mensual",S142,0)</f>
        <v>10000</v>
      </c>
      <c r="U143" s="356">
        <f t="shared" si="53"/>
        <v>11562.443890458115</v>
      </c>
      <c r="V143" s="359">
        <f t="shared" si="55"/>
        <v>-125.80937772355988</v>
      </c>
      <c r="X143" s="359">
        <f t="shared" si="54"/>
        <v>-1695.257806886978</v>
      </c>
      <c r="Y143" s="356">
        <f t="shared" si="34"/>
        <v>1459733.8860611976</v>
      </c>
      <c r="AA143" s="357">
        <f>+Bono!J143</f>
        <v>171891.54007471638</v>
      </c>
      <c r="AC143" s="378">
        <f t="shared" si="35"/>
        <v>10</v>
      </c>
      <c r="AD143" s="356">
        <f t="shared" si="36"/>
        <v>1889605.8566339463</v>
      </c>
    </row>
    <row r="144" spans="1:30" x14ac:dyDescent="0.25">
      <c r="A144" s="356">
        <f t="shared" si="37"/>
        <v>10.083333333333334</v>
      </c>
      <c r="B144" s="356">
        <f t="shared" si="38"/>
        <v>121</v>
      </c>
      <c r="C144" s="357">
        <f t="shared" si="47"/>
        <v>10</v>
      </c>
      <c r="D144" s="357">
        <f t="shared" si="48"/>
        <v>1</v>
      </c>
      <c r="E144" s="357">
        <f t="shared" si="49"/>
        <v>39</v>
      </c>
      <c r="F144" s="356">
        <f t="shared" si="39"/>
        <v>257980.43049803242</v>
      </c>
      <c r="H144" s="356">
        <f t="shared" si="32"/>
        <v>2057.1721807003582</v>
      </c>
      <c r="I144" s="356">
        <v>0</v>
      </c>
      <c r="J144" s="356">
        <v>0</v>
      </c>
      <c r="K144" s="356">
        <f t="shared" si="40"/>
        <v>-301.64361910733</v>
      </c>
      <c r="L144" s="356">
        <f t="shared" si="33"/>
        <v>259735.95905962543</v>
      </c>
      <c r="N144" s="356">
        <f t="shared" si="41"/>
        <v>121</v>
      </c>
      <c r="O144" s="357">
        <f t="shared" si="50"/>
        <v>10</v>
      </c>
      <c r="P144" s="357">
        <f t="shared" si="51"/>
        <v>1</v>
      </c>
      <c r="Q144" s="357">
        <f t="shared" si="52"/>
        <v>10</v>
      </c>
      <c r="R144" s="356">
        <f t="shared" si="42"/>
        <v>1459733.8860611976</v>
      </c>
      <c r="S144" s="356">
        <f>IF($G$17="si",S132*(1+$G$20),S132)</f>
        <v>10000</v>
      </c>
      <c r="U144" s="356">
        <f t="shared" si="53"/>
        <v>11719.864400570435</v>
      </c>
      <c r="V144" s="359">
        <f>V143*(1+$G$18)</f>
        <v>-130.84175283250227</v>
      </c>
      <c r="X144" s="359">
        <f t="shared" si="54"/>
        <v>-1718.3345741023652</v>
      </c>
      <c r="Y144" s="356">
        <f t="shared" si="34"/>
        <v>1479604.5741348332</v>
      </c>
      <c r="AA144" s="357">
        <f>+Bono!J144</f>
        <v>172957.28756136418</v>
      </c>
      <c r="AC144" s="378">
        <f t="shared" si="35"/>
        <v>10.083333333333334</v>
      </c>
      <c r="AD144" s="356">
        <f t="shared" si="36"/>
        <v>1912297.8207558228</v>
      </c>
    </row>
    <row r="145" spans="1:30" x14ac:dyDescent="0.25">
      <c r="A145" s="356">
        <f t="shared" si="37"/>
        <v>10.166666666666666</v>
      </c>
      <c r="B145" s="356">
        <f t="shared" si="38"/>
        <v>122</v>
      </c>
      <c r="C145" s="357">
        <f t="shared" si="47"/>
        <v>10</v>
      </c>
      <c r="D145" s="357">
        <f t="shared" si="48"/>
        <v>2</v>
      </c>
      <c r="E145" s="357">
        <f t="shared" si="49"/>
        <v>39</v>
      </c>
      <c r="F145" s="356">
        <f t="shared" si="39"/>
        <v>259735.95905962543</v>
      </c>
      <c r="H145" s="356">
        <f t="shared" si="32"/>
        <v>2071.171011977452</v>
      </c>
      <c r="I145" s="356">
        <v>0</v>
      </c>
      <c r="J145" s="356">
        <v>0</v>
      </c>
      <c r="K145" s="356">
        <f t="shared" si="40"/>
        <v>-303.69627088305936</v>
      </c>
      <c r="L145" s="356">
        <f t="shared" si="33"/>
        <v>261503.43380071982</v>
      </c>
      <c r="N145" s="356">
        <f t="shared" si="41"/>
        <v>122</v>
      </c>
      <c r="O145" s="357">
        <f t="shared" si="50"/>
        <v>10</v>
      </c>
      <c r="P145" s="357">
        <f t="shared" si="51"/>
        <v>2</v>
      </c>
      <c r="Q145" s="357">
        <f t="shared" si="52"/>
        <v>10</v>
      </c>
      <c r="R145" s="356">
        <f t="shared" si="42"/>
        <v>1479604.5741348332</v>
      </c>
      <c r="S145" s="356">
        <f>IF($G$4="mensual",S144,0)</f>
        <v>10000</v>
      </c>
      <c r="U145" s="356">
        <f t="shared" si="53"/>
        <v>11878.316057688548</v>
      </c>
      <c r="V145" s="359">
        <f t="shared" si="55"/>
        <v>-130.84175283250227</v>
      </c>
      <c r="X145" s="359">
        <f t="shared" si="54"/>
        <v>-1741.5683761900395</v>
      </c>
      <c r="Y145" s="356">
        <f t="shared" si="34"/>
        <v>1499610.4800634992</v>
      </c>
      <c r="AA145" s="357">
        <f>+Bono!J145</f>
        <v>174029.64280604827</v>
      </c>
      <c r="AC145" s="378">
        <f t="shared" si="35"/>
        <v>10.166666666666666</v>
      </c>
      <c r="AD145" s="356">
        <f t="shared" si="36"/>
        <v>1935143.5566702674</v>
      </c>
    </row>
    <row r="146" spans="1:30" x14ac:dyDescent="0.25">
      <c r="A146" s="356">
        <f t="shared" si="37"/>
        <v>10.25</v>
      </c>
      <c r="B146" s="356">
        <f t="shared" si="38"/>
        <v>123</v>
      </c>
      <c r="C146" s="357">
        <f t="shared" si="47"/>
        <v>10</v>
      </c>
      <c r="D146" s="357">
        <f t="shared" si="48"/>
        <v>3</v>
      </c>
      <c r="E146" s="357">
        <f t="shared" si="49"/>
        <v>39</v>
      </c>
      <c r="F146" s="356">
        <f t="shared" si="39"/>
        <v>261503.43380071982</v>
      </c>
      <c r="H146" s="356">
        <f t="shared" si="32"/>
        <v>2085.265103767479</v>
      </c>
      <c r="I146" s="356">
        <v>0</v>
      </c>
      <c r="J146" s="360">
        <f>-SUM(F146:H146)*$J$21*1.16</f>
        <v>-2751.8660165628476</v>
      </c>
      <c r="K146" s="356">
        <f t="shared" si="40"/>
        <v>-302.57072614999237</v>
      </c>
      <c r="L146" s="356">
        <f t="shared" si="33"/>
        <v>260534.26216177444</v>
      </c>
      <c r="N146" s="356">
        <f t="shared" si="41"/>
        <v>123</v>
      </c>
      <c r="O146" s="357">
        <f t="shared" si="50"/>
        <v>10</v>
      </c>
      <c r="P146" s="357">
        <f t="shared" si="51"/>
        <v>3</v>
      </c>
      <c r="Q146" s="357">
        <f t="shared" si="52"/>
        <v>10</v>
      </c>
      <c r="R146" s="356">
        <f t="shared" si="42"/>
        <v>1499610.4800634992</v>
      </c>
      <c r="S146" s="356">
        <f>IF($G$4="mensual",S145,0)</f>
        <v>10000</v>
      </c>
      <c r="U146" s="356">
        <f t="shared" si="53"/>
        <v>12037.845960971168</v>
      </c>
      <c r="V146" s="359">
        <f t="shared" si="55"/>
        <v>-130.84175283250227</v>
      </c>
      <c r="X146" s="359">
        <f t="shared" si="54"/>
        <v>-1764.9602817550997</v>
      </c>
      <c r="Y146" s="356">
        <f t="shared" si="34"/>
        <v>1519752.5239898828</v>
      </c>
      <c r="AA146" s="357">
        <f>+Bono!J146</f>
        <v>173531.09140125982</v>
      </c>
      <c r="AC146" s="378">
        <f t="shared" si="35"/>
        <v>10.25</v>
      </c>
      <c r="AD146" s="356">
        <f t="shared" si="36"/>
        <v>1953817.8775529172</v>
      </c>
    </row>
    <row r="147" spans="1:30" x14ac:dyDescent="0.25">
      <c r="A147" s="356">
        <f t="shared" si="37"/>
        <v>10.333333333333334</v>
      </c>
      <c r="B147" s="356">
        <f t="shared" si="38"/>
        <v>124</v>
      </c>
      <c r="C147" s="357">
        <f t="shared" si="47"/>
        <v>10</v>
      </c>
      <c r="D147" s="357">
        <f t="shared" si="48"/>
        <v>4</v>
      </c>
      <c r="E147" s="357">
        <f t="shared" si="49"/>
        <v>39</v>
      </c>
      <c r="F147" s="356">
        <f t="shared" si="39"/>
        <v>260534.26216177444</v>
      </c>
      <c r="H147" s="356">
        <f t="shared" si="32"/>
        <v>2077.5367930188177</v>
      </c>
      <c r="I147" s="356">
        <v>0</v>
      </c>
      <c r="J147" s="356">
        <v>0</v>
      </c>
      <c r="K147" s="356">
        <f t="shared" si="40"/>
        <v>-304.62968678756016</v>
      </c>
      <c r="L147" s="356">
        <f t="shared" si="33"/>
        <v>262307.1692680057</v>
      </c>
      <c r="N147" s="356">
        <f t="shared" si="41"/>
        <v>124</v>
      </c>
      <c r="O147" s="357">
        <f t="shared" si="50"/>
        <v>10</v>
      </c>
      <c r="P147" s="357">
        <f t="shared" si="51"/>
        <v>4</v>
      </c>
      <c r="Q147" s="357">
        <f t="shared" si="52"/>
        <v>10</v>
      </c>
      <c r="R147" s="356">
        <f t="shared" si="42"/>
        <v>1519752.5239898828</v>
      </c>
      <c r="S147" s="356">
        <f>IF($G$4="mensual",S144,IF($G$4="trimestral",S144,0))</f>
        <v>10000</v>
      </c>
      <c r="U147" s="356">
        <f t="shared" si="53"/>
        <v>12198.4614477653</v>
      </c>
      <c r="V147" s="359">
        <f t="shared" si="55"/>
        <v>-130.84175283250227</v>
      </c>
      <c r="X147" s="359">
        <f t="shared" si="54"/>
        <v>-1788.511366674386</v>
      </c>
      <c r="Y147" s="356">
        <f t="shared" si="34"/>
        <v>1540031.6323181412</v>
      </c>
      <c r="AA147" s="357">
        <f>+Bono!J147</f>
        <v>174607.00429630838</v>
      </c>
      <c r="AC147" s="378">
        <f t="shared" si="35"/>
        <v>10.333333333333334</v>
      </c>
      <c r="AD147" s="356">
        <f t="shared" si="36"/>
        <v>1976945.8058824553</v>
      </c>
    </row>
    <row r="148" spans="1:30" x14ac:dyDescent="0.25">
      <c r="A148" s="356">
        <f t="shared" si="37"/>
        <v>10.416666666666666</v>
      </c>
      <c r="B148" s="356">
        <f t="shared" si="38"/>
        <v>125</v>
      </c>
      <c r="C148" s="357">
        <f t="shared" si="47"/>
        <v>10</v>
      </c>
      <c r="D148" s="357">
        <f t="shared" si="48"/>
        <v>5</v>
      </c>
      <c r="E148" s="357">
        <f t="shared" si="49"/>
        <v>39</v>
      </c>
      <c r="F148" s="356">
        <f t="shared" si="39"/>
        <v>262307.1692680057</v>
      </c>
      <c r="H148" s="356">
        <f t="shared" si="32"/>
        <v>2091.674203251307</v>
      </c>
      <c r="I148" s="356">
        <v>0</v>
      </c>
      <c r="J148" s="356">
        <v>0</v>
      </c>
      <c r="K148" s="356">
        <f t="shared" si="40"/>
        <v>-306.7026584266581</v>
      </c>
      <c r="L148" s="356">
        <f t="shared" si="33"/>
        <v>264092.14081283036</v>
      </c>
      <c r="N148" s="356">
        <f t="shared" si="41"/>
        <v>125</v>
      </c>
      <c r="O148" s="357">
        <f t="shared" si="50"/>
        <v>10</v>
      </c>
      <c r="P148" s="357">
        <f t="shared" si="51"/>
        <v>5</v>
      </c>
      <c r="Q148" s="357">
        <f t="shared" si="52"/>
        <v>10</v>
      </c>
      <c r="R148" s="356">
        <f t="shared" si="42"/>
        <v>1540031.6323181412</v>
      </c>
      <c r="S148" s="356">
        <f>IF($G$4="mensual",S147,0)</f>
        <v>10000</v>
      </c>
      <c r="U148" s="356">
        <f t="shared" si="53"/>
        <v>12360.169905347784</v>
      </c>
      <c r="V148" s="359">
        <f t="shared" si="55"/>
        <v>-130.84175283250227</v>
      </c>
      <c r="X148" s="359">
        <f t="shared" si="54"/>
        <v>-1812.2227141459614</v>
      </c>
      <c r="Y148" s="356">
        <f t="shared" si="34"/>
        <v>1560448.7377565105</v>
      </c>
      <c r="AA148" s="357">
        <f>+Bono!J148</f>
        <v>175689.58797610443</v>
      </c>
      <c r="AC148" s="378">
        <f t="shared" si="35"/>
        <v>10.416666666666666</v>
      </c>
      <c r="AD148" s="356">
        <f t="shared" si="36"/>
        <v>2000230.4665454451</v>
      </c>
    </row>
    <row r="149" spans="1:30" x14ac:dyDescent="0.25">
      <c r="A149" s="356">
        <f t="shared" si="37"/>
        <v>10.5</v>
      </c>
      <c r="B149" s="356">
        <f t="shared" si="38"/>
        <v>126</v>
      </c>
      <c r="C149" s="357">
        <f t="shared" si="47"/>
        <v>10</v>
      </c>
      <c r="D149" s="357">
        <f t="shared" si="48"/>
        <v>6</v>
      </c>
      <c r="E149" s="357">
        <f t="shared" si="49"/>
        <v>39</v>
      </c>
      <c r="F149" s="356">
        <f t="shared" si="39"/>
        <v>264092.14081283036</v>
      </c>
      <c r="H149" s="356">
        <f t="shared" si="32"/>
        <v>2105.907817011336</v>
      </c>
      <c r="I149" s="356">
        <v>0</v>
      </c>
      <c r="J149" s="360">
        <f>-SUM(F149:H149)*$J$21*1.16</f>
        <v>-2779.1076276955478</v>
      </c>
      <c r="K149" s="356">
        <f t="shared" si="40"/>
        <v>-305.56597156248955</v>
      </c>
      <c r="L149" s="356">
        <f t="shared" si="33"/>
        <v>263113.3750305837</v>
      </c>
      <c r="N149" s="356">
        <f t="shared" si="41"/>
        <v>126</v>
      </c>
      <c r="O149" s="357">
        <f t="shared" si="50"/>
        <v>10</v>
      </c>
      <c r="P149" s="357">
        <f t="shared" si="51"/>
        <v>6</v>
      </c>
      <c r="Q149" s="357">
        <f t="shared" si="52"/>
        <v>10</v>
      </c>
      <c r="R149" s="356">
        <f t="shared" si="42"/>
        <v>1560448.7377565105</v>
      </c>
      <c r="S149" s="356">
        <f>IF($G$4="mensual",S148,0)</f>
        <v>10000</v>
      </c>
      <c r="U149" s="356">
        <f t="shared" si="53"/>
        <v>12522.978771265076</v>
      </c>
      <c r="V149" s="359">
        <f t="shared" si="55"/>
        <v>-130.84175283250227</v>
      </c>
      <c r="X149" s="359">
        <f t="shared" si="54"/>
        <v>-1836.0954147389339</v>
      </c>
      <c r="Y149" s="356">
        <f t="shared" si="34"/>
        <v>1581004.7793602042</v>
      </c>
      <c r="AA149" s="357">
        <f>+Bono!J149</f>
        <v>175186.28124352777</v>
      </c>
      <c r="AC149" s="378">
        <f t="shared" si="35"/>
        <v>10.5</v>
      </c>
      <c r="AD149" s="356">
        <f t="shared" si="36"/>
        <v>2019304.4356343157</v>
      </c>
    </row>
    <row r="150" spans="1:30" x14ac:dyDescent="0.25">
      <c r="A150" s="356">
        <f t="shared" si="37"/>
        <v>10.583333333333334</v>
      </c>
      <c r="B150" s="356">
        <f t="shared" si="38"/>
        <v>127</v>
      </c>
      <c r="C150" s="357">
        <f t="shared" si="47"/>
        <v>10</v>
      </c>
      <c r="D150" s="357">
        <f t="shared" si="48"/>
        <v>7</v>
      </c>
      <c r="E150" s="357">
        <f t="shared" si="49"/>
        <v>39</v>
      </c>
      <c r="F150" s="356">
        <f t="shared" si="39"/>
        <v>263113.3750305837</v>
      </c>
      <c r="H150" s="356">
        <f t="shared" si="32"/>
        <v>2098.1030012166957</v>
      </c>
      <c r="I150" s="356">
        <v>0</v>
      </c>
      <c r="J150" s="356">
        <v>0</v>
      </c>
      <c r="K150" s="356">
        <f t="shared" si="40"/>
        <v>-307.64531451688845</v>
      </c>
      <c r="L150" s="356">
        <f t="shared" si="33"/>
        <v>264903.8327172835</v>
      </c>
      <c r="N150" s="356">
        <f t="shared" si="41"/>
        <v>127</v>
      </c>
      <c r="O150" s="357">
        <f t="shared" si="50"/>
        <v>10</v>
      </c>
      <c r="P150" s="357">
        <f t="shared" si="51"/>
        <v>7</v>
      </c>
      <c r="Q150" s="357">
        <f t="shared" si="52"/>
        <v>10</v>
      </c>
      <c r="R150" s="356">
        <f t="shared" si="42"/>
        <v>1581004.7793602042</v>
      </c>
      <c r="S150" s="356">
        <f>+IF($G$4="mensual",S144,IF($G$4="trimestral",S144,IF($G$4="semestral",S144,0)))</f>
        <v>10000</v>
      </c>
      <c r="U150" s="356">
        <f t="shared" si="53"/>
        <v>12686.895533675317</v>
      </c>
      <c r="V150" s="359">
        <f t="shared" si="55"/>
        <v>-130.84175283250227</v>
      </c>
      <c r="X150" s="359">
        <f t="shared" si="54"/>
        <v>-1860.1305664436145</v>
      </c>
      <c r="Y150" s="356">
        <f t="shared" si="34"/>
        <v>1601700.7025746035</v>
      </c>
      <c r="AA150" s="357">
        <f>+Bono!J150</f>
        <v>176272.45650758853</v>
      </c>
      <c r="AC150" s="378">
        <f t="shared" si="35"/>
        <v>10.583333333333334</v>
      </c>
      <c r="AD150" s="356">
        <f t="shared" si="36"/>
        <v>2042876.9917994756</v>
      </c>
    </row>
    <row r="151" spans="1:30" x14ac:dyDescent="0.25">
      <c r="A151" s="356">
        <f t="shared" si="37"/>
        <v>10.666666666666666</v>
      </c>
      <c r="B151" s="356">
        <f t="shared" si="38"/>
        <v>128</v>
      </c>
      <c r="C151" s="357">
        <f t="shared" si="47"/>
        <v>10</v>
      </c>
      <c r="D151" s="357">
        <f t="shared" si="48"/>
        <v>8</v>
      </c>
      <c r="E151" s="357">
        <f t="shared" si="49"/>
        <v>39</v>
      </c>
      <c r="F151" s="356">
        <f t="shared" si="39"/>
        <v>264903.8327172835</v>
      </c>
      <c r="H151" s="356">
        <f t="shared" si="32"/>
        <v>2112.3803622424502</v>
      </c>
      <c r="I151" s="356">
        <v>0</v>
      </c>
      <c r="J151" s="356">
        <v>0</v>
      </c>
      <c r="K151" s="356">
        <f t="shared" si="40"/>
        <v>-309.7388071722501</v>
      </c>
      <c r="L151" s="356">
        <f t="shared" si="33"/>
        <v>266706.47427235375</v>
      </c>
      <c r="N151" s="356">
        <f t="shared" si="41"/>
        <v>128</v>
      </c>
      <c r="O151" s="357">
        <f t="shared" si="50"/>
        <v>10</v>
      </c>
      <c r="P151" s="357">
        <f t="shared" si="51"/>
        <v>8</v>
      </c>
      <c r="Q151" s="357">
        <f t="shared" si="52"/>
        <v>10</v>
      </c>
      <c r="R151" s="356">
        <f t="shared" si="42"/>
        <v>1601700.7025746035</v>
      </c>
      <c r="S151" s="356">
        <f>IF($G$4="mensual",S150,0)</f>
        <v>10000</v>
      </c>
      <c r="U151" s="356">
        <f t="shared" si="53"/>
        <v>12851.927731692747</v>
      </c>
      <c r="V151" s="359">
        <f t="shared" si="55"/>
        <v>-130.84175283250227</v>
      </c>
      <c r="X151" s="359">
        <f t="shared" si="54"/>
        <v>-1884.3292747220178</v>
      </c>
      <c r="Y151" s="356">
        <f t="shared" si="34"/>
        <v>1622537.4592787419</v>
      </c>
      <c r="AA151" s="357">
        <f>+Bono!J151</f>
        <v>177365.366184275</v>
      </c>
      <c r="AC151" s="378">
        <f t="shared" si="35"/>
        <v>10.666666666666666</v>
      </c>
      <c r="AD151" s="356">
        <f t="shared" si="36"/>
        <v>2066609.2997353706</v>
      </c>
    </row>
    <row r="152" spans="1:30" x14ac:dyDescent="0.25">
      <c r="A152" s="356">
        <f t="shared" si="37"/>
        <v>10.75</v>
      </c>
      <c r="B152" s="356">
        <f t="shared" si="38"/>
        <v>129</v>
      </c>
      <c r="C152" s="357">
        <f t="shared" si="47"/>
        <v>10</v>
      </c>
      <c r="D152" s="357">
        <f t="shared" si="48"/>
        <v>9</v>
      </c>
      <c r="E152" s="357">
        <f t="shared" si="49"/>
        <v>39</v>
      </c>
      <c r="F152" s="356">
        <f t="shared" si="39"/>
        <v>266706.47427235375</v>
      </c>
      <c r="H152" s="356">
        <f t="shared" ref="H152:H215" si="56">SUM(F152:G152)*$G$8</f>
        <v>2126.754879145558</v>
      </c>
      <c r="I152" s="356">
        <v>0</v>
      </c>
      <c r="J152" s="360">
        <f>-SUM(F152:H152)*$J$21*1.16</f>
        <v>-2806.618912341653</v>
      </c>
      <c r="K152" s="356">
        <f t="shared" si="40"/>
        <v>-308.5908678774228</v>
      </c>
      <c r="L152" s="356">
        <f t="shared" ref="L152:L215" si="57">SUM(F152:K152)</f>
        <v>265718.0193712802</v>
      </c>
      <c r="N152" s="356">
        <f t="shared" si="41"/>
        <v>129</v>
      </c>
      <c r="O152" s="357">
        <f t="shared" si="50"/>
        <v>10</v>
      </c>
      <c r="P152" s="357">
        <f t="shared" si="51"/>
        <v>9</v>
      </c>
      <c r="Q152" s="357">
        <f t="shared" si="52"/>
        <v>10</v>
      </c>
      <c r="R152" s="356">
        <f t="shared" si="42"/>
        <v>1622537.4592787419</v>
      </c>
      <c r="S152" s="356">
        <f>IF($G$4="mensual",S151,0)</f>
        <v>10000</v>
      </c>
      <c r="U152" s="356">
        <f t="shared" si="53"/>
        <v>13018.082955734448</v>
      </c>
      <c r="V152" s="359">
        <f t="shared" si="55"/>
        <v>-130.84175283250227</v>
      </c>
      <c r="X152" s="359">
        <f t="shared" si="54"/>
        <v>-1908.6926525587064</v>
      </c>
      <c r="Y152" s="356">
        <f t="shared" ref="Y152:Y215" si="58">SUM(R152:X152)</f>
        <v>1643516.007829085</v>
      </c>
      <c r="AA152" s="357">
        <f>+Bono!J152</f>
        <v>176857.25876621556</v>
      </c>
      <c r="AC152" s="378">
        <f t="shared" ref="AC152:AC215" si="59">+B152/12</f>
        <v>10.75</v>
      </c>
      <c r="AD152" s="356">
        <f t="shared" ref="AD152:AD215" si="60">+AA152+Y152+L152</f>
        <v>2086091.2859665807</v>
      </c>
    </row>
    <row r="153" spans="1:30" x14ac:dyDescent="0.25">
      <c r="A153" s="356">
        <f t="shared" ref="A153:A216" si="61">+B153/12</f>
        <v>10.833333333333334</v>
      </c>
      <c r="B153" s="356">
        <f t="shared" ref="B153:B216" si="62">+B152+1</f>
        <v>130</v>
      </c>
      <c r="C153" s="357">
        <f t="shared" si="47"/>
        <v>10</v>
      </c>
      <c r="D153" s="357">
        <f t="shared" si="48"/>
        <v>10</v>
      </c>
      <c r="E153" s="357">
        <f t="shared" si="49"/>
        <v>39</v>
      </c>
      <c r="F153" s="356">
        <f t="shared" ref="F153:F216" si="63">L152</f>
        <v>265718.0193712802</v>
      </c>
      <c r="H153" s="356">
        <f t="shared" si="56"/>
        <v>2118.872800956759</v>
      </c>
      <c r="I153" s="356">
        <v>0</v>
      </c>
      <c r="J153" s="356">
        <v>0</v>
      </c>
      <c r="K153" s="356">
        <f t="shared" ref="K153:K216" si="64">-SUM(F153:J153)*0.1%*1.16</f>
        <v>-310.69079491979494</v>
      </c>
      <c r="L153" s="356">
        <f t="shared" si="57"/>
        <v>267526.2013773172</v>
      </c>
      <c r="N153" s="356">
        <f t="shared" ref="N153:N216" si="65">+N152+1</f>
        <v>130</v>
      </c>
      <c r="O153" s="357">
        <f t="shared" si="50"/>
        <v>10</v>
      </c>
      <c r="P153" s="357">
        <f t="shared" si="51"/>
        <v>10</v>
      </c>
      <c r="Q153" s="357">
        <f t="shared" si="52"/>
        <v>10</v>
      </c>
      <c r="R153" s="356">
        <f t="shared" ref="R153:R216" si="66">Y152</f>
        <v>1643516.007829085</v>
      </c>
      <c r="S153" s="356">
        <f>IF($G$4="mensual",S144,IF($G$4="trimestral",S144,0))</f>
        <v>10000</v>
      </c>
      <c r="U153" s="356">
        <f t="shared" si="53"/>
        <v>13185.36884786946</v>
      </c>
      <c r="V153" s="359">
        <f t="shared" si="55"/>
        <v>-130.84175283250227</v>
      </c>
      <c r="X153" s="359">
        <f t="shared" si="54"/>
        <v>-1933.2218205119814</v>
      </c>
      <c r="Y153" s="356">
        <f t="shared" si="58"/>
        <v>1664637.31310361</v>
      </c>
      <c r="AA153" s="357">
        <f>+Bono!J153</f>
        <v>177953.79428473837</v>
      </c>
      <c r="AC153" s="378">
        <f t="shared" si="59"/>
        <v>10.833333333333334</v>
      </c>
      <c r="AD153" s="356">
        <f t="shared" si="60"/>
        <v>2110117.3087656656</v>
      </c>
    </row>
    <row r="154" spans="1:30" x14ac:dyDescent="0.25">
      <c r="A154" s="356">
        <f t="shared" si="61"/>
        <v>10.916666666666666</v>
      </c>
      <c r="B154" s="356">
        <f t="shared" si="62"/>
        <v>131</v>
      </c>
      <c r="C154" s="357">
        <f t="shared" si="47"/>
        <v>10</v>
      </c>
      <c r="D154" s="357">
        <f t="shared" si="48"/>
        <v>11</v>
      </c>
      <c r="E154" s="357">
        <f t="shared" si="49"/>
        <v>39</v>
      </c>
      <c r="F154" s="356">
        <f t="shared" si="63"/>
        <v>267526.2013773172</v>
      </c>
      <c r="H154" s="356">
        <f t="shared" si="56"/>
        <v>2133.291498193915</v>
      </c>
      <c r="I154" s="356">
        <v>0</v>
      </c>
      <c r="J154" s="356">
        <v>0</v>
      </c>
      <c r="K154" s="356">
        <f t="shared" si="64"/>
        <v>-312.8050117355929</v>
      </c>
      <c r="L154" s="356">
        <f t="shared" si="57"/>
        <v>269346.6878637755</v>
      </c>
      <c r="N154" s="356">
        <f t="shared" si="65"/>
        <v>131</v>
      </c>
      <c r="O154" s="357">
        <f t="shared" si="50"/>
        <v>10</v>
      </c>
      <c r="P154" s="357">
        <f t="shared" si="51"/>
        <v>11</v>
      </c>
      <c r="Q154" s="357">
        <f t="shared" si="52"/>
        <v>10</v>
      </c>
      <c r="R154" s="356">
        <f t="shared" si="66"/>
        <v>1664637.31310361</v>
      </c>
      <c r="S154" s="356">
        <f>IF($G$17="si",S142*(1+$G$20),S142)</f>
        <v>10000</v>
      </c>
      <c r="U154" s="356">
        <f t="shared" si="53"/>
        <v>13353.793102170268</v>
      </c>
      <c r="V154" s="359">
        <f t="shared" si="55"/>
        <v>-130.84175283250227</v>
      </c>
      <c r="X154" s="359">
        <f t="shared" si="54"/>
        <v>-1957.9179067654193</v>
      </c>
      <c r="Y154" s="356">
        <f t="shared" si="58"/>
        <v>1685902.3465461824</v>
      </c>
      <c r="AA154" s="357">
        <f>+Bono!J154</f>
        <v>179057.1284506663</v>
      </c>
      <c r="AC154" s="378">
        <f t="shared" si="59"/>
        <v>10.916666666666666</v>
      </c>
      <c r="AD154" s="356">
        <f t="shared" si="60"/>
        <v>2134306.1628606245</v>
      </c>
    </row>
    <row r="155" spans="1:30" x14ac:dyDescent="0.25">
      <c r="A155" s="356">
        <f t="shared" si="61"/>
        <v>11</v>
      </c>
      <c r="B155" s="356">
        <f t="shared" si="62"/>
        <v>132</v>
      </c>
      <c r="C155" s="357">
        <f t="shared" si="47"/>
        <v>10</v>
      </c>
      <c r="D155" s="357">
        <f t="shared" si="48"/>
        <v>12</v>
      </c>
      <c r="E155" s="357">
        <f t="shared" si="49"/>
        <v>39</v>
      </c>
      <c r="F155" s="356">
        <f t="shared" si="63"/>
        <v>269346.6878637755</v>
      </c>
      <c r="H155" s="356">
        <f t="shared" si="56"/>
        <v>2147.8083130858554</v>
      </c>
      <c r="I155" s="356">
        <v>0</v>
      </c>
      <c r="J155" s="360">
        <f>-SUM(F155:H155)*$J$21*1.16</f>
        <v>-2834.4025400864334</v>
      </c>
      <c r="K155" s="356">
        <f t="shared" si="64"/>
        <v>-311.645708618659</v>
      </c>
      <c r="L155" s="356">
        <f t="shared" si="57"/>
        <v>268348.4479281563</v>
      </c>
      <c r="N155" s="356">
        <f t="shared" si="65"/>
        <v>132</v>
      </c>
      <c r="O155" s="357">
        <f t="shared" si="50"/>
        <v>10</v>
      </c>
      <c r="P155" s="357">
        <f t="shared" si="51"/>
        <v>12</v>
      </c>
      <c r="Q155" s="357">
        <f t="shared" si="52"/>
        <v>10</v>
      </c>
      <c r="R155" s="356">
        <f t="shared" si="66"/>
        <v>1685902.3465461824</v>
      </c>
      <c r="S155" s="356">
        <f>IF($G$4="mensual",S154,0)</f>
        <v>10000</v>
      </c>
      <c r="U155" s="356">
        <f t="shared" si="53"/>
        <v>13523.363465066675</v>
      </c>
      <c r="V155" s="359">
        <f t="shared" si="55"/>
        <v>-130.84175283250227</v>
      </c>
      <c r="X155" s="359">
        <f t="shared" si="54"/>
        <v>-1982.7820471797634</v>
      </c>
      <c r="Y155" s="356">
        <f t="shared" si="58"/>
        <v>1707312.086211237</v>
      </c>
      <c r="AA155" s="357">
        <f>+Bono!J155</f>
        <v>178544.17455679458</v>
      </c>
      <c r="AC155" s="378">
        <f t="shared" si="59"/>
        <v>11</v>
      </c>
      <c r="AD155" s="356">
        <f t="shared" si="60"/>
        <v>2154204.708696188</v>
      </c>
    </row>
    <row r="156" spans="1:30" x14ac:dyDescent="0.25">
      <c r="A156" s="356">
        <f t="shared" si="61"/>
        <v>11.083333333333334</v>
      </c>
      <c r="B156" s="356">
        <f t="shared" si="62"/>
        <v>133</v>
      </c>
      <c r="C156" s="357">
        <f t="shared" si="47"/>
        <v>11</v>
      </c>
      <c r="D156" s="357">
        <f t="shared" si="48"/>
        <v>1</v>
      </c>
      <c r="E156" s="357">
        <f t="shared" si="49"/>
        <v>40</v>
      </c>
      <c r="F156" s="356">
        <f t="shared" si="63"/>
        <v>268348.4479281563</v>
      </c>
      <c r="H156" s="356">
        <f t="shared" si="56"/>
        <v>2139.848207657488</v>
      </c>
      <c r="I156" s="356">
        <v>0</v>
      </c>
      <c r="J156" s="356">
        <v>0</v>
      </c>
      <c r="K156" s="356">
        <f t="shared" si="64"/>
        <v>-313.766423517544</v>
      </c>
      <c r="L156" s="356">
        <f t="shared" si="57"/>
        <v>270174.52971229627</v>
      </c>
      <c r="N156" s="356">
        <f t="shared" si="65"/>
        <v>133</v>
      </c>
      <c r="O156" s="357">
        <f t="shared" si="50"/>
        <v>11</v>
      </c>
      <c r="P156" s="357">
        <f t="shared" si="51"/>
        <v>1</v>
      </c>
      <c r="Q156" s="357">
        <f t="shared" si="52"/>
        <v>11</v>
      </c>
      <c r="R156" s="356">
        <f t="shared" si="66"/>
        <v>1707312.086211237</v>
      </c>
      <c r="S156" s="356">
        <f>IF($G$17="si",S144*(1+$G$20),S144)</f>
        <v>10000</v>
      </c>
      <c r="U156" s="356">
        <f t="shared" si="53"/>
        <v>13694.08773570209</v>
      </c>
      <c r="V156" s="359">
        <f>V155*(1+$G$18)</f>
        <v>-136.07542294580236</v>
      </c>
      <c r="X156" s="359">
        <f t="shared" si="54"/>
        <v>-2007.809314287832</v>
      </c>
      <c r="Y156" s="356">
        <f t="shared" si="58"/>
        <v>1728862.2892097053</v>
      </c>
      <c r="AA156" s="357">
        <f>+Bono!J156</f>
        <v>179651.1691488891</v>
      </c>
      <c r="AC156" s="378">
        <f t="shared" si="59"/>
        <v>11.083333333333334</v>
      </c>
      <c r="AD156" s="356">
        <f t="shared" si="60"/>
        <v>2178687.988070891</v>
      </c>
    </row>
    <row r="157" spans="1:30" x14ac:dyDescent="0.25">
      <c r="A157" s="356">
        <f t="shared" si="61"/>
        <v>11.166666666666666</v>
      </c>
      <c r="B157" s="356">
        <f t="shared" si="62"/>
        <v>134</v>
      </c>
      <c r="C157" s="357">
        <f t="shared" si="47"/>
        <v>11</v>
      </c>
      <c r="D157" s="357">
        <f t="shared" si="48"/>
        <v>2</v>
      </c>
      <c r="E157" s="357">
        <f t="shared" si="49"/>
        <v>40</v>
      </c>
      <c r="F157" s="356">
        <f t="shared" si="63"/>
        <v>270174.52971229627</v>
      </c>
      <c r="H157" s="356">
        <f t="shared" si="56"/>
        <v>2154.4096402388827</v>
      </c>
      <c r="I157" s="356">
        <v>0</v>
      </c>
      <c r="J157" s="356">
        <v>0</v>
      </c>
      <c r="K157" s="356">
        <f t="shared" si="64"/>
        <v>-315.90156964894084</v>
      </c>
      <c r="L157" s="356">
        <f t="shared" si="57"/>
        <v>272013.03778288624</v>
      </c>
      <c r="N157" s="356">
        <f t="shared" si="65"/>
        <v>134</v>
      </c>
      <c r="O157" s="357">
        <f t="shared" si="50"/>
        <v>11</v>
      </c>
      <c r="P157" s="357">
        <f t="shared" si="51"/>
        <v>2</v>
      </c>
      <c r="Q157" s="357">
        <f t="shared" si="52"/>
        <v>11</v>
      </c>
      <c r="R157" s="356">
        <f t="shared" si="66"/>
        <v>1728862.2892097053</v>
      </c>
      <c r="S157" s="356">
        <f>IF($G$4="mensual",S156,0)</f>
        <v>10000</v>
      </c>
      <c r="U157" s="356">
        <f t="shared" si="53"/>
        <v>13865.93208068326</v>
      </c>
      <c r="V157" s="359">
        <f t="shared" si="55"/>
        <v>-136.07542294580236</v>
      </c>
      <c r="X157" s="359">
        <f t="shared" si="54"/>
        <v>-2033.0068892062334</v>
      </c>
      <c r="Y157" s="356">
        <f t="shared" si="58"/>
        <v>1750559.1389782366</v>
      </c>
      <c r="AA157" s="357">
        <f>+Bono!J157</f>
        <v>180765.02723585806</v>
      </c>
      <c r="AC157" s="378">
        <f t="shared" si="59"/>
        <v>11.166666666666666</v>
      </c>
      <c r="AD157" s="356">
        <f t="shared" si="60"/>
        <v>2203337.203996981</v>
      </c>
    </row>
    <row r="158" spans="1:30" x14ac:dyDescent="0.25">
      <c r="A158" s="356">
        <f t="shared" si="61"/>
        <v>11.25</v>
      </c>
      <c r="B158" s="356">
        <f t="shared" si="62"/>
        <v>135</v>
      </c>
      <c r="C158" s="357">
        <f t="shared" si="47"/>
        <v>11</v>
      </c>
      <c r="D158" s="357">
        <f t="shared" si="48"/>
        <v>3</v>
      </c>
      <c r="E158" s="357">
        <f t="shared" si="49"/>
        <v>40</v>
      </c>
      <c r="F158" s="356">
        <f t="shared" si="63"/>
        <v>272013.03778288624</v>
      </c>
      <c r="H158" s="356">
        <f t="shared" si="56"/>
        <v>2169.0701617734403</v>
      </c>
      <c r="I158" s="356">
        <v>0</v>
      </c>
      <c r="J158" s="360">
        <f>-SUM(F158:H158)*$J$21*1.16</f>
        <v>-2862.461206942247</v>
      </c>
      <c r="K158" s="356">
        <f t="shared" si="64"/>
        <v>-314.73079021575217</v>
      </c>
      <c r="L158" s="356">
        <f t="shared" si="57"/>
        <v>271004.9159475016</v>
      </c>
      <c r="N158" s="356">
        <f t="shared" si="65"/>
        <v>135</v>
      </c>
      <c r="O158" s="357">
        <f t="shared" si="50"/>
        <v>11</v>
      </c>
      <c r="P158" s="357">
        <f t="shared" si="51"/>
        <v>3</v>
      </c>
      <c r="Q158" s="357">
        <f t="shared" si="52"/>
        <v>11</v>
      </c>
      <c r="R158" s="356">
        <f t="shared" si="66"/>
        <v>1750559.1389782366</v>
      </c>
      <c r="S158" s="356">
        <f>IF($G$4="mensual",S157,0)</f>
        <v>10000</v>
      </c>
      <c r="U158" s="356">
        <f t="shared" si="53"/>
        <v>14038.945807602357</v>
      </c>
      <c r="V158" s="359">
        <f t="shared" si="55"/>
        <v>-136.07542294580236</v>
      </c>
      <c r="X158" s="359">
        <f t="shared" si="54"/>
        <v>-2058.3759308609556</v>
      </c>
      <c r="Y158" s="356">
        <f t="shared" si="58"/>
        <v>1772403.633432032</v>
      </c>
      <c r="AA158" s="357">
        <f>+Bono!J158</f>
        <v>180247.18063908315</v>
      </c>
      <c r="AC158" s="378">
        <f t="shared" si="59"/>
        <v>11.25</v>
      </c>
      <c r="AD158" s="356">
        <f t="shared" si="60"/>
        <v>2223655.7300186167</v>
      </c>
    </row>
    <row r="159" spans="1:30" x14ac:dyDescent="0.25">
      <c r="A159" s="356">
        <f t="shared" si="61"/>
        <v>11.333333333333334</v>
      </c>
      <c r="B159" s="356">
        <f t="shared" si="62"/>
        <v>136</v>
      </c>
      <c r="C159" s="357">
        <f t="shared" si="47"/>
        <v>11</v>
      </c>
      <c r="D159" s="357">
        <f t="shared" si="48"/>
        <v>4</v>
      </c>
      <c r="E159" s="357">
        <f t="shared" si="49"/>
        <v>40</v>
      </c>
      <c r="F159" s="356">
        <f t="shared" si="63"/>
        <v>271004.9159475016</v>
      </c>
      <c r="H159" s="356">
        <f t="shared" si="56"/>
        <v>2161.031256688639</v>
      </c>
      <c r="I159" s="356">
        <v>0</v>
      </c>
      <c r="J159" s="356">
        <v>0</v>
      </c>
      <c r="K159" s="356">
        <f t="shared" si="64"/>
        <v>-316.8724987568607</v>
      </c>
      <c r="L159" s="356">
        <f t="shared" si="57"/>
        <v>272849.0747054334</v>
      </c>
      <c r="N159" s="356">
        <f t="shared" si="65"/>
        <v>136</v>
      </c>
      <c r="O159" s="357">
        <f t="shared" si="50"/>
        <v>11</v>
      </c>
      <c r="P159" s="357">
        <f t="shared" si="51"/>
        <v>4</v>
      </c>
      <c r="Q159" s="357">
        <f t="shared" si="52"/>
        <v>11</v>
      </c>
      <c r="R159" s="356">
        <f t="shared" si="66"/>
        <v>1772403.633432032</v>
      </c>
      <c r="S159" s="356">
        <f>IF($G$4="mensual",S156,IF($G$4="trimestral",S156,0))</f>
        <v>10000</v>
      </c>
      <c r="U159" s="356">
        <f t="shared" si="53"/>
        <v>14213.136873975332</v>
      </c>
      <c r="V159" s="359">
        <f t="shared" si="55"/>
        <v>-136.07542294580236</v>
      </c>
      <c r="X159" s="359">
        <f t="shared" si="54"/>
        <v>-2083.9176060643513</v>
      </c>
      <c r="Y159" s="356">
        <f t="shared" si="58"/>
        <v>1794396.7772769972</v>
      </c>
      <c r="AA159" s="357">
        <f>+Bono!J159</f>
        <v>181364.73406642434</v>
      </c>
      <c r="AC159" s="378">
        <f t="shared" si="59"/>
        <v>11.333333333333334</v>
      </c>
      <c r="AD159" s="356">
        <f t="shared" si="60"/>
        <v>2248610.586048855</v>
      </c>
    </row>
    <row r="160" spans="1:30" x14ac:dyDescent="0.25">
      <c r="A160" s="356">
        <f t="shared" si="61"/>
        <v>11.416666666666666</v>
      </c>
      <c r="B160" s="356">
        <f t="shared" si="62"/>
        <v>137</v>
      </c>
      <c r="C160" s="357">
        <f t="shared" si="47"/>
        <v>11</v>
      </c>
      <c r="D160" s="357">
        <f t="shared" si="48"/>
        <v>5</v>
      </c>
      <c r="E160" s="357">
        <f t="shared" si="49"/>
        <v>40</v>
      </c>
      <c r="F160" s="356">
        <f t="shared" si="63"/>
        <v>272849.0747054334</v>
      </c>
      <c r="H160" s="356">
        <f t="shared" si="56"/>
        <v>2175.73683759758</v>
      </c>
      <c r="I160" s="356">
        <v>0</v>
      </c>
      <c r="J160" s="356">
        <v>0</v>
      </c>
      <c r="K160" s="356">
        <f t="shared" si="64"/>
        <v>-319.02878138991593</v>
      </c>
      <c r="L160" s="356">
        <f t="shared" si="57"/>
        <v>274705.782761641</v>
      </c>
      <c r="N160" s="356">
        <f t="shared" si="65"/>
        <v>137</v>
      </c>
      <c r="O160" s="357">
        <f t="shared" si="50"/>
        <v>11</v>
      </c>
      <c r="P160" s="357">
        <f t="shared" si="51"/>
        <v>5</v>
      </c>
      <c r="Q160" s="357">
        <f t="shared" si="52"/>
        <v>11</v>
      </c>
      <c r="R160" s="356">
        <f t="shared" si="66"/>
        <v>1794396.7772769972</v>
      </c>
      <c r="S160" s="356">
        <f>IF($G$4="mensual",S159,0)</f>
        <v>10000</v>
      </c>
      <c r="U160" s="356">
        <f t="shared" si="53"/>
        <v>14388.513291468165</v>
      </c>
      <c r="V160" s="359">
        <f t="shared" si="55"/>
        <v>-136.07542294580236</v>
      </c>
      <c r="X160" s="359">
        <f t="shared" si="54"/>
        <v>-2109.6330895688025</v>
      </c>
      <c r="Y160" s="356">
        <f t="shared" si="58"/>
        <v>1816539.5820559508</v>
      </c>
      <c r="AA160" s="357">
        <f>+Bono!J160</f>
        <v>182489.2164546432</v>
      </c>
      <c r="AC160" s="378">
        <f t="shared" si="59"/>
        <v>11.416666666666666</v>
      </c>
      <c r="AD160" s="356">
        <f t="shared" si="60"/>
        <v>2273734.581272235</v>
      </c>
    </row>
    <row r="161" spans="1:30" x14ac:dyDescent="0.25">
      <c r="A161" s="356">
        <f t="shared" si="61"/>
        <v>11.5</v>
      </c>
      <c r="B161" s="356">
        <f t="shared" si="62"/>
        <v>138</v>
      </c>
      <c r="C161" s="357">
        <f t="shared" si="47"/>
        <v>11</v>
      </c>
      <c r="D161" s="357">
        <f t="shared" si="48"/>
        <v>6</v>
      </c>
      <c r="E161" s="357">
        <f t="shared" si="49"/>
        <v>40</v>
      </c>
      <c r="F161" s="356">
        <f t="shared" si="63"/>
        <v>274705.782761641</v>
      </c>
      <c r="H161" s="356">
        <f t="shared" si="56"/>
        <v>2190.542488373256</v>
      </c>
      <c r="I161" s="356">
        <v>0</v>
      </c>
      <c r="J161" s="360">
        <f>-SUM(F161:H161)*$J$21*1.16</f>
        <v>-2890.797635610149</v>
      </c>
      <c r="K161" s="356">
        <f t="shared" si="64"/>
        <v>-317.84641203270877</v>
      </c>
      <c r="L161" s="356">
        <f t="shared" si="57"/>
        <v>273687.6812023714</v>
      </c>
      <c r="N161" s="356">
        <f t="shared" si="65"/>
        <v>138</v>
      </c>
      <c r="O161" s="357">
        <f t="shared" si="50"/>
        <v>11</v>
      </c>
      <c r="P161" s="357">
        <f t="shared" si="51"/>
        <v>6</v>
      </c>
      <c r="Q161" s="357">
        <f t="shared" si="52"/>
        <v>11</v>
      </c>
      <c r="R161" s="356">
        <f t="shared" si="66"/>
        <v>1816539.5820559508</v>
      </c>
      <c r="S161" s="356">
        <f>IF($G$4="mensual",S160,0)</f>
        <v>10000</v>
      </c>
      <c r="U161" s="356">
        <f t="shared" si="53"/>
        <v>14565.083126265341</v>
      </c>
      <c r="V161" s="359">
        <f t="shared" si="55"/>
        <v>-136.07542294580236</v>
      </c>
      <c r="X161" s="359">
        <f t="shared" si="54"/>
        <v>-2135.5235641207532</v>
      </c>
      <c r="Y161" s="356">
        <f t="shared" si="58"/>
        <v>1838833.0661951494</v>
      </c>
      <c r="AA161" s="357">
        <f>+Bono!J161</f>
        <v>181966.4304869469</v>
      </c>
      <c r="AC161" s="378">
        <f t="shared" si="59"/>
        <v>11.5</v>
      </c>
      <c r="AD161" s="356">
        <f t="shared" si="60"/>
        <v>2294487.177884468</v>
      </c>
    </row>
    <row r="162" spans="1:30" x14ac:dyDescent="0.25">
      <c r="A162" s="356">
        <f t="shared" si="61"/>
        <v>11.583333333333334</v>
      </c>
      <c r="B162" s="356">
        <f t="shared" si="62"/>
        <v>139</v>
      </c>
      <c r="C162" s="357">
        <f t="shared" si="47"/>
        <v>11</v>
      </c>
      <c r="D162" s="357">
        <f t="shared" si="48"/>
        <v>7</v>
      </c>
      <c r="E162" s="357">
        <f t="shared" si="49"/>
        <v>40</v>
      </c>
      <c r="F162" s="356">
        <f t="shared" si="63"/>
        <v>273687.6812023714</v>
      </c>
      <c r="H162" s="356">
        <f t="shared" si="56"/>
        <v>2182.4240035687544</v>
      </c>
      <c r="I162" s="356">
        <v>0</v>
      </c>
      <c r="J162" s="356">
        <v>0</v>
      </c>
      <c r="K162" s="356">
        <f t="shared" si="64"/>
        <v>-320.00932203889056</v>
      </c>
      <c r="L162" s="356">
        <f t="shared" si="57"/>
        <v>275550.09588390123</v>
      </c>
      <c r="N162" s="356">
        <f t="shared" si="65"/>
        <v>139</v>
      </c>
      <c r="O162" s="357">
        <f t="shared" si="50"/>
        <v>11</v>
      </c>
      <c r="P162" s="357">
        <f t="shared" si="51"/>
        <v>7</v>
      </c>
      <c r="Q162" s="357">
        <f t="shared" si="52"/>
        <v>11</v>
      </c>
      <c r="R162" s="356">
        <f t="shared" si="66"/>
        <v>1838833.0661951494</v>
      </c>
      <c r="S162" s="356">
        <f>+IF($G$4="mensual",S156,IF($G$4="trimestral",S156,IF($G$4="semestral",S156,0)))</f>
        <v>10000</v>
      </c>
      <c r="U162" s="356">
        <f t="shared" si="53"/>
        <v>14742.854499440851</v>
      </c>
      <c r="V162" s="359">
        <f t="shared" si="55"/>
        <v>-136.07542294580236</v>
      </c>
      <c r="X162" s="359">
        <f t="shared" si="54"/>
        <v>-2161.5902205151074</v>
      </c>
      <c r="Y162" s="356">
        <f t="shared" si="58"/>
        <v>1861278.2550511293</v>
      </c>
      <c r="AA162" s="357">
        <f>+Bono!J162</f>
        <v>183094.6434627655</v>
      </c>
      <c r="AC162" s="378">
        <f t="shared" si="59"/>
        <v>11.583333333333334</v>
      </c>
      <c r="AD162" s="356">
        <f t="shared" si="60"/>
        <v>2319922.9943977958</v>
      </c>
    </row>
    <row r="163" spans="1:30" x14ac:dyDescent="0.25">
      <c r="A163" s="356">
        <f t="shared" si="61"/>
        <v>11.666666666666666</v>
      </c>
      <c r="B163" s="356">
        <f t="shared" si="62"/>
        <v>140</v>
      </c>
      <c r="C163" s="357">
        <f t="shared" si="47"/>
        <v>11</v>
      </c>
      <c r="D163" s="357">
        <f t="shared" si="48"/>
        <v>8</v>
      </c>
      <c r="E163" s="357">
        <f t="shared" si="49"/>
        <v>40</v>
      </c>
      <c r="F163" s="356">
        <f t="shared" si="63"/>
        <v>275550.09588390123</v>
      </c>
      <c r="H163" s="356">
        <f t="shared" si="56"/>
        <v>2197.2751597761257</v>
      </c>
      <c r="I163" s="356">
        <v>0</v>
      </c>
      <c r="J163" s="356">
        <v>0</v>
      </c>
      <c r="K163" s="356">
        <f t="shared" si="64"/>
        <v>-322.18695041066576</v>
      </c>
      <c r="L163" s="356">
        <f t="shared" si="57"/>
        <v>277425.1840932667</v>
      </c>
      <c r="N163" s="356">
        <f t="shared" si="65"/>
        <v>140</v>
      </c>
      <c r="O163" s="357">
        <f t="shared" si="50"/>
        <v>11</v>
      </c>
      <c r="P163" s="357">
        <f t="shared" si="51"/>
        <v>8</v>
      </c>
      <c r="Q163" s="357">
        <f t="shared" si="52"/>
        <v>11</v>
      </c>
      <c r="R163" s="356">
        <f t="shared" si="66"/>
        <v>1861278.2550511293</v>
      </c>
      <c r="S163" s="356">
        <f>IF($G$4="mensual",S162,0)</f>
        <v>10000</v>
      </c>
      <c r="U163" s="356">
        <f t="shared" si="53"/>
        <v>14921.8355873317</v>
      </c>
      <c r="V163" s="359">
        <f t="shared" si="55"/>
        <v>-136.07542294580236</v>
      </c>
      <c r="X163" s="359">
        <f t="shared" si="54"/>
        <v>-2187.8342576499977</v>
      </c>
      <c r="Y163" s="356">
        <f t="shared" si="58"/>
        <v>1883876.1809578652</v>
      </c>
      <c r="AA163" s="357">
        <f>+Bono!J163</f>
        <v>184229.85148989878</v>
      </c>
      <c r="AC163" s="378">
        <f t="shared" si="59"/>
        <v>11.666666666666666</v>
      </c>
      <c r="AD163" s="356">
        <f t="shared" si="60"/>
        <v>2345531.2165410304</v>
      </c>
    </row>
    <row r="164" spans="1:30" x14ac:dyDescent="0.25">
      <c r="A164" s="356">
        <f t="shared" si="61"/>
        <v>11.75</v>
      </c>
      <c r="B164" s="356">
        <f t="shared" si="62"/>
        <v>141</v>
      </c>
      <c r="C164" s="357">
        <f t="shared" ref="C164:C227" si="67">C152+1</f>
        <v>11</v>
      </c>
      <c r="D164" s="357">
        <f t="shared" ref="D164:D227" si="68">D152</f>
        <v>9</v>
      </c>
      <c r="E164" s="357">
        <f t="shared" ref="E164:E227" si="69">E152+1</f>
        <v>40</v>
      </c>
      <c r="F164" s="356">
        <f t="shared" si="63"/>
        <v>277425.1840932667</v>
      </c>
      <c r="H164" s="356">
        <f t="shared" si="56"/>
        <v>2212.2273764741876</v>
      </c>
      <c r="I164" s="356">
        <v>0</v>
      </c>
      <c r="J164" s="360">
        <f>-SUM(F164:H164)*$J$21*1.16</f>
        <v>-2919.414575744095</v>
      </c>
      <c r="K164" s="356">
        <f t="shared" si="64"/>
        <v>-320.9928763970363</v>
      </c>
      <c r="L164" s="356">
        <f t="shared" si="57"/>
        <v>276397.0040175998</v>
      </c>
      <c r="N164" s="356">
        <f t="shared" si="65"/>
        <v>141</v>
      </c>
      <c r="O164" s="357">
        <f t="shared" ref="O164:O227" si="70">O152+1</f>
        <v>11</v>
      </c>
      <c r="P164" s="357">
        <f t="shared" ref="P164:P227" si="71">P152</f>
        <v>9</v>
      </c>
      <c r="Q164" s="357">
        <f t="shared" ref="Q164:Q227" si="72">Q152+1</f>
        <v>11</v>
      </c>
      <c r="R164" s="356">
        <f t="shared" si="66"/>
        <v>1883876.1809578652</v>
      </c>
      <c r="S164" s="356">
        <f>IF($G$4="mensual",S163,0)</f>
        <v>10000</v>
      </c>
      <c r="U164" s="356">
        <f t="shared" ref="U164:U227" si="73">SUM(R164:T164)*$G$8</f>
        <v>15102.034621913974</v>
      </c>
      <c r="V164" s="359">
        <f t="shared" si="55"/>
        <v>-136.07542294580236</v>
      </c>
      <c r="X164" s="359">
        <f t="shared" si="54"/>
        <v>-2214.256882581926</v>
      </c>
      <c r="Y164" s="356">
        <f t="shared" si="58"/>
        <v>1906627.8832742514</v>
      </c>
      <c r="AA164" s="357">
        <f>+Bono!J164</f>
        <v>183702.07903812962</v>
      </c>
      <c r="AC164" s="378">
        <f t="shared" si="59"/>
        <v>11.75</v>
      </c>
      <c r="AD164" s="356">
        <f t="shared" si="60"/>
        <v>2366726.9663299806</v>
      </c>
    </row>
    <row r="165" spans="1:30" x14ac:dyDescent="0.25">
      <c r="A165" s="356">
        <f t="shared" si="61"/>
        <v>11.833333333333334</v>
      </c>
      <c r="B165" s="356">
        <f t="shared" si="62"/>
        <v>142</v>
      </c>
      <c r="C165" s="357">
        <f t="shared" si="67"/>
        <v>11</v>
      </c>
      <c r="D165" s="357">
        <f t="shared" si="68"/>
        <v>10</v>
      </c>
      <c r="E165" s="357">
        <f t="shared" si="69"/>
        <v>40</v>
      </c>
      <c r="F165" s="356">
        <f t="shared" si="63"/>
        <v>276397.0040175998</v>
      </c>
      <c r="H165" s="356">
        <f t="shared" si="56"/>
        <v>2204.028524164619</v>
      </c>
      <c r="I165" s="356">
        <v>0</v>
      </c>
      <c r="J165" s="356">
        <v>0</v>
      </c>
      <c r="K165" s="356">
        <f t="shared" si="64"/>
        <v>-323.1771977484467</v>
      </c>
      <c r="L165" s="356">
        <f t="shared" si="57"/>
        <v>278277.855344016</v>
      </c>
      <c r="N165" s="356">
        <f t="shared" si="65"/>
        <v>142</v>
      </c>
      <c r="O165" s="357">
        <f t="shared" si="70"/>
        <v>11</v>
      </c>
      <c r="P165" s="357">
        <f t="shared" si="71"/>
        <v>10</v>
      </c>
      <c r="Q165" s="357">
        <f t="shared" si="72"/>
        <v>11</v>
      </c>
      <c r="R165" s="356">
        <f t="shared" si="66"/>
        <v>1906627.8832742514</v>
      </c>
      <c r="S165" s="356">
        <f>IF($G$4="mensual",S156,IF($G$4="trimestral",S156,0))</f>
        <v>10000</v>
      </c>
      <c r="U165" s="356">
        <f t="shared" si="73"/>
        <v>15283.459891181452</v>
      </c>
      <c r="V165" s="359">
        <f t="shared" si="55"/>
        <v>-136.07542294580236</v>
      </c>
      <c r="X165" s="359">
        <f t="shared" si="54"/>
        <v>-2240.8593105812847</v>
      </c>
      <c r="Y165" s="356">
        <f t="shared" si="58"/>
        <v>1929534.4084319056</v>
      </c>
      <c r="AA165" s="357">
        <f>+Bono!J165</f>
        <v>184841.0532362883</v>
      </c>
      <c r="AC165" s="378">
        <f t="shared" si="59"/>
        <v>11.833333333333334</v>
      </c>
      <c r="AD165" s="356">
        <f t="shared" si="60"/>
        <v>2392653.31701221</v>
      </c>
    </row>
    <row r="166" spans="1:30" x14ac:dyDescent="0.25">
      <c r="A166" s="356">
        <f t="shared" si="61"/>
        <v>11.916666666666666</v>
      </c>
      <c r="B166" s="356">
        <f t="shared" si="62"/>
        <v>143</v>
      </c>
      <c r="C166" s="357">
        <f t="shared" si="67"/>
        <v>11</v>
      </c>
      <c r="D166" s="357">
        <f t="shared" si="68"/>
        <v>11</v>
      </c>
      <c r="E166" s="357">
        <f t="shared" si="69"/>
        <v>40</v>
      </c>
      <c r="F166" s="356">
        <f t="shared" si="63"/>
        <v>278277.855344016</v>
      </c>
      <c r="H166" s="356">
        <f t="shared" si="56"/>
        <v>2219.0266967673515</v>
      </c>
      <c r="I166" s="356">
        <v>0</v>
      </c>
      <c r="J166" s="356">
        <v>0</v>
      </c>
      <c r="K166" s="356">
        <f t="shared" si="64"/>
        <v>-325.3763831673087</v>
      </c>
      <c r="L166" s="356">
        <f t="shared" si="57"/>
        <v>280171.5056576161</v>
      </c>
      <c r="N166" s="356">
        <f t="shared" si="65"/>
        <v>143</v>
      </c>
      <c r="O166" s="357">
        <f t="shared" si="70"/>
        <v>11</v>
      </c>
      <c r="P166" s="357">
        <f t="shared" si="71"/>
        <v>11</v>
      </c>
      <c r="Q166" s="357">
        <f t="shared" si="72"/>
        <v>11</v>
      </c>
      <c r="R166" s="356">
        <f t="shared" si="66"/>
        <v>1929534.4084319056</v>
      </c>
      <c r="S166" s="356">
        <f>IF($G$17="si",S154*(1+$G$20),S154)</f>
        <v>10000</v>
      </c>
      <c r="U166" s="356">
        <f t="shared" si="73"/>
        <v>15466.119739526805</v>
      </c>
      <c r="V166" s="359">
        <f t="shared" si="55"/>
        <v>-136.07542294580236</v>
      </c>
      <c r="X166" s="359">
        <f t="shared" si="54"/>
        <v>-2267.6427651882445</v>
      </c>
      <c r="Y166" s="356">
        <f t="shared" si="58"/>
        <v>1952596.8099832982</v>
      </c>
      <c r="AA166" s="357">
        <f>+Bono!J166</f>
        <v>185987.08920658843</v>
      </c>
      <c r="AC166" s="378">
        <f t="shared" si="59"/>
        <v>11.916666666666666</v>
      </c>
      <c r="AD166" s="356">
        <f t="shared" si="60"/>
        <v>2418755.4048475027</v>
      </c>
    </row>
    <row r="167" spans="1:30" x14ac:dyDescent="0.25">
      <c r="A167" s="356">
        <f t="shared" si="61"/>
        <v>12</v>
      </c>
      <c r="B167" s="356">
        <f t="shared" si="62"/>
        <v>144</v>
      </c>
      <c r="C167" s="357">
        <f t="shared" si="67"/>
        <v>11</v>
      </c>
      <c r="D167" s="357">
        <f t="shared" si="68"/>
        <v>12</v>
      </c>
      <c r="E167" s="357">
        <f t="shared" si="69"/>
        <v>40</v>
      </c>
      <c r="F167" s="356">
        <f t="shared" si="63"/>
        <v>280171.5056576161</v>
      </c>
      <c r="H167" s="356">
        <f t="shared" si="56"/>
        <v>2234.126930291236</v>
      </c>
      <c r="I167" s="356">
        <v>0</v>
      </c>
      <c r="J167" s="360">
        <f>-SUM(F167:H167)*$J$21*1.16</f>
        <v>-2948.3148042177527</v>
      </c>
      <c r="K167" s="356">
        <f t="shared" si="64"/>
        <v>-324.17048862907984</v>
      </c>
      <c r="L167" s="356">
        <f t="shared" si="57"/>
        <v>279133.14729506045</v>
      </c>
      <c r="N167" s="356">
        <f t="shared" si="65"/>
        <v>144</v>
      </c>
      <c r="O167" s="357">
        <f t="shared" si="70"/>
        <v>11</v>
      </c>
      <c r="P167" s="357">
        <f t="shared" si="71"/>
        <v>12</v>
      </c>
      <c r="Q167" s="357">
        <f t="shared" si="72"/>
        <v>11</v>
      </c>
      <c r="R167" s="356">
        <f t="shared" si="66"/>
        <v>1952596.8099832982</v>
      </c>
      <c r="S167" s="356">
        <f>IF($G$4="mensual",S166,0)</f>
        <v>10000</v>
      </c>
      <c r="U167" s="356">
        <f t="shared" si="73"/>
        <v>15650.022568125378</v>
      </c>
      <c r="V167" s="359">
        <f t="shared" si="55"/>
        <v>-136.07542294580236</v>
      </c>
      <c r="X167" s="359">
        <f t="shared" si="54"/>
        <v>-2294.608478269034</v>
      </c>
      <c r="Y167" s="356">
        <f t="shared" si="58"/>
        <v>1975816.1486502085</v>
      </c>
      <c r="AA167" s="357">
        <f>+Bono!J167</f>
        <v>185454.2827082162</v>
      </c>
      <c r="AC167" s="378">
        <f t="shared" si="59"/>
        <v>12</v>
      </c>
      <c r="AD167" s="356">
        <f t="shared" si="60"/>
        <v>2440403.578653485</v>
      </c>
    </row>
    <row r="168" spans="1:30" x14ac:dyDescent="0.25">
      <c r="A168" s="356">
        <f t="shared" si="61"/>
        <v>12.083333333333334</v>
      </c>
      <c r="B168" s="356">
        <f t="shared" si="62"/>
        <v>145</v>
      </c>
      <c r="C168" s="357">
        <f t="shared" si="67"/>
        <v>12</v>
      </c>
      <c r="D168" s="357">
        <f t="shared" si="68"/>
        <v>1</v>
      </c>
      <c r="E168" s="357">
        <f t="shared" si="69"/>
        <v>41</v>
      </c>
      <c r="F168" s="356">
        <f t="shared" si="63"/>
        <v>279133.14729506045</v>
      </c>
      <c r="H168" s="356">
        <f t="shared" si="56"/>
        <v>2225.846914892691</v>
      </c>
      <c r="I168" s="356">
        <v>0</v>
      </c>
      <c r="J168" s="356">
        <v>0</v>
      </c>
      <c r="K168" s="356">
        <f t="shared" si="64"/>
        <v>-326.37643328354557</v>
      </c>
      <c r="L168" s="356">
        <f t="shared" si="57"/>
        <v>281032.61777666956</v>
      </c>
      <c r="N168" s="356">
        <f t="shared" si="65"/>
        <v>145</v>
      </c>
      <c r="O168" s="357">
        <f t="shared" si="70"/>
        <v>12</v>
      </c>
      <c r="P168" s="357">
        <f t="shared" si="71"/>
        <v>1</v>
      </c>
      <c r="Q168" s="357">
        <f t="shared" si="72"/>
        <v>12</v>
      </c>
      <c r="R168" s="356">
        <f t="shared" si="66"/>
        <v>1975816.1486502085</v>
      </c>
      <c r="S168" s="356">
        <f>IF($G$17="si",S156*(1+$G$20),S156)</f>
        <v>10000</v>
      </c>
      <c r="U168" s="356">
        <f t="shared" si="73"/>
        <v>15835.176835321596</v>
      </c>
      <c r="V168" s="359">
        <f>V167*(1+$G$18)</f>
        <v>-141.51843986363446</v>
      </c>
      <c r="X168" s="359">
        <f t="shared" si="54"/>
        <v>-2321.751376172973</v>
      </c>
      <c r="Y168" s="356">
        <f t="shared" si="58"/>
        <v>1999188.0556694935</v>
      </c>
      <c r="AA168" s="357">
        <f>+Bono!J168</f>
        <v>186604.1207723725</v>
      </c>
      <c r="AC168" s="378">
        <f t="shared" si="59"/>
        <v>12.083333333333334</v>
      </c>
      <c r="AD168" s="356">
        <f t="shared" si="60"/>
        <v>2466824.7942185355</v>
      </c>
    </row>
    <row r="169" spans="1:30" x14ac:dyDescent="0.25">
      <c r="A169" s="356">
        <f t="shared" si="61"/>
        <v>12.166666666666666</v>
      </c>
      <c r="B169" s="356">
        <f t="shared" si="62"/>
        <v>146</v>
      </c>
      <c r="C169" s="357">
        <f t="shared" si="67"/>
        <v>12</v>
      </c>
      <c r="D169" s="357">
        <f t="shared" si="68"/>
        <v>2</v>
      </c>
      <c r="E169" s="357">
        <f t="shared" si="69"/>
        <v>41</v>
      </c>
      <c r="F169" s="356">
        <f t="shared" si="63"/>
        <v>281032.61777666956</v>
      </c>
      <c r="H169" s="356">
        <f t="shared" si="56"/>
        <v>2240.9935592535994</v>
      </c>
      <c r="I169" s="356">
        <v>0</v>
      </c>
      <c r="J169" s="356">
        <v>0</v>
      </c>
      <c r="K169" s="356">
        <f t="shared" si="64"/>
        <v>-328.5973891496708</v>
      </c>
      <c r="L169" s="356">
        <f t="shared" si="57"/>
        <v>282945.0139467735</v>
      </c>
      <c r="N169" s="356">
        <f t="shared" si="65"/>
        <v>146</v>
      </c>
      <c r="O169" s="357">
        <f t="shared" si="70"/>
        <v>12</v>
      </c>
      <c r="P169" s="357">
        <f t="shared" si="71"/>
        <v>2</v>
      </c>
      <c r="Q169" s="357">
        <f t="shared" si="72"/>
        <v>12</v>
      </c>
      <c r="R169" s="356">
        <f t="shared" si="66"/>
        <v>1999188.0556694935</v>
      </c>
      <c r="S169" s="356">
        <f>IF($G$4="mensual",S168,0)</f>
        <v>10000</v>
      </c>
      <c r="U169" s="356">
        <f t="shared" si="73"/>
        <v>16021.547703984656</v>
      </c>
      <c r="V169" s="359">
        <f t="shared" si="55"/>
        <v>-141.51843986363446</v>
      </c>
      <c r="X169" s="359">
        <f t="shared" si="54"/>
        <v>-2349.078978522993</v>
      </c>
      <c r="Y169" s="356">
        <f t="shared" si="58"/>
        <v>2022719.0059550917</v>
      </c>
      <c r="AA169" s="357">
        <f>+Bono!J169</f>
        <v>187761.08796589953</v>
      </c>
      <c r="AC169" s="378">
        <f t="shared" si="59"/>
        <v>12.166666666666666</v>
      </c>
      <c r="AD169" s="356">
        <f t="shared" si="60"/>
        <v>2493425.107867765</v>
      </c>
    </row>
    <row r="170" spans="1:30" x14ac:dyDescent="0.25">
      <c r="A170" s="356">
        <f t="shared" si="61"/>
        <v>12.25</v>
      </c>
      <c r="B170" s="356">
        <f t="shared" si="62"/>
        <v>147</v>
      </c>
      <c r="C170" s="357">
        <f t="shared" si="67"/>
        <v>12</v>
      </c>
      <c r="D170" s="357">
        <f t="shared" si="68"/>
        <v>3</v>
      </c>
      <c r="E170" s="357">
        <f t="shared" si="69"/>
        <v>41</v>
      </c>
      <c r="F170" s="356">
        <f t="shared" si="63"/>
        <v>282945.0139467735</v>
      </c>
      <c r="H170" s="356">
        <f t="shared" si="56"/>
        <v>2256.243274869706</v>
      </c>
      <c r="I170" s="356">
        <v>0</v>
      </c>
      <c r="J170" s="360">
        <f>-SUM(F170:H170)*$J$21*1.16</f>
        <v>-2977.501125393955</v>
      </c>
      <c r="K170" s="356">
        <f t="shared" si="64"/>
        <v>-327.3795570716491</v>
      </c>
      <c r="L170" s="356">
        <f t="shared" si="57"/>
        <v>281896.37653917755</v>
      </c>
      <c r="N170" s="356">
        <f t="shared" si="65"/>
        <v>147</v>
      </c>
      <c r="O170" s="357">
        <f t="shared" si="70"/>
        <v>12</v>
      </c>
      <c r="P170" s="357">
        <f t="shared" si="71"/>
        <v>3</v>
      </c>
      <c r="Q170" s="357">
        <f t="shared" si="72"/>
        <v>12</v>
      </c>
      <c r="R170" s="356">
        <f t="shared" si="66"/>
        <v>2022719.0059550917</v>
      </c>
      <c r="S170" s="356">
        <f>IF($G$4="mensual",S169,0)</f>
        <v>10000</v>
      </c>
      <c r="U170" s="356">
        <f t="shared" si="73"/>
        <v>16209.186805987569</v>
      </c>
      <c r="V170" s="359">
        <f t="shared" si="55"/>
        <v>-141.51843986363446</v>
      </c>
      <c r="X170" s="359">
        <f t="shared" si="54"/>
        <v>-2376.59254221261</v>
      </c>
      <c r="Y170" s="356">
        <f t="shared" si="58"/>
        <v>2046410.081779003</v>
      </c>
      <c r="AA170" s="357">
        <f>+Bono!J170</f>
        <v>187223.19940472874</v>
      </c>
      <c r="AC170" s="378">
        <f t="shared" si="59"/>
        <v>12.25</v>
      </c>
      <c r="AD170" s="356">
        <f t="shared" si="60"/>
        <v>2515529.6577229095</v>
      </c>
    </row>
    <row r="171" spans="1:30" x14ac:dyDescent="0.25">
      <c r="A171" s="356">
        <f t="shared" si="61"/>
        <v>12.333333333333334</v>
      </c>
      <c r="B171" s="356">
        <f t="shared" si="62"/>
        <v>148</v>
      </c>
      <c r="C171" s="357">
        <f t="shared" si="67"/>
        <v>12</v>
      </c>
      <c r="D171" s="357">
        <f t="shared" si="68"/>
        <v>4</v>
      </c>
      <c r="E171" s="357">
        <f t="shared" si="69"/>
        <v>41</v>
      </c>
      <c r="F171" s="356">
        <f t="shared" si="63"/>
        <v>281896.37653917755</v>
      </c>
      <c r="H171" s="356">
        <f t="shared" si="56"/>
        <v>2247.881292922534</v>
      </c>
      <c r="I171" s="356">
        <v>0</v>
      </c>
      <c r="J171" s="356">
        <v>0</v>
      </c>
      <c r="K171" s="356">
        <f t="shared" si="64"/>
        <v>-329.6073390852361</v>
      </c>
      <c r="L171" s="356">
        <f t="shared" si="57"/>
        <v>283814.65049301484</v>
      </c>
      <c r="N171" s="356">
        <f t="shared" si="65"/>
        <v>148</v>
      </c>
      <c r="O171" s="357">
        <f t="shared" si="70"/>
        <v>12</v>
      </c>
      <c r="P171" s="357">
        <f t="shared" si="71"/>
        <v>4</v>
      </c>
      <c r="Q171" s="357">
        <f t="shared" si="72"/>
        <v>12</v>
      </c>
      <c r="R171" s="356">
        <f t="shared" si="66"/>
        <v>2046410.081779003</v>
      </c>
      <c r="S171" s="356">
        <f>IF($G$4="mensual",S168,IF($G$4="trimestral",S168,0))</f>
        <v>10000</v>
      </c>
      <c r="U171" s="356">
        <f t="shared" si="73"/>
        <v>16398.102771519243</v>
      </c>
      <c r="V171" s="359">
        <f t="shared" si="55"/>
        <v>-141.51843986363446</v>
      </c>
      <c r="X171" s="359">
        <f t="shared" ref="X171:X234" si="74">-SUM(R171:V171)*0.1%*1.16</f>
        <v>-2404.293332688364</v>
      </c>
      <c r="Y171" s="356">
        <f t="shared" si="58"/>
        <v>2070262.3727779703</v>
      </c>
      <c r="AA171" s="357">
        <f>+Bono!J171</f>
        <v>188384.00495758504</v>
      </c>
      <c r="AC171" s="378">
        <f t="shared" si="59"/>
        <v>12.333333333333334</v>
      </c>
      <c r="AD171" s="356">
        <f t="shared" si="60"/>
        <v>2542461.02822857</v>
      </c>
    </row>
    <row r="172" spans="1:30" x14ac:dyDescent="0.25">
      <c r="A172" s="356">
        <f t="shared" si="61"/>
        <v>12.416666666666666</v>
      </c>
      <c r="B172" s="356">
        <f t="shared" si="62"/>
        <v>149</v>
      </c>
      <c r="C172" s="357">
        <f t="shared" si="67"/>
        <v>12</v>
      </c>
      <c r="D172" s="357">
        <f t="shared" si="68"/>
        <v>5</v>
      </c>
      <c r="E172" s="357">
        <f t="shared" si="69"/>
        <v>41</v>
      </c>
      <c r="F172" s="356">
        <f t="shared" si="63"/>
        <v>283814.65049301484</v>
      </c>
      <c r="H172" s="356">
        <f t="shared" si="56"/>
        <v>2263.177878811541</v>
      </c>
      <c r="I172" s="356">
        <v>0</v>
      </c>
      <c r="J172" s="356">
        <v>0</v>
      </c>
      <c r="K172" s="356">
        <f t="shared" si="64"/>
        <v>-331.8502809113186</v>
      </c>
      <c r="L172" s="356">
        <f t="shared" si="57"/>
        <v>285745.9780909151</v>
      </c>
      <c r="N172" s="356">
        <f t="shared" si="65"/>
        <v>149</v>
      </c>
      <c r="O172" s="357">
        <f t="shared" si="70"/>
        <v>12</v>
      </c>
      <c r="P172" s="357">
        <f t="shared" si="71"/>
        <v>5</v>
      </c>
      <c r="Q172" s="357">
        <f t="shared" si="72"/>
        <v>12</v>
      </c>
      <c r="R172" s="356">
        <f t="shared" si="66"/>
        <v>2070262.3727779703</v>
      </c>
      <c r="S172" s="356">
        <f>IF($G$4="mensual",S171,0)</f>
        <v>10000</v>
      </c>
      <c r="U172" s="356">
        <f t="shared" si="73"/>
        <v>16588.304289496085</v>
      </c>
      <c r="V172" s="359">
        <f t="shared" si="55"/>
        <v>-141.51843986363446</v>
      </c>
      <c r="X172" s="359">
        <f t="shared" si="74"/>
        <v>-2432.182624008019</v>
      </c>
      <c r="Y172" s="356">
        <f t="shared" si="58"/>
        <v>2094276.9760035947</v>
      </c>
      <c r="AA172" s="357">
        <f>+Bono!J172</f>
        <v>189552.00763951417</v>
      </c>
      <c r="AC172" s="378">
        <f t="shared" si="59"/>
        <v>12.416666666666666</v>
      </c>
      <c r="AD172" s="356">
        <f t="shared" si="60"/>
        <v>2569574.961734024</v>
      </c>
    </row>
    <row r="173" spans="1:30" x14ac:dyDescent="0.25">
      <c r="A173" s="356">
        <f t="shared" si="61"/>
        <v>12.5</v>
      </c>
      <c r="B173" s="356">
        <f t="shared" si="62"/>
        <v>150</v>
      </c>
      <c r="C173" s="357">
        <f t="shared" si="67"/>
        <v>12</v>
      </c>
      <c r="D173" s="357">
        <f t="shared" si="68"/>
        <v>6</v>
      </c>
      <c r="E173" s="357">
        <f t="shared" si="69"/>
        <v>41</v>
      </c>
      <c r="F173" s="356">
        <f t="shared" si="63"/>
        <v>285745.9780909151</v>
      </c>
      <c r="H173" s="356">
        <f t="shared" si="56"/>
        <v>2278.578556291415</v>
      </c>
      <c r="I173" s="356">
        <v>0</v>
      </c>
      <c r="J173" s="360">
        <f>-SUM(F173:H173)*$J$21*1.16</f>
        <v>-3006.976371396836</v>
      </c>
      <c r="K173" s="356">
        <f t="shared" si="64"/>
        <v>-330.62039311993914</v>
      </c>
      <c r="L173" s="356">
        <f t="shared" si="57"/>
        <v>284686.9598826897</v>
      </c>
      <c r="N173" s="356">
        <f t="shared" si="65"/>
        <v>150</v>
      </c>
      <c r="O173" s="357">
        <f t="shared" si="70"/>
        <v>12</v>
      </c>
      <c r="P173" s="357">
        <f t="shared" si="71"/>
        <v>6</v>
      </c>
      <c r="Q173" s="357">
        <f t="shared" si="72"/>
        <v>12</v>
      </c>
      <c r="R173" s="356">
        <f t="shared" si="66"/>
        <v>2094276.9760035947</v>
      </c>
      <c r="S173" s="356">
        <f>IF($G$4="mensual",S172,0)</f>
        <v>10000</v>
      </c>
      <c r="U173" s="356">
        <f t="shared" si="73"/>
        <v>16779.800107961622</v>
      </c>
      <c r="V173" s="359">
        <f t="shared" si="55"/>
        <v>-141.51843986363446</v>
      </c>
      <c r="X173" s="359">
        <f t="shared" si="74"/>
        <v>-2460.261698899163</v>
      </c>
      <c r="Y173" s="356">
        <f t="shared" si="58"/>
        <v>2118454.995972793</v>
      </c>
      <c r="AA173" s="357">
        <f>+Bono!J173</f>
        <v>189008.98854135702</v>
      </c>
      <c r="AC173" s="378">
        <f t="shared" si="59"/>
        <v>12.5</v>
      </c>
      <c r="AD173" s="356">
        <f t="shared" si="60"/>
        <v>2592150.94439684</v>
      </c>
    </row>
    <row r="174" spans="1:30" x14ac:dyDescent="0.25">
      <c r="A174" s="356">
        <f t="shared" si="61"/>
        <v>12.583333333333334</v>
      </c>
      <c r="B174" s="356">
        <f t="shared" si="62"/>
        <v>151</v>
      </c>
      <c r="C174" s="357">
        <f t="shared" si="67"/>
        <v>12</v>
      </c>
      <c r="D174" s="357">
        <f t="shared" si="68"/>
        <v>7</v>
      </c>
      <c r="E174" s="357">
        <f t="shared" si="69"/>
        <v>41</v>
      </c>
      <c r="F174" s="356">
        <f t="shared" si="63"/>
        <v>284686.9598826897</v>
      </c>
      <c r="H174" s="356">
        <f t="shared" si="56"/>
        <v>2270.13379638226</v>
      </c>
      <c r="I174" s="356">
        <v>0</v>
      </c>
      <c r="J174" s="356">
        <v>0</v>
      </c>
      <c r="K174" s="356">
        <f t="shared" si="64"/>
        <v>-332.8702286677235</v>
      </c>
      <c r="L174" s="356">
        <f t="shared" si="57"/>
        <v>286624.22345040424</v>
      </c>
      <c r="N174" s="356">
        <f t="shared" si="65"/>
        <v>151</v>
      </c>
      <c r="O174" s="357">
        <f t="shared" si="70"/>
        <v>12</v>
      </c>
      <c r="P174" s="357">
        <f t="shared" si="71"/>
        <v>7</v>
      </c>
      <c r="Q174" s="357">
        <f t="shared" si="72"/>
        <v>12</v>
      </c>
      <c r="R174" s="356">
        <f t="shared" si="66"/>
        <v>2118454.995972793</v>
      </c>
      <c r="S174" s="356">
        <f>+IF($G$4="mensual",S168,IF($G$4="trimestral",S168,IF($G$4="semestral",S168,0)))</f>
        <v>10000</v>
      </c>
      <c r="U174" s="356">
        <f t="shared" si="73"/>
        <v>16972.59903448885</v>
      </c>
      <c r="V174" s="359">
        <f t="shared" si="55"/>
        <v>-141.51843986363446</v>
      </c>
      <c r="X174" s="359">
        <f t="shared" si="74"/>
        <v>-2488.5318488182047</v>
      </c>
      <c r="Y174" s="356">
        <f t="shared" si="58"/>
        <v>2142797.5447186</v>
      </c>
      <c r="AA174" s="357">
        <f>+Bono!J174</f>
        <v>190180.86619399913</v>
      </c>
      <c r="AC174" s="378">
        <f t="shared" si="59"/>
        <v>12.583333333333334</v>
      </c>
      <c r="AD174" s="356">
        <f t="shared" si="60"/>
        <v>2619602.634363003</v>
      </c>
    </row>
    <row r="175" spans="1:30" x14ac:dyDescent="0.25">
      <c r="A175" s="356">
        <f t="shared" si="61"/>
        <v>12.666666666666666</v>
      </c>
      <c r="B175" s="356">
        <f t="shared" si="62"/>
        <v>152</v>
      </c>
      <c r="C175" s="357">
        <f t="shared" si="67"/>
        <v>12</v>
      </c>
      <c r="D175" s="357">
        <f t="shared" si="68"/>
        <v>8</v>
      </c>
      <c r="E175" s="357">
        <f t="shared" si="69"/>
        <v>41</v>
      </c>
      <c r="F175" s="356">
        <f t="shared" si="63"/>
        <v>286624.22345040424</v>
      </c>
      <c r="H175" s="356">
        <f t="shared" si="56"/>
        <v>2285.581808119015</v>
      </c>
      <c r="I175" s="356">
        <v>0</v>
      </c>
      <c r="J175" s="356">
        <v>0</v>
      </c>
      <c r="K175" s="356">
        <f t="shared" si="64"/>
        <v>-335.135374099887</v>
      </c>
      <c r="L175" s="356">
        <f t="shared" si="57"/>
        <v>288574.6698844234</v>
      </c>
      <c r="N175" s="356">
        <f t="shared" si="65"/>
        <v>152</v>
      </c>
      <c r="O175" s="357">
        <f t="shared" si="70"/>
        <v>12</v>
      </c>
      <c r="P175" s="357">
        <f t="shared" si="71"/>
        <v>8</v>
      </c>
      <c r="Q175" s="357">
        <f t="shared" si="72"/>
        <v>12</v>
      </c>
      <c r="R175" s="356">
        <f t="shared" si="66"/>
        <v>2142797.5447186</v>
      </c>
      <c r="S175" s="356">
        <f>IF($G$4="mensual",S174,0)</f>
        <v>10000</v>
      </c>
      <c r="U175" s="356">
        <f t="shared" si="73"/>
        <v>17166.709936585346</v>
      </c>
      <c r="V175" s="359">
        <f t="shared" si="55"/>
        <v>-141.51843986363446</v>
      </c>
      <c r="X175" s="359">
        <f t="shared" si="74"/>
        <v>-2516.994374009773</v>
      </c>
      <c r="Y175" s="356">
        <f t="shared" si="58"/>
        <v>2167305.7418413116</v>
      </c>
      <c r="AA175" s="357">
        <f>+Bono!J175</f>
        <v>191360.00962401702</v>
      </c>
      <c r="AC175" s="378">
        <f t="shared" si="59"/>
        <v>12.666666666666666</v>
      </c>
      <c r="AD175" s="356">
        <f t="shared" si="60"/>
        <v>2647240.4213497518</v>
      </c>
    </row>
    <row r="176" spans="1:30" x14ac:dyDescent="0.25">
      <c r="A176" s="356">
        <f t="shared" si="61"/>
        <v>12.75</v>
      </c>
      <c r="B176" s="356">
        <f t="shared" si="62"/>
        <v>153</v>
      </c>
      <c r="C176" s="357">
        <f t="shared" si="67"/>
        <v>12</v>
      </c>
      <c r="D176" s="357">
        <f t="shared" si="68"/>
        <v>9</v>
      </c>
      <c r="E176" s="357">
        <f t="shared" si="69"/>
        <v>41</v>
      </c>
      <c r="F176" s="356">
        <f t="shared" si="63"/>
        <v>288574.6698844234</v>
      </c>
      <c r="H176" s="356">
        <f t="shared" si="56"/>
        <v>2301.134941882938</v>
      </c>
      <c r="I176" s="356">
        <v>0</v>
      </c>
      <c r="J176" s="360">
        <f>-SUM(F176:H176)*$J$21*1.16</f>
        <v>-3036.743402386638</v>
      </c>
      <c r="K176" s="356">
        <f t="shared" si="64"/>
        <v>-333.89331125174675</v>
      </c>
      <c r="L176" s="356">
        <f t="shared" si="57"/>
        <v>287505.16811266786</v>
      </c>
      <c r="N176" s="356">
        <f t="shared" si="65"/>
        <v>153</v>
      </c>
      <c r="O176" s="357">
        <f t="shared" si="70"/>
        <v>12</v>
      </c>
      <c r="P176" s="357">
        <f t="shared" si="71"/>
        <v>9</v>
      </c>
      <c r="Q176" s="357">
        <f t="shared" si="72"/>
        <v>12</v>
      </c>
      <c r="R176" s="356">
        <f t="shared" si="66"/>
        <v>2167305.7418413116</v>
      </c>
      <c r="S176" s="356">
        <f>IF($G$4="mensual",S175,0)</f>
        <v>10000</v>
      </c>
      <c r="U176" s="356">
        <f t="shared" si="73"/>
        <v>17362.141742101107</v>
      </c>
      <c r="V176" s="359">
        <f t="shared" si="55"/>
        <v>-141.51843986363446</v>
      </c>
      <c r="X176" s="359">
        <f t="shared" si="74"/>
        <v>-2545.6505835665166</v>
      </c>
      <c r="Y176" s="356">
        <f t="shared" si="58"/>
        <v>2191980.714559982</v>
      </c>
      <c r="AA176" s="357">
        <f>+Bono!J176</f>
        <v>190811.81105232477</v>
      </c>
      <c r="AC176" s="378">
        <f t="shared" si="59"/>
        <v>12.75</v>
      </c>
      <c r="AD176" s="356">
        <f t="shared" si="60"/>
        <v>2670297.6937249745</v>
      </c>
    </row>
    <row r="177" spans="1:30" x14ac:dyDescent="0.25">
      <c r="A177" s="356">
        <f t="shared" si="61"/>
        <v>12.833333333333334</v>
      </c>
      <c r="B177" s="356">
        <f t="shared" si="62"/>
        <v>154</v>
      </c>
      <c r="C177" s="357">
        <f t="shared" si="67"/>
        <v>12</v>
      </c>
      <c r="D177" s="357">
        <f t="shared" si="68"/>
        <v>10</v>
      </c>
      <c r="E177" s="357">
        <f t="shared" si="69"/>
        <v>41</v>
      </c>
      <c r="F177" s="356">
        <f t="shared" si="63"/>
        <v>287505.16811266786</v>
      </c>
      <c r="H177" s="356">
        <f t="shared" si="56"/>
        <v>2292.606584565998</v>
      </c>
      <c r="I177" s="356">
        <v>0</v>
      </c>
      <c r="J177" s="356">
        <v>0</v>
      </c>
      <c r="K177" s="356">
        <f t="shared" si="64"/>
        <v>-336.1654186487913</v>
      </c>
      <c r="L177" s="356">
        <f t="shared" si="57"/>
        <v>289461.60927858506</v>
      </c>
      <c r="N177" s="356">
        <f t="shared" si="65"/>
        <v>154</v>
      </c>
      <c r="O177" s="357">
        <f t="shared" si="70"/>
        <v>12</v>
      </c>
      <c r="P177" s="357">
        <f t="shared" si="71"/>
        <v>10</v>
      </c>
      <c r="Q177" s="357">
        <f t="shared" si="72"/>
        <v>12</v>
      </c>
      <c r="R177" s="356">
        <f t="shared" si="66"/>
        <v>2191980.714559982</v>
      </c>
      <c r="S177" s="356">
        <f>IF($G$4="mensual",S168,IF($G$4="trimestral",S168,0))</f>
        <v>10000</v>
      </c>
      <c r="U177" s="356">
        <f t="shared" si="73"/>
        <v>17558.903439639154</v>
      </c>
      <c r="V177" s="359">
        <f t="shared" si="55"/>
        <v>-141.51843986363446</v>
      </c>
      <c r="X177" s="359">
        <f t="shared" si="74"/>
        <v>-2574.5017954893187</v>
      </c>
      <c r="Y177" s="356">
        <f t="shared" si="58"/>
        <v>2216823.597764268</v>
      </c>
      <c r="AA177" s="357">
        <f>+Bono!J177</f>
        <v>191994.86641364935</v>
      </c>
      <c r="AC177" s="378">
        <f t="shared" si="59"/>
        <v>12.833333333333334</v>
      </c>
      <c r="AD177" s="356">
        <f t="shared" si="60"/>
        <v>2698280.0734565025</v>
      </c>
    </row>
    <row r="178" spans="1:30" x14ac:dyDescent="0.25">
      <c r="A178" s="356">
        <f t="shared" si="61"/>
        <v>12.916666666666666</v>
      </c>
      <c r="B178" s="356">
        <f t="shared" si="62"/>
        <v>155</v>
      </c>
      <c r="C178" s="357">
        <f t="shared" si="67"/>
        <v>12</v>
      </c>
      <c r="D178" s="357">
        <f t="shared" si="68"/>
        <v>11</v>
      </c>
      <c r="E178" s="357">
        <f t="shared" si="69"/>
        <v>41</v>
      </c>
      <c r="F178" s="356">
        <f t="shared" si="63"/>
        <v>289461.60927858506</v>
      </c>
      <c r="H178" s="356">
        <f t="shared" si="56"/>
        <v>2308.2075211639103</v>
      </c>
      <c r="I178" s="356">
        <v>0</v>
      </c>
      <c r="J178" s="356">
        <v>0</v>
      </c>
      <c r="K178" s="356">
        <f t="shared" si="64"/>
        <v>-338.4529874877088</v>
      </c>
      <c r="L178" s="356">
        <f t="shared" si="57"/>
        <v>291431.36381226126</v>
      </c>
      <c r="N178" s="356">
        <f t="shared" si="65"/>
        <v>155</v>
      </c>
      <c r="O178" s="357">
        <f t="shared" si="70"/>
        <v>12</v>
      </c>
      <c r="P178" s="357">
        <f t="shared" si="71"/>
        <v>11</v>
      </c>
      <c r="Q178" s="357">
        <f t="shared" si="72"/>
        <v>12</v>
      </c>
      <c r="R178" s="356">
        <f t="shared" si="66"/>
        <v>2216823.597764268</v>
      </c>
      <c r="S178" s="356">
        <f>IF($G$17="si",S166*(1+$G$20),S166)</f>
        <v>10000</v>
      </c>
      <c r="U178" s="356">
        <f t="shared" si="73"/>
        <v>17757.004078968985</v>
      </c>
      <c r="V178" s="359">
        <f t="shared" si="55"/>
        <v>-141.51843986363446</v>
      </c>
      <c r="X178" s="359">
        <f t="shared" si="74"/>
        <v>-2603.549336747913</v>
      </c>
      <c r="Y178" s="356">
        <f t="shared" si="58"/>
        <v>2241835.5340666254</v>
      </c>
      <c r="AA178" s="357">
        <f>+Bono!J178</f>
        <v>193185.25685544006</v>
      </c>
      <c r="AC178" s="378">
        <f t="shared" si="59"/>
        <v>12.916666666666666</v>
      </c>
      <c r="AD178" s="356">
        <f t="shared" si="60"/>
        <v>2726452.1547343265</v>
      </c>
    </row>
    <row r="179" spans="1:30" x14ac:dyDescent="0.25">
      <c r="A179" s="356">
        <f t="shared" si="61"/>
        <v>13</v>
      </c>
      <c r="B179" s="356">
        <f t="shared" si="62"/>
        <v>156</v>
      </c>
      <c r="C179" s="357">
        <f t="shared" si="67"/>
        <v>12</v>
      </c>
      <c r="D179" s="357">
        <f t="shared" si="68"/>
        <v>12</v>
      </c>
      <c r="E179" s="357">
        <f t="shared" si="69"/>
        <v>41</v>
      </c>
      <c r="F179" s="356">
        <f t="shared" si="63"/>
        <v>291431.36381226126</v>
      </c>
      <c r="H179" s="356">
        <f t="shared" si="56"/>
        <v>2323.914620425914</v>
      </c>
      <c r="I179" s="356">
        <v>0</v>
      </c>
      <c r="J179" s="360">
        <f>-SUM(F179:H179)*$J$21*1.16</f>
        <v>-3066.8051068372542</v>
      </c>
      <c r="K179" s="356">
        <f t="shared" si="64"/>
        <v>-337.1986290579859</v>
      </c>
      <c r="L179" s="356">
        <f t="shared" si="57"/>
        <v>290351.27469679195</v>
      </c>
      <c r="N179" s="356">
        <f t="shared" si="65"/>
        <v>156</v>
      </c>
      <c r="O179" s="357">
        <f t="shared" si="70"/>
        <v>12</v>
      </c>
      <c r="P179" s="357">
        <f t="shared" si="71"/>
        <v>12</v>
      </c>
      <c r="Q179" s="357">
        <f t="shared" si="72"/>
        <v>12</v>
      </c>
      <c r="R179" s="356">
        <f t="shared" si="66"/>
        <v>2241835.5340666254</v>
      </c>
      <c r="S179" s="356">
        <f>IF($G$4="mensual",S178,0)</f>
        <v>10000</v>
      </c>
      <c r="U179" s="356">
        <f t="shared" si="73"/>
        <v>17956.45277144278</v>
      </c>
      <c r="V179" s="359">
        <f t="shared" si="55"/>
        <v>-141.51843986363446</v>
      </c>
      <c r="X179" s="359">
        <f t="shared" si="74"/>
        <v>-2632.7945433419172</v>
      </c>
      <c r="Y179" s="356">
        <f t="shared" si="58"/>
        <v>2267017.673854863</v>
      </c>
      <c r="AA179" s="357">
        <f>+Bono!J179</f>
        <v>192631.82940689308</v>
      </c>
      <c r="AC179" s="378">
        <f t="shared" si="59"/>
        <v>13</v>
      </c>
      <c r="AD179" s="356">
        <f t="shared" si="60"/>
        <v>2750000.7779585477</v>
      </c>
    </row>
    <row r="180" spans="1:30" x14ac:dyDescent="0.25">
      <c r="A180" s="356">
        <f t="shared" si="61"/>
        <v>13.083333333333334</v>
      </c>
      <c r="B180" s="356">
        <f t="shared" si="62"/>
        <v>157</v>
      </c>
      <c r="C180" s="357">
        <f t="shared" si="67"/>
        <v>13</v>
      </c>
      <c r="D180" s="357">
        <f t="shared" si="68"/>
        <v>1</v>
      </c>
      <c r="E180" s="357">
        <f t="shared" si="69"/>
        <v>42</v>
      </c>
      <c r="F180" s="356">
        <f t="shared" si="63"/>
        <v>290351.27469679195</v>
      </c>
      <c r="H180" s="356">
        <f t="shared" si="56"/>
        <v>2315.3018381434313</v>
      </c>
      <c r="I180" s="356">
        <v>0</v>
      </c>
      <c r="J180" s="356">
        <v>0</v>
      </c>
      <c r="K180" s="356">
        <f t="shared" si="64"/>
        <v>-339.49322878052504</v>
      </c>
      <c r="L180" s="356">
        <f t="shared" si="57"/>
        <v>292327.0833061549</v>
      </c>
      <c r="N180" s="356">
        <f t="shared" si="65"/>
        <v>157</v>
      </c>
      <c r="O180" s="357">
        <f t="shared" si="70"/>
        <v>13</v>
      </c>
      <c r="P180" s="357">
        <f t="shared" si="71"/>
        <v>1</v>
      </c>
      <c r="Q180" s="357">
        <f t="shared" si="72"/>
        <v>13</v>
      </c>
      <c r="R180" s="356">
        <f t="shared" si="66"/>
        <v>2267017.673854863</v>
      </c>
      <c r="S180" s="356">
        <f>IF($G$17="si",S168*(1+$G$20),S168)</f>
        <v>10000</v>
      </c>
      <c r="U180" s="356">
        <f t="shared" si="73"/>
        <v>18157.258690414466</v>
      </c>
      <c r="V180" s="359">
        <f>V179*(1+$G$18)</f>
        <v>-147.17917745817985</v>
      </c>
      <c r="X180" s="359">
        <f t="shared" si="74"/>
        <v>-2662.23219390667</v>
      </c>
      <c r="Y180" s="356">
        <f t="shared" si="58"/>
        <v>2292365.521173912</v>
      </c>
      <c r="AA180" s="357">
        <f>+Bono!J180</f>
        <v>193826.16909312506</v>
      </c>
      <c r="AC180" s="378">
        <f t="shared" si="59"/>
        <v>13.083333333333334</v>
      </c>
      <c r="AD180" s="356">
        <f t="shared" si="60"/>
        <v>2778518.773573192</v>
      </c>
    </row>
    <row r="181" spans="1:30" x14ac:dyDescent="0.25">
      <c r="A181" s="356">
        <f t="shared" si="61"/>
        <v>13.166666666666666</v>
      </c>
      <c r="B181" s="356">
        <f t="shared" si="62"/>
        <v>158</v>
      </c>
      <c r="C181" s="357">
        <f t="shared" si="67"/>
        <v>13</v>
      </c>
      <c r="D181" s="357">
        <f t="shared" si="68"/>
        <v>2</v>
      </c>
      <c r="E181" s="357">
        <f t="shared" si="69"/>
        <v>42</v>
      </c>
      <c r="F181" s="356">
        <f t="shared" si="63"/>
        <v>292327.0833061549</v>
      </c>
      <c r="H181" s="356">
        <f t="shared" si="56"/>
        <v>2331.0572134551285</v>
      </c>
      <c r="I181" s="356">
        <v>0</v>
      </c>
      <c r="J181" s="356">
        <v>0</v>
      </c>
      <c r="K181" s="356">
        <f t="shared" si="64"/>
        <v>-341.8034430027476</v>
      </c>
      <c r="L181" s="356">
        <f t="shared" si="57"/>
        <v>294316.3370766073</v>
      </c>
      <c r="N181" s="356">
        <f t="shared" si="65"/>
        <v>158</v>
      </c>
      <c r="O181" s="357">
        <f t="shared" si="70"/>
        <v>13</v>
      </c>
      <c r="P181" s="357">
        <f t="shared" si="71"/>
        <v>2</v>
      </c>
      <c r="Q181" s="357">
        <f t="shared" si="72"/>
        <v>13</v>
      </c>
      <c r="R181" s="356">
        <f t="shared" si="66"/>
        <v>2292365.521173912</v>
      </c>
      <c r="S181" s="356">
        <f>IF($G$4="mensual",S180,0)</f>
        <v>10000</v>
      </c>
      <c r="U181" s="356">
        <f t="shared" si="73"/>
        <v>18359.38598450698</v>
      </c>
      <c r="V181" s="359">
        <f t="shared" si="55"/>
        <v>-147.17917745817985</v>
      </c>
      <c r="X181" s="359">
        <f t="shared" si="74"/>
        <v>-2691.8701644579146</v>
      </c>
      <c r="Y181" s="356">
        <f t="shared" si="58"/>
        <v>2317885.857816503</v>
      </c>
      <c r="AA181" s="357">
        <f>+Bono!J181</f>
        <v>195027.9138239465</v>
      </c>
      <c r="AC181" s="378">
        <f t="shared" si="59"/>
        <v>13.166666666666666</v>
      </c>
      <c r="AD181" s="356">
        <f t="shared" si="60"/>
        <v>2807230.1087170565</v>
      </c>
    </row>
    <row r="182" spans="1:30" x14ac:dyDescent="0.25">
      <c r="A182" s="356">
        <f t="shared" si="61"/>
        <v>13.25</v>
      </c>
      <c r="B182" s="356">
        <f t="shared" si="62"/>
        <v>159</v>
      </c>
      <c r="C182" s="357">
        <f t="shared" si="67"/>
        <v>13</v>
      </c>
      <c r="D182" s="357">
        <f t="shared" si="68"/>
        <v>3</v>
      </c>
      <c r="E182" s="357">
        <f t="shared" si="69"/>
        <v>42</v>
      </c>
      <c r="F182" s="356">
        <f t="shared" si="63"/>
        <v>294316.3370766073</v>
      </c>
      <c r="H182" s="356">
        <f t="shared" si="56"/>
        <v>2346.919802369442</v>
      </c>
      <c r="I182" s="356">
        <v>0</v>
      </c>
      <c r="J182" s="360">
        <f>-SUM(F182:H182)*$J$21*1.16</f>
        <v>-3097.164401816517</v>
      </c>
      <c r="K182" s="356">
        <f t="shared" si="64"/>
        <v>-340.5366672735058</v>
      </c>
      <c r="L182" s="356">
        <f t="shared" si="57"/>
        <v>293225.5558098867</v>
      </c>
      <c r="N182" s="356">
        <f t="shared" si="65"/>
        <v>159</v>
      </c>
      <c r="O182" s="357">
        <f t="shared" si="70"/>
        <v>13</v>
      </c>
      <c r="P182" s="357">
        <f t="shared" si="71"/>
        <v>3</v>
      </c>
      <c r="Q182" s="357">
        <f t="shared" si="72"/>
        <v>13</v>
      </c>
      <c r="R182" s="356">
        <f t="shared" si="66"/>
        <v>2317885.857816503</v>
      </c>
      <c r="S182" s="356">
        <f>IF($G$4="mensual",S181,0)</f>
        <v>10000</v>
      </c>
      <c r="U182" s="356">
        <f t="shared" si="73"/>
        <v>18562.888732687898</v>
      </c>
      <c r="V182" s="359">
        <f t="shared" si="55"/>
        <v>-147.17917745817985</v>
      </c>
      <c r="X182" s="359">
        <f t="shared" si="74"/>
        <v>-2721.7098181512097</v>
      </c>
      <c r="Y182" s="356">
        <f t="shared" si="58"/>
        <v>2343579.8575535812</v>
      </c>
      <c r="AA182" s="357">
        <f>+Bono!J182</f>
        <v>194469.20762400184</v>
      </c>
      <c r="AC182" s="378">
        <f t="shared" si="59"/>
        <v>13.25</v>
      </c>
      <c r="AD182" s="356">
        <f t="shared" si="60"/>
        <v>2831274.62098747</v>
      </c>
    </row>
    <row r="183" spans="1:30" x14ac:dyDescent="0.25">
      <c r="A183" s="356">
        <f t="shared" si="61"/>
        <v>13.333333333333334</v>
      </c>
      <c r="B183" s="356">
        <f t="shared" si="62"/>
        <v>160</v>
      </c>
      <c r="C183" s="357">
        <f t="shared" si="67"/>
        <v>13</v>
      </c>
      <c r="D183" s="357">
        <f t="shared" si="68"/>
        <v>4</v>
      </c>
      <c r="E183" s="357">
        <f t="shared" si="69"/>
        <v>42</v>
      </c>
      <c r="F183" s="356">
        <f t="shared" si="63"/>
        <v>293225.5558098867</v>
      </c>
      <c r="H183" s="356">
        <f t="shared" si="56"/>
        <v>2338.221759371395</v>
      </c>
      <c r="I183" s="356">
        <v>0</v>
      </c>
      <c r="J183" s="356">
        <v>0</v>
      </c>
      <c r="K183" s="356">
        <f t="shared" si="64"/>
        <v>-342.8539819803394</v>
      </c>
      <c r="L183" s="356">
        <f t="shared" si="57"/>
        <v>295220.92358727776</v>
      </c>
      <c r="N183" s="356">
        <f t="shared" si="65"/>
        <v>160</v>
      </c>
      <c r="O183" s="357">
        <f t="shared" si="70"/>
        <v>13</v>
      </c>
      <c r="P183" s="357">
        <f t="shared" si="71"/>
        <v>4</v>
      </c>
      <c r="Q183" s="357">
        <f t="shared" si="72"/>
        <v>13</v>
      </c>
      <c r="R183" s="356">
        <f t="shared" si="66"/>
        <v>2343579.8575535812</v>
      </c>
      <c r="S183" s="356">
        <f>IF($G$4="mensual",S180,IF($G$4="trimestral",S180,0))</f>
        <v>10000</v>
      </c>
      <c r="U183" s="356">
        <f t="shared" si="73"/>
        <v>18767.776294771575</v>
      </c>
      <c r="V183" s="359">
        <f t="shared" si="55"/>
        <v>-147.17917745817985</v>
      </c>
      <c r="X183" s="359">
        <f t="shared" si="74"/>
        <v>-2751.7525274182376</v>
      </c>
      <c r="Y183" s="356">
        <f t="shared" si="58"/>
        <v>2369448.7021434763</v>
      </c>
      <c r="AA183" s="357">
        <f>+Bono!J183</f>
        <v>195674.93926830258</v>
      </c>
      <c r="AC183" s="378">
        <f t="shared" si="59"/>
        <v>13.333333333333334</v>
      </c>
      <c r="AD183" s="356">
        <f t="shared" si="60"/>
        <v>2860344.564999057</v>
      </c>
    </row>
    <row r="184" spans="1:30" x14ac:dyDescent="0.25">
      <c r="A184" s="356">
        <f t="shared" si="61"/>
        <v>13.416666666666666</v>
      </c>
      <c r="B184" s="356">
        <f t="shared" si="62"/>
        <v>161</v>
      </c>
      <c r="C184" s="357">
        <f t="shared" si="67"/>
        <v>13</v>
      </c>
      <c r="D184" s="357">
        <f t="shared" si="68"/>
        <v>5</v>
      </c>
      <c r="E184" s="357">
        <f t="shared" si="69"/>
        <v>42</v>
      </c>
      <c r="F184" s="356">
        <f t="shared" si="63"/>
        <v>295220.92358727776</v>
      </c>
      <c r="H184" s="356">
        <f t="shared" si="56"/>
        <v>2354.1331022356208</v>
      </c>
      <c r="I184" s="356">
        <v>0</v>
      </c>
      <c r="J184" s="356">
        <v>0</v>
      </c>
      <c r="K184" s="356">
        <f t="shared" si="64"/>
        <v>-345.1870657598355</v>
      </c>
      <c r="L184" s="356">
        <f t="shared" si="57"/>
        <v>297229.86962375353</v>
      </c>
      <c r="N184" s="356">
        <f t="shared" si="65"/>
        <v>161</v>
      </c>
      <c r="O184" s="357">
        <f t="shared" si="70"/>
        <v>13</v>
      </c>
      <c r="P184" s="357">
        <f t="shared" si="71"/>
        <v>5</v>
      </c>
      <c r="Q184" s="357">
        <f t="shared" si="72"/>
        <v>13</v>
      </c>
      <c r="R184" s="356">
        <f t="shared" si="66"/>
        <v>2369448.7021434763</v>
      </c>
      <c r="S184" s="356">
        <f>IF($G$4="mensual",S183,0)</f>
        <v>10000</v>
      </c>
      <c r="U184" s="356">
        <f t="shared" si="73"/>
        <v>18974.058094264885</v>
      </c>
      <c r="V184" s="359">
        <f t="shared" si="55"/>
        <v>-147.17917745817985</v>
      </c>
      <c r="X184" s="359">
        <f t="shared" si="74"/>
        <v>-2781.999674029928</v>
      </c>
      <c r="Y184" s="356">
        <f t="shared" si="58"/>
        <v>2395493.581386253</v>
      </c>
      <c r="AA184" s="357">
        <f>+Bono!J184</f>
        <v>196888.14658865417</v>
      </c>
      <c r="AC184" s="378">
        <f t="shared" si="59"/>
        <v>13.416666666666666</v>
      </c>
      <c r="AD184" s="356">
        <f t="shared" si="60"/>
        <v>2889611.5975986607</v>
      </c>
    </row>
    <row r="185" spans="1:30" x14ac:dyDescent="0.25">
      <c r="A185" s="356">
        <f t="shared" si="61"/>
        <v>13.5</v>
      </c>
      <c r="B185" s="356">
        <f t="shared" si="62"/>
        <v>162</v>
      </c>
      <c r="C185" s="357">
        <f t="shared" si="67"/>
        <v>13</v>
      </c>
      <c r="D185" s="357">
        <f t="shared" si="68"/>
        <v>6</v>
      </c>
      <c r="E185" s="357">
        <f t="shared" si="69"/>
        <v>42</v>
      </c>
      <c r="F185" s="356">
        <f t="shared" si="63"/>
        <v>297229.86962375353</v>
      </c>
      <c r="H185" s="356">
        <f t="shared" si="56"/>
        <v>2370.152720044568</v>
      </c>
      <c r="I185" s="356">
        <v>0</v>
      </c>
      <c r="J185" s="360">
        <f>-SUM(F185:H185)*$J$21*1.16</f>
        <v>-3127.824233269252</v>
      </c>
      <c r="K185" s="356">
        <f t="shared" si="64"/>
        <v>-343.90774980821345</v>
      </c>
      <c r="L185" s="356">
        <f t="shared" si="57"/>
        <v>296128.2903607206</v>
      </c>
      <c r="N185" s="356">
        <f t="shared" si="65"/>
        <v>162</v>
      </c>
      <c r="O185" s="357">
        <f t="shared" si="70"/>
        <v>13</v>
      </c>
      <c r="P185" s="357">
        <f t="shared" si="71"/>
        <v>6</v>
      </c>
      <c r="Q185" s="357">
        <f t="shared" si="72"/>
        <v>13</v>
      </c>
      <c r="R185" s="356">
        <f t="shared" si="66"/>
        <v>2395493.581386253</v>
      </c>
      <c r="S185" s="356">
        <f>IF($G$4="mensual",S184,0)</f>
        <v>10000</v>
      </c>
      <c r="U185" s="356">
        <f t="shared" si="73"/>
        <v>19181.743618800625</v>
      </c>
      <c r="V185" s="359">
        <f t="shared" si="55"/>
        <v>-147.17917745817985</v>
      </c>
      <c r="X185" s="359">
        <f t="shared" si="74"/>
        <v>-2812.4526491600104</v>
      </c>
      <c r="Y185" s="356">
        <f t="shared" si="58"/>
        <v>2421715.6931784353</v>
      </c>
      <c r="AA185" s="357">
        <f>+Bono!J185</f>
        <v>196324.11128705117</v>
      </c>
      <c r="AC185" s="378">
        <f t="shared" si="59"/>
        <v>13.5</v>
      </c>
      <c r="AD185" s="356">
        <f t="shared" si="60"/>
        <v>2914168.0948262075</v>
      </c>
    </row>
    <row r="186" spans="1:30" x14ac:dyDescent="0.25">
      <c r="A186" s="356">
        <f t="shared" si="61"/>
        <v>13.583333333333334</v>
      </c>
      <c r="B186" s="356">
        <f t="shared" si="62"/>
        <v>163</v>
      </c>
      <c r="C186" s="357">
        <f t="shared" si="67"/>
        <v>13</v>
      </c>
      <c r="D186" s="357">
        <f t="shared" si="68"/>
        <v>7</v>
      </c>
      <c r="E186" s="357">
        <f t="shared" si="69"/>
        <v>42</v>
      </c>
      <c r="F186" s="356">
        <f t="shared" si="63"/>
        <v>296128.2903607206</v>
      </c>
      <c r="H186" s="356">
        <f t="shared" si="56"/>
        <v>2361.368572307575</v>
      </c>
      <c r="I186" s="356">
        <v>0</v>
      </c>
      <c r="J186" s="356">
        <v>0</v>
      </c>
      <c r="K186" s="356">
        <f t="shared" si="64"/>
        <v>-346.24800436231266</v>
      </c>
      <c r="L186" s="356">
        <f t="shared" si="57"/>
        <v>298143.41092866583</v>
      </c>
      <c r="N186" s="356">
        <f t="shared" si="65"/>
        <v>163</v>
      </c>
      <c r="O186" s="357">
        <f t="shared" si="70"/>
        <v>13</v>
      </c>
      <c r="P186" s="357">
        <f t="shared" si="71"/>
        <v>7</v>
      </c>
      <c r="Q186" s="357">
        <f t="shared" si="72"/>
        <v>13</v>
      </c>
      <c r="R186" s="356">
        <f t="shared" si="66"/>
        <v>2421715.6931784353</v>
      </c>
      <c r="S186" s="356">
        <f>+IF($G$4="mensual",S180,IF($G$4="trimestral",S180,IF($G$4="semestral",S180,0)))</f>
        <v>10000</v>
      </c>
      <c r="U186" s="356">
        <f t="shared" si="73"/>
        <v>19390.842420573903</v>
      </c>
      <c r="V186" s="359">
        <f t="shared" si="55"/>
        <v>-147.17917745817985</v>
      </c>
      <c r="X186" s="359">
        <f t="shared" si="74"/>
        <v>-2843.1128534489985</v>
      </c>
      <c r="Y186" s="356">
        <f t="shared" si="58"/>
        <v>2448116.243568102</v>
      </c>
      <c r="AA186" s="357">
        <f>+Bono!J186</f>
        <v>197541.3435492183</v>
      </c>
      <c r="AC186" s="378">
        <f t="shared" si="59"/>
        <v>13.583333333333334</v>
      </c>
      <c r="AD186" s="356">
        <f t="shared" si="60"/>
        <v>2943800.998045986</v>
      </c>
    </row>
    <row r="187" spans="1:30" x14ac:dyDescent="0.25">
      <c r="A187" s="356">
        <f t="shared" si="61"/>
        <v>13.666666666666666</v>
      </c>
      <c r="B187" s="356">
        <f t="shared" si="62"/>
        <v>164</v>
      </c>
      <c r="C187" s="357">
        <f t="shared" si="67"/>
        <v>13</v>
      </c>
      <c r="D187" s="357">
        <f t="shared" si="68"/>
        <v>8</v>
      </c>
      <c r="E187" s="357">
        <f t="shared" si="69"/>
        <v>42</v>
      </c>
      <c r="F187" s="356">
        <f t="shared" si="63"/>
        <v>298143.41092866583</v>
      </c>
      <c r="H187" s="356">
        <f t="shared" si="56"/>
        <v>2377.437426697543</v>
      </c>
      <c r="I187" s="356">
        <v>0</v>
      </c>
      <c r="J187" s="356">
        <v>0</v>
      </c>
      <c r="K187" s="356">
        <f t="shared" si="64"/>
        <v>-348.60418409222143</v>
      </c>
      <c r="L187" s="356">
        <f t="shared" si="57"/>
        <v>300172.24417127116</v>
      </c>
      <c r="N187" s="356">
        <f t="shared" si="65"/>
        <v>164</v>
      </c>
      <c r="O187" s="357">
        <f t="shared" si="70"/>
        <v>13</v>
      </c>
      <c r="P187" s="357">
        <f t="shared" si="71"/>
        <v>8</v>
      </c>
      <c r="Q187" s="357">
        <f t="shared" si="72"/>
        <v>13</v>
      </c>
      <c r="R187" s="356">
        <f t="shared" si="66"/>
        <v>2448116.243568102</v>
      </c>
      <c r="S187" s="356">
        <f>IF($G$4="mensual",S186,0)</f>
        <v>10000</v>
      </c>
      <c r="U187" s="356">
        <f t="shared" si="73"/>
        <v>19601.364116781453</v>
      </c>
      <c r="V187" s="359">
        <f t="shared" si="55"/>
        <v>-147.17917745817985</v>
      </c>
      <c r="X187" s="359">
        <f t="shared" si="74"/>
        <v>-2873.9816970686124</v>
      </c>
      <c r="Y187" s="356">
        <f t="shared" si="58"/>
        <v>2474696.4468103563</v>
      </c>
      <c r="AA187" s="357">
        <f>+Bono!J187</f>
        <v>198766.1227926011</v>
      </c>
      <c r="AC187" s="378">
        <f t="shared" si="59"/>
        <v>13.666666666666666</v>
      </c>
      <c r="AD187" s="356">
        <f t="shared" si="60"/>
        <v>2973634.8137742286</v>
      </c>
    </row>
    <row r="188" spans="1:30" x14ac:dyDescent="0.25">
      <c r="A188" s="356">
        <f t="shared" si="61"/>
        <v>13.75</v>
      </c>
      <c r="B188" s="356">
        <f t="shared" si="62"/>
        <v>165</v>
      </c>
      <c r="C188" s="357">
        <f t="shared" si="67"/>
        <v>13</v>
      </c>
      <c r="D188" s="357">
        <f t="shared" si="68"/>
        <v>9</v>
      </c>
      <c r="E188" s="357">
        <f t="shared" si="69"/>
        <v>42</v>
      </c>
      <c r="F188" s="356">
        <f t="shared" si="63"/>
        <v>300172.24417127116</v>
      </c>
      <c r="H188" s="356">
        <f t="shared" si="56"/>
        <v>2393.615627880906</v>
      </c>
      <c r="I188" s="356">
        <v>0</v>
      </c>
      <c r="J188" s="360">
        <f>-SUM(F188:H188)*$J$21*1.16</f>
        <v>-3158.7875763031475</v>
      </c>
      <c r="K188" s="356">
        <f t="shared" si="64"/>
        <v>-347.3122037785048</v>
      </c>
      <c r="L188" s="356">
        <f t="shared" si="57"/>
        <v>299059.76001907047</v>
      </c>
      <c r="N188" s="356">
        <f t="shared" si="65"/>
        <v>165</v>
      </c>
      <c r="O188" s="357">
        <f t="shared" si="70"/>
        <v>13</v>
      </c>
      <c r="P188" s="357">
        <f t="shared" si="71"/>
        <v>9</v>
      </c>
      <c r="Q188" s="357">
        <f t="shared" si="72"/>
        <v>13</v>
      </c>
      <c r="R188" s="356">
        <f t="shared" si="66"/>
        <v>2474696.4468103563</v>
      </c>
      <c r="S188" s="356">
        <f>IF($G$4="mensual",S187,0)</f>
        <v>10000</v>
      </c>
      <c r="U188" s="356">
        <f t="shared" si="73"/>
        <v>19813.318390063992</v>
      </c>
      <c r="V188" s="359">
        <f t="shared" si="55"/>
        <v>-147.17917745817985</v>
      </c>
      <c r="X188" s="359">
        <f t="shared" si="74"/>
        <v>-2905.0605997866355</v>
      </c>
      <c r="Y188" s="356">
        <f t="shared" si="58"/>
        <v>2501457.525423175</v>
      </c>
      <c r="AA188" s="357">
        <f>+Bono!J188</f>
        <v>198196.70755882366</v>
      </c>
      <c r="AC188" s="378">
        <f t="shared" si="59"/>
        <v>13.75</v>
      </c>
      <c r="AD188" s="356">
        <f t="shared" si="60"/>
        <v>2998713.9930010694</v>
      </c>
    </row>
    <row r="189" spans="1:30" x14ac:dyDescent="0.25">
      <c r="A189" s="356">
        <f t="shared" si="61"/>
        <v>13.833333333333334</v>
      </c>
      <c r="B189" s="356">
        <f t="shared" si="62"/>
        <v>166</v>
      </c>
      <c r="C189" s="357">
        <f t="shared" si="67"/>
        <v>13</v>
      </c>
      <c r="D189" s="357">
        <f t="shared" si="68"/>
        <v>10</v>
      </c>
      <c r="E189" s="357">
        <f t="shared" si="69"/>
        <v>42</v>
      </c>
      <c r="F189" s="356">
        <f t="shared" si="63"/>
        <v>299059.76001907047</v>
      </c>
      <c r="H189" s="356">
        <f t="shared" si="56"/>
        <v>2384.7445230263274</v>
      </c>
      <c r="I189" s="356">
        <v>0</v>
      </c>
      <c r="J189" s="356">
        <v>0</v>
      </c>
      <c r="K189" s="356">
        <f t="shared" si="64"/>
        <v>-349.6756252688323</v>
      </c>
      <c r="L189" s="356">
        <f t="shared" si="57"/>
        <v>301094.828916828</v>
      </c>
      <c r="N189" s="356">
        <f t="shared" si="65"/>
        <v>166</v>
      </c>
      <c r="O189" s="357">
        <f t="shared" si="70"/>
        <v>13</v>
      </c>
      <c r="P189" s="357">
        <f t="shared" si="71"/>
        <v>10</v>
      </c>
      <c r="Q189" s="357">
        <f t="shared" si="72"/>
        <v>13</v>
      </c>
      <c r="R189" s="356">
        <f t="shared" si="66"/>
        <v>2501457.525423175</v>
      </c>
      <c r="S189" s="356">
        <f>IF($G$4="mensual",S180,IF($G$4="trimestral",S180,0))</f>
        <v>10000</v>
      </c>
      <c r="U189" s="356">
        <f t="shared" si="73"/>
        <v>20026.714988951546</v>
      </c>
      <c r="V189" s="359">
        <f>V188</f>
        <v>-147.17917745817985</v>
      </c>
      <c r="X189" s="359">
        <f t="shared" si="74"/>
        <v>-2936.350991032215</v>
      </c>
      <c r="Y189" s="356">
        <f t="shared" si="58"/>
        <v>2528400.7102436363</v>
      </c>
      <c r="AA189" s="357">
        <f>+Bono!J189</f>
        <v>199425.55013508353</v>
      </c>
      <c r="AC189" s="378">
        <f t="shared" si="59"/>
        <v>13.833333333333334</v>
      </c>
      <c r="AD189" s="356">
        <f t="shared" si="60"/>
        <v>3028921.089295548</v>
      </c>
    </row>
    <row r="190" spans="1:30" x14ac:dyDescent="0.25">
      <c r="A190" s="356">
        <f t="shared" si="61"/>
        <v>13.916666666666666</v>
      </c>
      <c r="B190" s="356">
        <f t="shared" si="62"/>
        <v>167</v>
      </c>
      <c r="C190" s="357">
        <f t="shared" si="67"/>
        <v>13</v>
      </c>
      <c r="D190" s="357">
        <f t="shared" si="68"/>
        <v>11</v>
      </c>
      <c r="E190" s="357">
        <f t="shared" si="69"/>
        <v>42</v>
      </c>
      <c r="F190" s="356">
        <f t="shared" si="63"/>
        <v>301094.828916828</v>
      </c>
      <c r="H190" s="356">
        <f t="shared" si="56"/>
        <v>2400.97244819954</v>
      </c>
      <c r="I190" s="356">
        <v>0</v>
      </c>
      <c r="J190" s="356">
        <v>0</v>
      </c>
      <c r="K190" s="356">
        <f t="shared" si="64"/>
        <v>-352.05512958343184</v>
      </c>
      <c r="L190" s="356">
        <f t="shared" si="57"/>
        <v>303143.74623544404</v>
      </c>
      <c r="N190" s="356">
        <f t="shared" si="65"/>
        <v>167</v>
      </c>
      <c r="O190" s="357">
        <f t="shared" si="70"/>
        <v>13</v>
      </c>
      <c r="P190" s="357">
        <f t="shared" si="71"/>
        <v>11</v>
      </c>
      <c r="Q190" s="357">
        <f t="shared" si="72"/>
        <v>13</v>
      </c>
      <c r="R190" s="356">
        <f t="shared" si="66"/>
        <v>2528400.7102436363</v>
      </c>
      <c r="S190" s="356">
        <f>IF($G$17="si",S178*(1+$G$20),S178)</f>
        <v>10000</v>
      </c>
      <c r="U190" s="356">
        <f t="shared" si="73"/>
        <v>20241.56372831181</v>
      </c>
      <c r="V190" s="359">
        <f>V189</f>
        <v>-147.17917745817985</v>
      </c>
      <c r="X190" s="359">
        <f t="shared" si="74"/>
        <v>-2967.854309961608</v>
      </c>
      <c r="Y190" s="356">
        <f t="shared" si="58"/>
        <v>2555527.2404845282</v>
      </c>
      <c r="AA190" s="357">
        <f>+Bono!J190</f>
        <v>200662.0116778531</v>
      </c>
      <c r="AC190" s="378">
        <f t="shared" si="59"/>
        <v>13.916666666666666</v>
      </c>
      <c r="AD190" s="356">
        <f t="shared" si="60"/>
        <v>3059332.9983978258</v>
      </c>
    </row>
    <row r="191" spans="1:30" x14ac:dyDescent="0.25">
      <c r="A191" s="356">
        <f t="shared" si="61"/>
        <v>14</v>
      </c>
      <c r="B191" s="356">
        <f t="shared" si="62"/>
        <v>168</v>
      </c>
      <c r="C191" s="357">
        <f t="shared" si="67"/>
        <v>13</v>
      </c>
      <c r="D191" s="357">
        <f t="shared" si="68"/>
        <v>12</v>
      </c>
      <c r="E191" s="357">
        <f t="shared" si="69"/>
        <v>42</v>
      </c>
      <c r="F191" s="356">
        <f t="shared" si="63"/>
        <v>303143.74623544404</v>
      </c>
      <c r="H191" s="356">
        <f t="shared" si="56"/>
        <v>2417.3108026253976</v>
      </c>
      <c r="I191" s="356">
        <v>0</v>
      </c>
      <c r="J191" s="360">
        <f>-SUM(F191:H191)*$J$21*1.16</f>
        <v>-3190.057435477445</v>
      </c>
      <c r="K191" s="356">
        <f t="shared" si="64"/>
        <v>-350.75035953900664</v>
      </c>
      <c r="L191" s="356">
        <f t="shared" si="57"/>
        <v>302020.24924305297</v>
      </c>
      <c r="N191" s="356">
        <f t="shared" si="65"/>
        <v>168</v>
      </c>
      <c r="O191" s="357">
        <f t="shared" si="70"/>
        <v>13</v>
      </c>
      <c r="P191" s="357">
        <f t="shared" si="71"/>
        <v>12</v>
      </c>
      <c r="Q191" s="357">
        <f t="shared" si="72"/>
        <v>13</v>
      </c>
      <c r="R191" s="356">
        <f t="shared" si="66"/>
        <v>2555527.2404845282</v>
      </c>
      <c r="S191" s="356">
        <f>IF($G$4="mensual",S190,0)</f>
        <v>10000</v>
      </c>
      <c r="U191" s="356">
        <f t="shared" si="73"/>
        <v>20457.874489801587</v>
      </c>
      <c r="V191" s="359">
        <f>V190</f>
        <v>-147.17917745817985</v>
      </c>
      <c r="X191" s="359">
        <f t="shared" si="74"/>
        <v>-2999.572005524371</v>
      </c>
      <c r="Y191" s="356">
        <f t="shared" si="58"/>
        <v>2582838.363791347</v>
      </c>
      <c r="AA191" s="357">
        <f>+Bono!J191</f>
        <v>200087.16519654897</v>
      </c>
      <c r="AC191" s="378">
        <f t="shared" si="59"/>
        <v>14</v>
      </c>
      <c r="AD191" s="356">
        <f t="shared" si="60"/>
        <v>3084945.7782309493</v>
      </c>
    </row>
    <row r="192" spans="1:30" x14ac:dyDescent="0.25">
      <c r="A192" s="356">
        <f t="shared" si="61"/>
        <v>14.083333333333334</v>
      </c>
      <c r="B192" s="356">
        <f t="shared" si="62"/>
        <v>169</v>
      </c>
      <c r="C192" s="357">
        <f t="shared" si="67"/>
        <v>14</v>
      </c>
      <c r="D192" s="357">
        <f t="shared" si="68"/>
        <v>1</v>
      </c>
      <c r="E192" s="357">
        <f t="shared" si="69"/>
        <v>43</v>
      </c>
      <c r="F192" s="356">
        <f t="shared" si="63"/>
        <v>302020.24924305297</v>
      </c>
      <c r="H192" s="356">
        <f t="shared" si="56"/>
        <v>2408.3518798366204</v>
      </c>
      <c r="I192" s="356">
        <v>0</v>
      </c>
      <c r="J192" s="356">
        <v>0</v>
      </c>
      <c r="K192" s="356">
        <f t="shared" si="64"/>
        <v>-353.13717730255195</v>
      </c>
      <c r="L192" s="356">
        <f t="shared" si="57"/>
        <v>304075.46394558705</v>
      </c>
      <c r="N192" s="356">
        <f t="shared" si="65"/>
        <v>169</v>
      </c>
      <c r="O192" s="357">
        <f t="shared" si="70"/>
        <v>14</v>
      </c>
      <c r="P192" s="357">
        <f t="shared" si="71"/>
        <v>1</v>
      </c>
      <c r="Q192" s="357">
        <f t="shared" si="72"/>
        <v>14</v>
      </c>
      <c r="R192" s="356">
        <f t="shared" si="66"/>
        <v>2582838.363791347</v>
      </c>
      <c r="S192" s="356">
        <f>IF($G$17="si",S180*(1+$G$20),S180)</f>
        <v>10000</v>
      </c>
      <c r="U192" s="356">
        <f t="shared" si="73"/>
        <v>20675.657222321268</v>
      </c>
      <c r="V192" s="359">
        <f>V191*(1+$G$18)</f>
        <v>-153.06634455650706</v>
      </c>
      <c r="X192" s="359">
        <f t="shared" si="74"/>
        <v>-3031.4987074161695</v>
      </c>
      <c r="Y192" s="356">
        <f t="shared" si="58"/>
        <v>2610329.455961696</v>
      </c>
      <c r="AA192" s="357">
        <f>+Bono!J192</f>
        <v>201327.72882944223</v>
      </c>
      <c r="AC192" s="378">
        <f t="shared" si="59"/>
        <v>14.083333333333334</v>
      </c>
      <c r="AD192" s="356">
        <f t="shared" si="60"/>
        <v>3115732.648736725</v>
      </c>
    </row>
    <row r="193" spans="1:30" x14ac:dyDescent="0.25">
      <c r="A193" s="356">
        <f t="shared" si="61"/>
        <v>14.166666666666666</v>
      </c>
      <c r="B193" s="356">
        <f t="shared" si="62"/>
        <v>170</v>
      </c>
      <c r="C193" s="357">
        <f t="shared" si="67"/>
        <v>14</v>
      </c>
      <c r="D193" s="357">
        <f t="shared" si="68"/>
        <v>2</v>
      </c>
      <c r="E193" s="357">
        <f t="shared" si="69"/>
        <v>43</v>
      </c>
      <c r="F193" s="356">
        <f t="shared" si="63"/>
        <v>304075.46394558705</v>
      </c>
      <c r="H193" s="356">
        <f t="shared" si="56"/>
        <v>2424.7404504861747</v>
      </c>
      <c r="I193" s="356">
        <v>0</v>
      </c>
      <c r="J193" s="356">
        <v>0</v>
      </c>
      <c r="K193" s="356">
        <f t="shared" si="64"/>
        <v>-355.54023709944494</v>
      </c>
      <c r="L193" s="356">
        <f t="shared" si="57"/>
        <v>306144.6641589738</v>
      </c>
      <c r="N193" s="356">
        <f t="shared" si="65"/>
        <v>170</v>
      </c>
      <c r="O193" s="357">
        <f t="shared" si="70"/>
        <v>14</v>
      </c>
      <c r="P193" s="357">
        <f t="shared" si="71"/>
        <v>2</v>
      </c>
      <c r="Q193" s="357">
        <f t="shared" si="72"/>
        <v>14</v>
      </c>
      <c r="R193" s="356">
        <f t="shared" si="66"/>
        <v>2610329.455961696</v>
      </c>
      <c r="S193" s="356">
        <f>IF($G$4="mensual",S192,0)</f>
        <v>10000</v>
      </c>
      <c r="U193" s="356">
        <f t="shared" si="73"/>
        <v>20894.875051831565</v>
      </c>
      <c r="V193" s="359">
        <f t="shared" ref="V193:V256" si="75">V192</f>
        <v>-153.06634455650706</v>
      </c>
      <c r="X193" s="359">
        <f t="shared" si="74"/>
        <v>-3063.642667016006</v>
      </c>
      <c r="Y193" s="356">
        <f t="shared" si="58"/>
        <v>2638007.622001955</v>
      </c>
      <c r="AA193" s="357">
        <f>+Bono!J193</f>
        <v>202575.9841007559</v>
      </c>
      <c r="AC193" s="378">
        <f t="shared" si="59"/>
        <v>14.166666666666666</v>
      </c>
      <c r="AD193" s="356">
        <f t="shared" si="60"/>
        <v>3146728.2702616844</v>
      </c>
    </row>
    <row r="194" spans="1:30" x14ac:dyDescent="0.25">
      <c r="A194" s="356">
        <f t="shared" si="61"/>
        <v>14.25</v>
      </c>
      <c r="B194" s="356">
        <f t="shared" si="62"/>
        <v>171</v>
      </c>
      <c r="C194" s="357">
        <f t="shared" si="67"/>
        <v>14</v>
      </c>
      <c r="D194" s="357">
        <f t="shared" si="68"/>
        <v>3</v>
      </c>
      <c r="E194" s="357">
        <f t="shared" si="69"/>
        <v>43</v>
      </c>
      <c r="F194" s="356">
        <f t="shared" si="63"/>
        <v>306144.6641589738</v>
      </c>
      <c r="H194" s="356">
        <f t="shared" si="56"/>
        <v>2441.240543563238</v>
      </c>
      <c r="I194" s="356">
        <v>0</v>
      </c>
      <c r="J194" s="360">
        <f>-SUM(F194:H194)*$J$21*1.16</f>
        <v>-3221.6368450944865</v>
      </c>
      <c r="K194" s="356">
        <f t="shared" si="64"/>
        <v>-354.22255071463326</v>
      </c>
      <c r="L194" s="356">
        <f t="shared" si="57"/>
        <v>305010.0453067279</v>
      </c>
      <c r="N194" s="356">
        <f t="shared" si="65"/>
        <v>171</v>
      </c>
      <c r="O194" s="357">
        <f t="shared" si="70"/>
        <v>14</v>
      </c>
      <c r="P194" s="357">
        <f t="shared" si="71"/>
        <v>3</v>
      </c>
      <c r="Q194" s="357">
        <f t="shared" si="72"/>
        <v>14</v>
      </c>
      <c r="R194" s="356">
        <f t="shared" si="66"/>
        <v>2638007.622001955</v>
      </c>
      <c r="S194" s="356">
        <f>IF($G$4="mensual",S193,0)</f>
        <v>10000</v>
      </c>
      <c r="U194" s="356">
        <f t="shared" si="73"/>
        <v>21115.584634651106</v>
      </c>
      <c r="V194" s="359">
        <f t="shared" si="75"/>
        <v>-153.06634455650706</v>
      </c>
      <c r="X194" s="359">
        <f t="shared" si="74"/>
        <v>-3096.0053627387774</v>
      </c>
      <c r="Y194" s="356">
        <f t="shared" si="58"/>
        <v>2665874.1349293105</v>
      </c>
      <c r="AA194" s="357">
        <f>+Bono!J194</f>
        <v>201995.65456711204</v>
      </c>
      <c r="AC194" s="378">
        <f t="shared" si="59"/>
        <v>14.25</v>
      </c>
      <c r="AD194" s="356">
        <f t="shared" si="60"/>
        <v>3172879.8348031505</v>
      </c>
    </row>
    <row r="195" spans="1:30" x14ac:dyDescent="0.25">
      <c r="A195" s="356">
        <f t="shared" si="61"/>
        <v>14.333333333333334</v>
      </c>
      <c r="B195" s="356">
        <f t="shared" si="62"/>
        <v>172</v>
      </c>
      <c r="C195" s="357">
        <f t="shared" si="67"/>
        <v>14</v>
      </c>
      <c r="D195" s="357">
        <f t="shared" si="68"/>
        <v>4</v>
      </c>
      <c r="E195" s="357">
        <f t="shared" si="69"/>
        <v>43</v>
      </c>
      <c r="F195" s="356">
        <f t="shared" si="63"/>
        <v>305010.0453067279</v>
      </c>
      <c r="H195" s="356">
        <f t="shared" si="56"/>
        <v>2432.1929335021478</v>
      </c>
      <c r="I195" s="356">
        <v>0</v>
      </c>
      <c r="J195" s="356">
        <v>0</v>
      </c>
      <c r="K195" s="356">
        <f t="shared" si="64"/>
        <v>-356.63299635866684</v>
      </c>
      <c r="L195" s="356">
        <f t="shared" si="57"/>
        <v>307085.60524387134</v>
      </c>
      <c r="N195" s="356">
        <f t="shared" si="65"/>
        <v>172</v>
      </c>
      <c r="O195" s="357">
        <f t="shared" si="70"/>
        <v>14</v>
      </c>
      <c r="P195" s="357">
        <f t="shared" si="71"/>
        <v>4</v>
      </c>
      <c r="Q195" s="357">
        <f t="shared" si="72"/>
        <v>14</v>
      </c>
      <c r="R195" s="356">
        <f t="shared" si="66"/>
        <v>2665874.1349293105</v>
      </c>
      <c r="S195" s="356">
        <f>IF($G$4="mensual",S192,IF($G$4="trimestral",S192,0))</f>
        <v>10000</v>
      </c>
      <c r="U195" s="356">
        <f t="shared" si="73"/>
        <v>21337.7961219977</v>
      </c>
      <c r="V195" s="359">
        <f t="shared" si="75"/>
        <v>-153.06634455650706</v>
      </c>
      <c r="X195" s="359">
        <f t="shared" si="74"/>
        <v>-3128.588283059832</v>
      </c>
      <c r="Y195" s="356">
        <f t="shared" si="58"/>
        <v>2693930.2764236922</v>
      </c>
      <c r="AA195" s="357">
        <f>+Bono!J195</f>
        <v>203248.05105547386</v>
      </c>
      <c r="AC195" s="378">
        <f t="shared" si="59"/>
        <v>14.333333333333334</v>
      </c>
      <c r="AD195" s="356">
        <f t="shared" si="60"/>
        <v>3204263.9327230374</v>
      </c>
    </row>
    <row r="196" spans="1:30" x14ac:dyDescent="0.25">
      <c r="A196" s="356">
        <f t="shared" si="61"/>
        <v>14.416666666666666</v>
      </c>
      <c r="B196" s="356">
        <f t="shared" si="62"/>
        <v>173</v>
      </c>
      <c r="C196" s="357">
        <f t="shared" si="67"/>
        <v>14</v>
      </c>
      <c r="D196" s="357">
        <f t="shared" si="68"/>
        <v>5</v>
      </c>
      <c r="E196" s="357">
        <f t="shared" si="69"/>
        <v>43</v>
      </c>
      <c r="F196" s="356">
        <f t="shared" si="63"/>
        <v>307085.60524387134</v>
      </c>
      <c r="H196" s="356">
        <f t="shared" si="56"/>
        <v>2448.743739909536</v>
      </c>
      <c r="I196" s="356">
        <v>0</v>
      </c>
      <c r="J196" s="356">
        <v>0</v>
      </c>
      <c r="K196" s="356">
        <f t="shared" si="64"/>
        <v>-359.0598448211858</v>
      </c>
      <c r="L196" s="356">
        <f t="shared" si="57"/>
        <v>309175.2891389597</v>
      </c>
      <c r="N196" s="356">
        <f t="shared" si="65"/>
        <v>173</v>
      </c>
      <c r="O196" s="357">
        <f t="shared" si="70"/>
        <v>14</v>
      </c>
      <c r="P196" s="357">
        <f t="shared" si="71"/>
        <v>5</v>
      </c>
      <c r="Q196" s="357">
        <f t="shared" si="72"/>
        <v>14</v>
      </c>
      <c r="R196" s="356">
        <f t="shared" si="66"/>
        <v>2693930.2764236922</v>
      </c>
      <c r="S196" s="356">
        <f>IF($G$4="mensual",S195,0)</f>
        <v>10000</v>
      </c>
      <c r="U196" s="356">
        <f t="shared" si="73"/>
        <v>21561.519734167094</v>
      </c>
      <c r="V196" s="359">
        <f t="shared" si="75"/>
        <v>-153.06634455650706</v>
      </c>
      <c r="X196" s="359">
        <f t="shared" si="74"/>
        <v>-3161.3929265834313</v>
      </c>
      <c r="Y196" s="356">
        <f t="shared" si="58"/>
        <v>2722177.3368867193</v>
      </c>
      <c r="AA196" s="357">
        <f>+Bono!J196</f>
        <v>204508.2125473325</v>
      </c>
      <c r="AC196" s="378">
        <f t="shared" si="59"/>
        <v>14.416666666666666</v>
      </c>
      <c r="AD196" s="356">
        <f t="shared" si="60"/>
        <v>3235860.8385730116</v>
      </c>
    </row>
    <row r="197" spans="1:30" x14ac:dyDescent="0.25">
      <c r="A197" s="356">
        <f t="shared" si="61"/>
        <v>14.5</v>
      </c>
      <c r="B197" s="356">
        <f t="shared" si="62"/>
        <v>174</v>
      </c>
      <c r="C197" s="357">
        <f t="shared" si="67"/>
        <v>14</v>
      </c>
      <c r="D197" s="357">
        <f t="shared" si="68"/>
        <v>6</v>
      </c>
      <c r="E197" s="357">
        <f t="shared" si="69"/>
        <v>43</v>
      </c>
      <c r="F197" s="356">
        <f t="shared" si="63"/>
        <v>309175.2891389597</v>
      </c>
      <c r="H197" s="356">
        <f t="shared" si="56"/>
        <v>2465.4071727409896</v>
      </c>
      <c r="I197" s="356">
        <v>0</v>
      </c>
      <c r="J197" s="360">
        <f>-SUM(F197:H197)*$J$21*1.16</f>
        <v>-3253.528869494155</v>
      </c>
      <c r="K197" s="356">
        <f t="shared" si="64"/>
        <v>-357.72911423295955</v>
      </c>
      <c r="L197" s="356">
        <f t="shared" si="57"/>
        <v>308029.4383279736</v>
      </c>
      <c r="N197" s="356">
        <f t="shared" si="65"/>
        <v>174</v>
      </c>
      <c r="O197" s="357">
        <f t="shared" si="70"/>
        <v>14</v>
      </c>
      <c r="P197" s="357">
        <f t="shared" si="71"/>
        <v>6</v>
      </c>
      <c r="Q197" s="357">
        <f t="shared" si="72"/>
        <v>14</v>
      </c>
      <c r="R197" s="356">
        <f t="shared" si="66"/>
        <v>2722177.3368867193</v>
      </c>
      <c r="S197" s="356">
        <f>IF($G$4="mensual",S196,0)</f>
        <v>10000</v>
      </c>
      <c r="U197" s="356">
        <f t="shared" si="73"/>
        <v>21786.765761003007</v>
      </c>
      <c r="V197" s="359">
        <f t="shared" si="75"/>
        <v>-153.06634455650706</v>
      </c>
      <c r="X197" s="359">
        <f t="shared" si="74"/>
        <v>-3194.4208021116724</v>
      </c>
      <c r="Y197" s="356">
        <f t="shared" si="58"/>
        <v>2750616.615501054</v>
      </c>
      <c r="AA197" s="357">
        <f>+Bono!J197</f>
        <v>203922.34766240668</v>
      </c>
      <c r="AC197" s="378">
        <f t="shared" si="59"/>
        <v>14.5</v>
      </c>
      <c r="AD197" s="356">
        <f t="shared" si="60"/>
        <v>3262568.4014914343</v>
      </c>
    </row>
    <row r="198" spans="1:30" x14ac:dyDescent="0.25">
      <c r="A198" s="356">
        <f t="shared" si="61"/>
        <v>14.583333333333334</v>
      </c>
      <c r="B198" s="356">
        <f t="shared" si="62"/>
        <v>175</v>
      </c>
      <c r="C198" s="357">
        <f t="shared" si="67"/>
        <v>14</v>
      </c>
      <c r="D198" s="357">
        <f t="shared" si="68"/>
        <v>7</v>
      </c>
      <c r="E198" s="357">
        <f t="shared" si="69"/>
        <v>43</v>
      </c>
      <c r="F198" s="356">
        <f t="shared" si="63"/>
        <v>308029.4383279736</v>
      </c>
      <c r="H198" s="356">
        <f t="shared" si="56"/>
        <v>2456.269997463613</v>
      </c>
      <c r="I198" s="356">
        <v>0</v>
      </c>
      <c r="J198" s="356">
        <v>0</v>
      </c>
      <c r="K198" s="356">
        <f t="shared" si="64"/>
        <v>-360.1634216575071</v>
      </c>
      <c r="L198" s="356">
        <f t="shared" si="57"/>
        <v>310125.5449037797</v>
      </c>
      <c r="N198" s="356">
        <f t="shared" si="65"/>
        <v>175</v>
      </c>
      <c r="O198" s="357">
        <f t="shared" si="70"/>
        <v>14</v>
      </c>
      <c r="P198" s="357">
        <f t="shared" si="71"/>
        <v>7</v>
      </c>
      <c r="Q198" s="357">
        <f t="shared" si="72"/>
        <v>14</v>
      </c>
      <c r="R198" s="356">
        <f t="shared" si="66"/>
        <v>2750616.615501054</v>
      </c>
      <c r="S198" s="356">
        <f>+IF($G$4="mensual",S192,IF($G$4="trimestral",S192,IF($G$4="semestral",S192,0)))</f>
        <v>10000</v>
      </c>
      <c r="U198" s="356">
        <f t="shared" si="73"/>
        <v>22013.544562370433</v>
      </c>
      <c r="V198" s="359">
        <f t="shared" si="75"/>
        <v>-153.06634455650706</v>
      </c>
      <c r="X198" s="359">
        <f t="shared" si="74"/>
        <v>-3227.673428713887</v>
      </c>
      <c r="Y198" s="356">
        <f t="shared" si="58"/>
        <v>2779249.4202901544</v>
      </c>
      <c r="AA198" s="357">
        <f>+Bono!J198</f>
        <v>205186.6898714419</v>
      </c>
      <c r="AC198" s="378">
        <f t="shared" si="59"/>
        <v>14.583333333333334</v>
      </c>
      <c r="AD198" s="356">
        <f t="shared" si="60"/>
        <v>3294561.6550653763</v>
      </c>
    </row>
    <row r="199" spans="1:30" x14ac:dyDescent="0.25">
      <c r="A199" s="356">
        <f t="shared" si="61"/>
        <v>14.666666666666666</v>
      </c>
      <c r="B199" s="356">
        <f t="shared" si="62"/>
        <v>176</v>
      </c>
      <c r="C199" s="357">
        <f t="shared" si="67"/>
        <v>14</v>
      </c>
      <c r="D199" s="357">
        <f t="shared" si="68"/>
        <v>8</v>
      </c>
      <c r="E199" s="357">
        <f t="shared" si="69"/>
        <v>43</v>
      </c>
      <c r="F199" s="356">
        <f t="shared" si="63"/>
        <v>310125.5449037797</v>
      </c>
      <c r="H199" s="356">
        <f t="shared" si="56"/>
        <v>2472.9846456530395</v>
      </c>
      <c r="I199" s="356">
        <v>0</v>
      </c>
      <c r="J199" s="356">
        <v>0</v>
      </c>
      <c r="K199" s="356">
        <f t="shared" si="64"/>
        <v>-362.6142942773419</v>
      </c>
      <c r="L199" s="356">
        <f t="shared" si="57"/>
        <v>312235.9152551554</v>
      </c>
      <c r="N199" s="356">
        <f t="shared" si="65"/>
        <v>176</v>
      </c>
      <c r="O199" s="357">
        <f t="shared" si="70"/>
        <v>14</v>
      </c>
      <c r="P199" s="357">
        <f t="shared" si="71"/>
        <v>8</v>
      </c>
      <c r="Q199" s="357">
        <f t="shared" si="72"/>
        <v>14</v>
      </c>
      <c r="R199" s="356">
        <f t="shared" si="66"/>
        <v>2779249.4202901544</v>
      </c>
      <c r="S199" s="356">
        <f>IF($G$4="mensual",S198,0)</f>
        <v>10000</v>
      </c>
      <c r="U199" s="356">
        <f t="shared" si="73"/>
        <v>22241.866568632107</v>
      </c>
      <c r="V199" s="359">
        <f t="shared" si="75"/>
        <v>-153.06634455650706</v>
      </c>
      <c r="X199" s="359">
        <f t="shared" si="74"/>
        <v>-3261.152335796507</v>
      </c>
      <c r="Y199" s="356">
        <f t="shared" si="58"/>
        <v>2808077.0681784335</v>
      </c>
      <c r="AA199" s="357">
        <f>+Bono!J199</f>
        <v>206458.87114882772</v>
      </c>
      <c r="AC199" s="378">
        <f t="shared" si="59"/>
        <v>14.666666666666666</v>
      </c>
      <c r="AD199" s="356">
        <f t="shared" si="60"/>
        <v>3326771.854582417</v>
      </c>
    </row>
    <row r="200" spans="1:30" x14ac:dyDescent="0.25">
      <c r="A200" s="356">
        <f t="shared" si="61"/>
        <v>14.75</v>
      </c>
      <c r="B200" s="356">
        <f t="shared" si="62"/>
        <v>177</v>
      </c>
      <c r="C200" s="357">
        <f t="shared" si="67"/>
        <v>14</v>
      </c>
      <c r="D200" s="357">
        <f t="shared" si="68"/>
        <v>9</v>
      </c>
      <c r="E200" s="357">
        <f t="shared" si="69"/>
        <v>43</v>
      </c>
      <c r="F200" s="356">
        <f t="shared" si="63"/>
        <v>312235.9152551554</v>
      </c>
      <c r="H200" s="356">
        <f t="shared" si="56"/>
        <v>2489.8130351919044</v>
      </c>
      <c r="I200" s="356">
        <v>0</v>
      </c>
      <c r="J200" s="360">
        <f>-SUM(F200:H200)*$J$21*1.16</f>
        <v>-3285.7366033512267</v>
      </c>
      <c r="K200" s="356">
        <f t="shared" si="64"/>
        <v>-361.2703903569154</v>
      </c>
      <c r="L200" s="356">
        <f t="shared" si="57"/>
        <v>311078.7212966392</v>
      </c>
      <c r="N200" s="356">
        <f t="shared" si="65"/>
        <v>177</v>
      </c>
      <c r="O200" s="357">
        <f t="shared" si="70"/>
        <v>14</v>
      </c>
      <c r="P200" s="357">
        <f t="shared" si="71"/>
        <v>9</v>
      </c>
      <c r="Q200" s="357">
        <f t="shared" si="72"/>
        <v>14</v>
      </c>
      <c r="R200" s="356">
        <f t="shared" si="66"/>
        <v>2808077.0681784335</v>
      </c>
      <c r="S200" s="356">
        <f>IF($G$4="mensual",S199,0)</f>
        <v>10000</v>
      </c>
      <c r="U200" s="356">
        <f t="shared" si="73"/>
        <v>22471.742281128238</v>
      </c>
      <c r="V200" s="359">
        <f t="shared" si="75"/>
        <v>-153.06634455650706</v>
      </c>
      <c r="X200" s="359">
        <f t="shared" si="74"/>
        <v>-3294.8590631734064</v>
      </c>
      <c r="Y200" s="356">
        <f t="shared" si="58"/>
        <v>2837100.885051832</v>
      </c>
      <c r="AA200" s="357">
        <f>+Bono!J200</f>
        <v>205867.4181148351</v>
      </c>
      <c r="AC200" s="378">
        <f t="shared" si="59"/>
        <v>14.75</v>
      </c>
      <c r="AD200" s="356">
        <f t="shared" si="60"/>
        <v>3354047.024463306</v>
      </c>
    </row>
    <row r="201" spans="1:30" x14ac:dyDescent="0.25">
      <c r="A201" s="356">
        <f t="shared" si="61"/>
        <v>14.833333333333334</v>
      </c>
      <c r="B201" s="356">
        <f t="shared" si="62"/>
        <v>178</v>
      </c>
      <c r="C201" s="357">
        <f t="shared" si="67"/>
        <v>14</v>
      </c>
      <c r="D201" s="357">
        <f t="shared" si="68"/>
        <v>10</v>
      </c>
      <c r="E201" s="357">
        <f t="shared" si="69"/>
        <v>43</v>
      </c>
      <c r="F201" s="356">
        <f t="shared" si="63"/>
        <v>311078.7212966392</v>
      </c>
      <c r="H201" s="356">
        <f t="shared" si="56"/>
        <v>2480.585408063217</v>
      </c>
      <c r="I201" s="356">
        <v>0</v>
      </c>
      <c r="J201" s="356">
        <v>0</v>
      </c>
      <c r="K201" s="356">
        <f t="shared" si="64"/>
        <v>-363.72879577745476</v>
      </c>
      <c r="L201" s="356">
        <f t="shared" si="57"/>
        <v>313195.5779089249</v>
      </c>
      <c r="N201" s="356">
        <f t="shared" si="65"/>
        <v>178</v>
      </c>
      <c r="O201" s="357">
        <f t="shared" si="70"/>
        <v>14</v>
      </c>
      <c r="P201" s="357">
        <f t="shared" si="71"/>
        <v>10</v>
      </c>
      <c r="Q201" s="357">
        <f t="shared" si="72"/>
        <v>14</v>
      </c>
      <c r="R201" s="356">
        <f t="shared" si="66"/>
        <v>2837100.885051832</v>
      </c>
      <c r="S201" s="356">
        <f>IF($G$4="mensual",S192,IF($G$4="trimestral",S192,0))</f>
        <v>10000</v>
      </c>
      <c r="U201" s="356">
        <f t="shared" si="73"/>
        <v>22703.182272659502</v>
      </c>
      <c r="V201" s="359">
        <f t="shared" si="75"/>
        <v>-153.06634455650706</v>
      </c>
      <c r="X201" s="359">
        <f t="shared" si="74"/>
        <v>-3328.795161136725</v>
      </c>
      <c r="Y201" s="356">
        <f t="shared" si="58"/>
        <v>2866322.2058187984</v>
      </c>
      <c r="AA201" s="357">
        <f>+Bono!J201</f>
        <v>207143.81998628957</v>
      </c>
      <c r="AC201" s="378">
        <f t="shared" si="59"/>
        <v>14.833333333333334</v>
      </c>
      <c r="AD201" s="356">
        <f t="shared" si="60"/>
        <v>3386661.6037140125</v>
      </c>
    </row>
    <row r="202" spans="1:30" x14ac:dyDescent="0.25">
      <c r="A202" s="356">
        <f t="shared" si="61"/>
        <v>14.916666666666666</v>
      </c>
      <c r="B202" s="356">
        <f t="shared" si="62"/>
        <v>179</v>
      </c>
      <c r="C202" s="357">
        <f t="shared" si="67"/>
        <v>14</v>
      </c>
      <c r="D202" s="357">
        <f t="shared" si="68"/>
        <v>11</v>
      </c>
      <c r="E202" s="357">
        <f t="shared" si="69"/>
        <v>43</v>
      </c>
      <c r="F202" s="356">
        <f t="shared" si="63"/>
        <v>313195.5779089249</v>
      </c>
      <c r="H202" s="356">
        <f t="shared" si="56"/>
        <v>2497.4655199574368</v>
      </c>
      <c r="I202" s="356">
        <v>0</v>
      </c>
      <c r="J202" s="356">
        <v>0</v>
      </c>
      <c r="K202" s="356">
        <f t="shared" si="64"/>
        <v>-366.20393037750347</v>
      </c>
      <c r="L202" s="356">
        <f t="shared" si="57"/>
        <v>315326.8394985048</v>
      </c>
      <c r="N202" s="356">
        <f t="shared" si="65"/>
        <v>179</v>
      </c>
      <c r="O202" s="357">
        <f t="shared" si="70"/>
        <v>14</v>
      </c>
      <c r="P202" s="357">
        <f t="shared" si="71"/>
        <v>11</v>
      </c>
      <c r="Q202" s="357">
        <f t="shared" si="72"/>
        <v>14</v>
      </c>
      <c r="R202" s="356">
        <f t="shared" si="66"/>
        <v>2866322.2058187984</v>
      </c>
      <c r="S202" s="356">
        <f>IF($G$17="si",S190*(1+$G$20),S190)</f>
        <v>10000</v>
      </c>
      <c r="U202" s="356">
        <f t="shared" si="73"/>
        <v>22936.197187973336</v>
      </c>
      <c r="V202" s="359">
        <f t="shared" si="75"/>
        <v>-153.06634455650706</v>
      </c>
      <c r="X202" s="359">
        <f t="shared" si="74"/>
        <v>-3362.9621905281697</v>
      </c>
      <c r="Y202" s="356">
        <f t="shared" si="58"/>
        <v>2895742.374471687</v>
      </c>
      <c r="AA202" s="357">
        <f>+Bono!J202</f>
        <v>208428.13569740052</v>
      </c>
      <c r="AC202" s="378">
        <f t="shared" si="59"/>
        <v>14.916666666666666</v>
      </c>
      <c r="AD202" s="356">
        <f t="shared" si="60"/>
        <v>3419497.3496675924</v>
      </c>
    </row>
    <row r="203" spans="1:30" x14ac:dyDescent="0.25">
      <c r="A203" s="356">
        <f t="shared" si="61"/>
        <v>15</v>
      </c>
      <c r="B203" s="356">
        <f t="shared" si="62"/>
        <v>180</v>
      </c>
      <c r="C203" s="357">
        <f t="shared" si="67"/>
        <v>14</v>
      </c>
      <c r="D203" s="357">
        <f t="shared" si="68"/>
        <v>12</v>
      </c>
      <c r="E203" s="357">
        <f t="shared" si="69"/>
        <v>43</v>
      </c>
      <c r="F203" s="356">
        <f t="shared" si="63"/>
        <v>315326.8394985048</v>
      </c>
      <c r="H203" s="356">
        <f t="shared" si="56"/>
        <v>2514.4604991634756</v>
      </c>
      <c r="I203" s="356">
        <v>0</v>
      </c>
      <c r="J203" s="360">
        <f>-SUM(F203:H203)*$J$21*1.16</f>
        <v>-3318.2631719756573</v>
      </c>
      <c r="K203" s="356">
        <f t="shared" si="64"/>
        <v>-364.84672271780346</v>
      </c>
      <c r="L203" s="356">
        <f t="shared" si="57"/>
        <v>314158.1901029748</v>
      </c>
      <c r="N203" s="356">
        <f t="shared" si="65"/>
        <v>180</v>
      </c>
      <c r="O203" s="357">
        <f t="shared" si="70"/>
        <v>14</v>
      </c>
      <c r="P203" s="357">
        <f t="shared" si="71"/>
        <v>12</v>
      </c>
      <c r="Q203" s="357">
        <f t="shared" si="72"/>
        <v>14</v>
      </c>
      <c r="R203" s="356">
        <f t="shared" si="66"/>
        <v>2895742.374471687</v>
      </c>
      <c r="S203" s="356">
        <f>IF($G$4="mensual",S202,0)</f>
        <v>10000</v>
      </c>
      <c r="U203" s="356">
        <f t="shared" si="73"/>
        <v>23170.797744253498</v>
      </c>
      <c r="V203" s="359">
        <f t="shared" si="75"/>
        <v>-153.06634455650706</v>
      </c>
      <c r="X203" s="359">
        <f t="shared" si="74"/>
        <v>-3397.361722810805</v>
      </c>
      <c r="Y203" s="356">
        <f t="shared" si="58"/>
        <v>2925362.7441485734</v>
      </c>
      <c r="AA203" s="357">
        <f>+Bono!J203</f>
        <v>207831.0412129558</v>
      </c>
      <c r="AC203" s="378">
        <f t="shared" si="59"/>
        <v>15</v>
      </c>
      <c r="AD203" s="356">
        <f t="shared" si="60"/>
        <v>3447351.975464504</v>
      </c>
    </row>
    <row r="204" spans="1:30" x14ac:dyDescent="0.25">
      <c r="A204" s="356">
        <f t="shared" si="61"/>
        <v>15.083333333333334</v>
      </c>
      <c r="B204" s="356">
        <f t="shared" si="62"/>
        <v>181</v>
      </c>
      <c r="C204" s="357">
        <f t="shared" si="67"/>
        <v>15</v>
      </c>
      <c r="D204" s="357">
        <f t="shared" si="68"/>
        <v>1</v>
      </c>
      <c r="E204" s="357">
        <f t="shared" si="69"/>
        <v>44</v>
      </c>
      <c r="F204" s="356">
        <f t="shared" si="63"/>
        <v>314158.1901029748</v>
      </c>
      <c r="H204" s="356">
        <f t="shared" si="56"/>
        <v>2505.141524771366</v>
      </c>
      <c r="I204" s="356">
        <v>0</v>
      </c>
      <c r="J204" s="356">
        <v>0</v>
      </c>
      <c r="K204" s="356">
        <f t="shared" si="64"/>
        <v>-367.3294646881855</v>
      </c>
      <c r="L204" s="356">
        <f t="shared" si="57"/>
        <v>316296.002163058</v>
      </c>
      <c r="N204" s="356">
        <f t="shared" si="65"/>
        <v>181</v>
      </c>
      <c r="O204" s="357">
        <f t="shared" si="70"/>
        <v>15</v>
      </c>
      <c r="P204" s="357">
        <f t="shared" si="71"/>
        <v>1</v>
      </c>
      <c r="Q204" s="357">
        <f t="shared" si="72"/>
        <v>15</v>
      </c>
      <c r="R204" s="356">
        <f t="shared" si="66"/>
        <v>2925362.7441485734</v>
      </c>
      <c r="S204" s="356">
        <f>IF($G$17="si",S192*(1+$G$20),S192)</f>
        <v>10000</v>
      </c>
      <c r="U204" s="356">
        <f t="shared" si="73"/>
        <v>23406.994731613035</v>
      </c>
      <c r="V204" s="359">
        <f>V203*(1+$G$18)</f>
        <v>-159.18899833876736</v>
      </c>
      <c r="X204" s="359">
        <f t="shared" si="74"/>
        <v>-3431.9882378629427</v>
      </c>
      <c r="Y204" s="356">
        <f t="shared" si="58"/>
        <v>2955178.5616439846</v>
      </c>
      <c r="AA204" s="357">
        <f>+Bono!J204</f>
        <v>209119.6177753848</v>
      </c>
      <c r="AC204" s="378">
        <f t="shared" si="59"/>
        <v>15.083333333333334</v>
      </c>
      <c r="AD204" s="356">
        <f t="shared" si="60"/>
        <v>3480594.1815824276</v>
      </c>
    </row>
    <row r="205" spans="1:30" x14ac:dyDescent="0.25">
      <c r="A205" s="356">
        <f t="shared" si="61"/>
        <v>15.166666666666666</v>
      </c>
      <c r="B205" s="356">
        <f t="shared" si="62"/>
        <v>182</v>
      </c>
      <c r="C205" s="357">
        <f t="shared" si="67"/>
        <v>15</v>
      </c>
      <c r="D205" s="357">
        <f t="shared" si="68"/>
        <v>2</v>
      </c>
      <c r="E205" s="357">
        <f t="shared" si="69"/>
        <v>44</v>
      </c>
      <c r="F205" s="356">
        <f t="shared" si="63"/>
        <v>316296.002163058</v>
      </c>
      <c r="H205" s="356">
        <f t="shared" si="56"/>
        <v>2522.188738349073</v>
      </c>
      <c r="I205" s="356">
        <v>0</v>
      </c>
      <c r="J205" s="356">
        <v>0</v>
      </c>
      <c r="K205" s="356">
        <f t="shared" si="64"/>
        <v>-369.82910144563215</v>
      </c>
      <c r="L205" s="356">
        <f t="shared" si="57"/>
        <v>318448.3617999614</v>
      </c>
      <c r="N205" s="356">
        <f t="shared" si="65"/>
        <v>182</v>
      </c>
      <c r="O205" s="357">
        <f t="shared" si="70"/>
        <v>15</v>
      </c>
      <c r="P205" s="357">
        <f t="shared" si="71"/>
        <v>2</v>
      </c>
      <c r="Q205" s="357">
        <f t="shared" si="72"/>
        <v>15</v>
      </c>
      <c r="R205" s="356">
        <f t="shared" si="66"/>
        <v>2955178.5616439846</v>
      </c>
      <c r="S205" s="356">
        <f>IF($G$4="mensual",S204,0)</f>
        <v>10000</v>
      </c>
      <c r="U205" s="356">
        <f t="shared" si="73"/>
        <v>23644.75024732401</v>
      </c>
      <c r="V205" s="359">
        <f t="shared" si="75"/>
        <v>-159.18899833876736</v>
      </c>
      <c r="X205" s="359">
        <f t="shared" si="74"/>
        <v>-3466.8503825558446</v>
      </c>
      <c r="Y205" s="356">
        <f t="shared" si="58"/>
        <v>2985197.272510414</v>
      </c>
      <c r="AA205" s="357">
        <f>+Bono!J205</f>
        <v>210416.1836619665</v>
      </c>
      <c r="AC205" s="378">
        <f t="shared" si="59"/>
        <v>15.166666666666666</v>
      </c>
      <c r="AD205" s="356">
        <f t="shared" si="60"/>
        <v>3514061.817972342</v>
      </c>
    </row>
    <row r="206" spans="1:30" x14ac:dyDescent="0.25">
      <c r="A206" s="356">
        <f t="shared" si="61"/>
        <v>15.25</v>
      </c>
      <c r="B206" s="356">
        <f t="shared" si="62"/>
        <v>183</v>
      </c>
      <c r="C206" s="357">
        <f t="shared" si="67"/>
        <v>15</v>
      </c>
      <c r="D206" s="357">
        <f t="shared" si="68"/>
        <v>3</v>
      </c>
      <c r="E206" s="357">
        <f t="shared" si="69"/>
        <v>44</v>
      </c>
      <c r="F206" s="356">
        <f t="shared" si="63"/>
        <v>318448.3617999614</v>
      </c>
      <c r="H206" s="356">
        <f t="shared" si="56"/>
        <v>2539.3519563472455</v>
      </c>
      <c r="I206" s="356">
        <v>0</v>
      </c>
      <c r="J206" s="360">
        <f>-SUM(F206:H206)*$J$21*1.16</f>
        <v>-3351.1117316158625</v>
      </c>
      <c r="K206" s="356">
        <f t="shared" si="64"/>
        <v>-368.45845834864366</v>
      </c>
      <c r="L206" s="356">
        <f t="shared" si="57"/>
        <v>317268.14356634417</v>
      </c>
      <c r="N206" s="356">
        <f t="shared" si="65"/>
        <v>183</v>
      </c>
      <c r="O206" s="357">
        <f t="shared" si="70"/>
        <v>15</v>
      </c>
      <c r="P206" s="357">
        <f t="shared" si="71"/>
        <v>3</v>
      </c>
      <c r="Q206" s="357">
        <f t="shared" si="72"/>
        <v>15</v>
      </c>
      <c r="R206" s="356">
        <f t="shared" si="66"/>
        <v>2985197.272510414</v>
      </c>
      <c r="S206" s="356">
        <f>IF($G$4="mensual",S205,0)</f>
        <v>10000</v>
      </c>
      <c r="U206" s="356">
        <f t="shared" si="73"/>
        <v>23884.12366326758</v>
      </c>
      <c r="V206" s="359">
        <f t="shared" si="75"/>
        <v>-159.18899833876736</v>
      </c>
      <c r="X206" s="359">
        <f t="shared" si="74"/>
        <v>-3501.9497603233976</v>
      </c>
      <c r="Y206" s="356">
        <f t="shared" si="58"/>
        <v>3015420.2574150194</v>
      </c>
      <c r="AA206" s="357">
        <f>+Bono!J206</f>
        <v>209813.39391728025</v>
      </c>
      <c r="AC206" s="378">
        <f t="shared" si="59"/>
        <v>15.25</v>
      </c>
      <c r="AD206" s="356">
        <f t="shared" si="60"/>
        <v>3542501.794898644</v>
      </c>
    </row>
    <row r="207" spans="1:30" x14ac:dyDescent="0.25">
      <c r="A207" s="356">
        <f t="shared" si="61"/>
        <v>15.333333333333334</v>
      </c>
      <c r="B207" s="356">
        <f t="shared" si="62"/>
        <v>184</v>
      </c>
      <c r="C207" s="357">
        <f t="shared" si="67"/>
        <v>15</v>
      </c>
      <c r="D207" s="357">
        <f t="shared" si="68"/>
        <v>4</v>
      </c>
      <c r="E207" s="357">
        <f t="shared" si="69"/>
        <v>44</v>
      </c>
      <c r="F207" s="356">
        <f t="shared" si="63"/>
        <v>317268.14356634417</v>
      </c>
      <c r="H207" s="356">
        <f t="shared" si="56"/>
        <v>2529.940730415629</v>
      </c>
      <c r="I207" s="356">
        <v>0</v>
      </c>
      <c r="J207" s="356">
        <v>0</v>
      </c>
      <c r="K207" s="356">
        <f t="shared" si="64"/>
        <v>-370.9657777842413</v>
      </c>
      <c r="L207" s="356">
        <f t="shared" si="57"/>
        <v>319427.11851897556</v>
      </c>
      <c r="N207" s="356">
        <f t="shared" si="65"/>
        <v>184</v>
      </c>
      <c r="O207" s="357">
        <f t="shared" si="70"/>
        <v>15</v>
      </c>
      <c r="P207" s="357">
        <f t="shared" si="71"/>
        <v>4</v>
      </c>
      <c r="Q207" s="357">
        <f t="shared" si="72"/>
        <v>15</v>
      </c>
      <c r="R207" s="356">
        <f t="shared" si="66"/>
        <v>3015420.2574150194</v>
      </c>
      <c r="S207" s="356">
        <f>IF($G$4="mensual",S204,IF($G$4="trimestral",S204,0))</f>
        <v>10000</v>
      </c>
      <c r="U207" s="356">
        <f t="shared" si="73"/>
        <v>24125.12598907754</v>
      </c>
      <c r="V207" s="359">
        <f t="shared" si="75"/>
        <v>-159.18899833876736</v>
      </c>
      <c r="X207" s="359">
        <f t="shared" si="74"/>
        <v>-3537.2879855106794</v>
      </c>
      <c r="Y207" s="356">
        <f t="shared" si="58"/>
        <v>3045848.9064202476</v>
      </c>
      <c r="AA207" s="357">
        <f>+Bono!J207</f>
        <v>211114.26129641474</v>
      </c>
      <c r="AC207" s="378">
        <f t="shared" si="59"/>
        <v>15.333333333333334</v>
      </c>
      <c r="AD207" s="356">
        <f t="shared" si="60"/>
        <v>3576390.286235638</v>
      </c>
    </row>
    <row r="208" spans="1:30" x14ac:dyDescent="0.25">
      <c r="A208" s="356">
        <f t="shared" si="61"/>
        <v>15.416666666666666</v>
      </c>
      <c r="B208" s="356">
        <f t="shared" si="62"/>
        <v>185</v>
      </c>
      <c r="C208" s="357">
        <f t="shared" si="67"/>
        <v>15</v>
      </c>
      <c r="D208" s="357">
        <f t="shared" si="68"/>
        <v>5</v>
      </c>
      <c r="E208" s="357">
        <f t="shared" si="69"/>
        <v>44</v>
      </c>
      <c r="F208" s="356">
        <f t="shared" si="63"/>
        <v>319427.11851897556</v>
      </c>
      <c r="H208" s="356">
        <f t="shared" si="56"/>
        <v>2547.1566998703975</v>
      </c>
      <c r="I208" s="356">
        <v>0</v>
      </c>
      <c r="J208" s="356">
        <v>0</v>
      </c>
      <c r="K208" s="356">
        <f t="shared" si="64"/>
        <v>-373.49015925386135</v>
      </c>
      <c r="L208" s="356">
        <f t="shared" si="57"/>
        <v>321600.7850595921</v>
      </c>
      <c r="N208" s="356">
        <f t="shared" si="65"/>
        <v>185</v>
      </c>
      <c r="O208" s="357">
        <f t="shared" si="70"/>
        <v>15</v>
      </c>
      <c r="P208" s="357">
        <f t="shared" si="71"/>
        <v>5</v>
      </c>
      <c r="Q208" s="357">
        <f t="shared" si="72"/>
        <v>15</v>
      </c>
      <c r="R208" s="356">
        <f t="shared" si="66"/>
        <v>3045848.9064202476</v>
      </c>
      <c r="S208" s="356">
        <f>IF($G$4="mensual",S207,0)</f>
        <v>10000</v>
      </c>
      <c r="U208" s="356">
        <f t="shared" si="73"/>
        <v>24367.768309307052</v>
      </c>
      <c r="V208" s="359">
        <f t="shared" si="75"/>
        <v>-159.18899833876736</v>
      </c>
      <c r="X208" s="359">
        <f t="shared" si="74"/>
        <v>-3572.8666834482106</v>
      </c>
      <c r="Y208" s="356">
        <f t="shared" si="58"/>
        <v>3076484.619047768</v>
      </c>
      <c r="AA208" s="357">
        <f>+Bono!J208</f>
        <v>212423.19420419115</v>
      </c>
      <c r="AC208" s="378">
        <f t="shared" si="59"/>
        <v>15.416666666666666</v>
      </c>
      <c r="AD208" s="356">
        <f t="shared" si="60"/>
        <v>3610508.5983115514</v>
      </c>
    </row>
    <row r="209" spans="1:30" x14ac:dyDescent="0.25">
      <c r="A209" s="356">
        <f t="shared" si="61"/>
        <v>15.5</v>
      </c>
      <c r="B209" s="356">
        <f t="shared" si="62"/>
        <v>186</v>
      </c>
      <c r="C209" s="357">
        <f t="shared" si="67"/>
        <v>15</v>
      </c>
      <c r="D209" s="357">
        <f t="shared" si="68"/>
        <v>6</v>
      </c>
      <c r="E209" s="357">
        <f t="shared" si="69"/>
        <v>44</v>
      </c>
      <c r="F209" s="356">
        <f t="shared" si="63"/>
        <v>321600.7850595921</v>
      </c>
      <c r="H209" s="356">
        <f t="shared" si="56"/>
        <v>2564.489822110883</v>
      </c>
      <c r="I209" s="356">
        <v>0</v>
      </c>
      <c r="J209" s="360">
        <f>-SUM(F209:H209)*$J$21*1.16</f>
        <v>-3384.2854697649796</v>
      </c>
      <c r="K209" s="356">
        <f t="shared" si="64"/>
        <v>-372.1059477178481</v>
      </c>
      <c r="L209" s="356">
        <f t="shared" si="57"/>
        <v>320408.88346422015</v>
      </c>
      <c r="N209" s="356">
        <f t="shared" si="65"/>
        <v>186</v>
      </c>
      <c r="O209" s="357">
        <f t="shared" si="70"/>
        <v>15</v>
      </c>
      <c r="P209" s="357">
        <f t="shared" si="71"/>
        <v>6</v>
      </c>
      <c r="Q209" s="357">
        <f t="shared" si="72"/>
        <v>15</v>
      </c>
      <c r="R209" s="356">
        <f t="shared" si="66"/>
        <v>3076484.619047768</v>
      </c>
      <c r="S209" s="356">
        <f>IF($G$4="mensual",S208,0)</f>
        <v>10000</v>
      </c>
      <c r="U209" s="356">
        <f t="shared" si="73"/>
        <v>24612.06178393844</v>
      </c>
      <c r="V209" s="359">
        <f t="shared" si="75"/>
        <v>-159.18899833876736</v>
      </c>
      <c r="X209" s="359">
        <f t="shared" si="74"/>
        <v>-3608.6874905267064</v>
      </c>
      <c r="Y209" s="356">
        <f t="shared" si="58"/>
        <v>3107328.8043428413</v>
      </c>
      <c r="AA209" s="357">
        <f>+Bono!J209</f>
        <v>211814.6548762206</v>
      </c>
      <c r="AC209" s="378">
        <f t="shared" si="59"/>
        <v>15.5</v>
      </c>
      <c r="AD209" s="356">
        <f t="shared" si="60"/>
        <v>3639552.3426832817</v>
      </c>
    </row>
    <row r="210" spans="1:30" x14ac:dyDescent="0.25">
      <c r="A210" s="356">
        <f t="shared" si="61"/>
        <v>15.583333333333334</v>
      </c>
      <c r="B210" s="356">
        <f t="shared" si="62"/>
        <v>187</v>
      </c>
      <c r="C210" s="357">
        <f t="shared" si="67"/>
        <v>15</v>
      </c>
      <c r="D210" s="357">
        <f t="shared" si="68"/>
        <v>7</v>
      </c>
      <c r="E210" s="357">
        <f t="shared" si="69"/>
        <v>44</v>
      </c>
      <c r="F210" s="356">
        <f t="shared" si="63"/>
        <v>320408.88346422015</v>
      </c>
      <c r="H210" s="356">
        <f t="shared" si="56"/>
        <v>2554.985431411953</v>
      </c>
      <c r="I210" s="356">
        <v>0</v>
      </c>
      <c r="J210" s="356">
        <v>0</v>
      </c>
      <c r="K210" s="356">
        <f t="shared" si="64"/>
        <v>-374.63808791893325</v>
      </c>
      <c r="L210" s="356">
        <f t="shared" si="57"/>
        <v>322589.2308077132</v>
      </c>
      <c r="N210" s="356">
        <f t="shared" si="65"/>
        <v>187</v>
      </c>
      <c r="O210" s="357">
        <f t="shared" si="70"/>
        <v>15</v>
      </c>
      <c r="P210" s="357">
        <f t="shared" si="71"/>
        <v>7</v>
      </c>
      <c r="Q210" s="357">
        <f t="shared" si="72"/>
        <v>15</v>
      </c>
      <c r="R210" s="356">
        <f t="shared" si="66"/>
        <v>3107328.8043428413</v>
      </c>
      <c r="S210" s="356">
        <f>+IF($G$4="mensual",S204,IF($G$4="trimestral",S204,IF($G$4="semestral",S204,0)))</f>
        <v>10000</v>
      </c>
      <c r="U210" s="356">
        <f t="shared" si="73"/>
        <v>24858.017648896483</v>
      </c>
      <c r="V210" s="359">
        <f t="shared" si="75"/>
        <v>-159.18899833876736</v>
      </c>
      <c r="X210" s="359">
        <f t="shared" si="74"/>
        <v>-3644.752054272343</v>
      </c>
      <c r="Y210" s="356">
        <f t="shared" si="58"/>
        <v>3138382.880939127</v>
      </c>
      <c r="AA210" s="357">
        <f>+Bono!J210</f>
        <v>213127.93030543244</v>
      </c>
      <c r="AC210" s="378">
        <f t="shared" si="59"/>
        <v>15.583333333333334</v>
      </c>
      <c r="AD210" s="356">
        <f t="shared" si="60"/>
        <v>3674100.0420522727</v>
      </c>
    </row>
    <row r="211" spans="1:30" x14ac:dyDescent="0.25">
      <c r="A211" s="356">
        <f t="shared" si="61"/>
        <v>15.666666666666666</v>
      </c>
      <c r="B211" s="356">
        <f t="shared" si="62"/>
        <v>188</v>
      </c>
      <c r="C211" s="357">
        <f t="shared" si="67"/>
        <v>15</v>
      </c>
      <c r="D211" s="357">
        <f t="shared" si="68"/>
        <v>8</v>
      </c>
      <c r="E211" s="357">
        <f t="shared" si="69"/>
        <v>44</v>
      </c>
      <c r="F211" s="356">
        <f t="shared" si="63"/>
        <v>322589.2308077132</v>
      </c>
      <c r="H211" s="356">
        <f t="shared" si="56"/>
        <v>2572.3718273127533</v>
      </c>
      <c r="I211" s="356">
        <v>0</v>
      </c>
      <c r="J211" s="356">
        <v>0</v>
      </c>
      <c r="K211" s="356">
        <f t="shared" si="64"/>
        <v>-377.1874590566301</v>
      </c>
      <c r="L211" s="356">
        <f t="shared" si="57"/>
        <v>324784.4151759693</v>
      </c>
      <c r="N211" s="356">
        <f t="shared" si="65"/>
        <v>188</v>
      </c>
      <c r="O211" s="357">
        <f t="shared" si="70"/>
        <v>15</v>
      </c>
      <c r="P211" s="357">
        <f t="shared" si="71"/>
        <v>8</v>
      </c>
      <c r="Q211" s="357">
        <f t="shared" si="72"/>
        <v>15</v>
      </c>
      <c r="R211" s="356">
        <f t="shared" si="66"/>
        <v>3138382.880939127</v>
      </c>
      <c r="S211" s="356">
        <f>IF($G$4="mensual",S210,0)</f>
        <v>10000</v>
      </c>
      <c r="U211" s="356">
        <f t="shared" si="73"/>
        <v>25105.647216565198</v>
      </c>
      <c r="V211" s="359">
        <f t="shared" si="75"/>
        <v>-159.18899833876736</v>
      </c>
      <c r="X211" s="359">
        <f t="shared" si="74"/>
        <v>-3681.0620334225296</v>
      </c>
      <c r="Y211" s="356">
        <f t="shared" si="58"/>
        <v>3169648.2771239304</v>
      </c>
      <c r="AA211" s="357">
        <f>+Bono!J211</f>
        <v>214449.3481946359</v>
      </c>
      <c r="AC211" s="378">
        <f t="shared" si="59"/>
        <v>15.666666666666666</v>
      </c>
      <c r="AD211" s="356">
        <f t="shared" si="60"/>
        <v>3708882.0404945356</v>
      </c>
    </row>
    <row r="212" spans="1:30" x14ac:dyDescent="0.25">
      <c r="A212" s="356">
        <f t="shared" si="61"/>
        <v>15.75</v>
      </c>
      <c r="B212" s="356">
        <f t="shared" si="62"/>
        <v>189</v>
      </c>
      <c r="C212" s="357">
        <f t="shared" si="67"/>
        <v>15</v>
      </c>
      <c r="D212" s="357">
        <f t="shared" si="68"/>
        <v>9</v>
      </c>
      <c r="E212" s="357">
        <f t="shared" si="69"/>
        <v>44</v>
      </c>
      <c r="F212" s="356">
        <f t="shared" si="63"/>
        <v>324784.4151759693</v>
      </c>
      <c r="H212" s="356">
        <f t="shared" si="56"/>
        <v>2589.876535732562</v>
      </c>
      <c r="I212" s="356">
        <v>0</v>
      </c>
      <c r="J212" s="360">
        <f>-SUM(F212:H212)*$J$21*1.16</f>
        <v>-3417.787605470168</v>
      </c>
      <c r="K212" s="356">
        <f t="shared" si="64"/>
        <v>-375.78954476322883</v>
      </c>
      <c r="L212" s="356">
        <f t="shared" si="57"/>
        <v>323580.7145614685</v>
      </c>
      <c r="N212" s="356">
        <f t="shared" si="65"/>
        <v>189</v>
      </c>
      <c r="O212" s="357">
        <f t="shared" si="70"/>
        <v>15</v>
      </c>
      <c r="P212" s="357">
        <f t="shared" si="71"/>
        <v>9</v>
      </c>
      <c r="Q212" s="357">
        <f t="shared" si="72"/>
        <v>15</v>
      </c>
      <c r="R212" s="356">
        <f t="shared" si="66"/>
        <v>3169648.2771239304</v>
      </c>
      <c r="S212" s="356">
        <f>IF($G$4="mensual",S211,0)</f>
        <v>10000</v>
      </c>
      <c r="U212" s="356">
        <f t="shared" si="73"/>
        <v>25354.961876308134</v>
      </c>
      <c r="V212" s="359">
        <f t="shared" si="75"/>
        <v>-159.18899833876736</v>
      </c>
      <c r="X212" s="359">
        <f t="shared" si="74"/>
        <v>-3717.6190980022034</v>
      </c>
      <c r="Y212" s="356">
        <f t="shared" si="58"/>
        <v>3201126.4309038976</v>
      </c>
      <c r="AA212" s="357">
        <f>+Bono!J212</f>
        <v>213835.00444218935</v>
      </c>
      <c r="AC212" s="378">
        <f t="shared" si="59"/>
        <v>15.75</v>
      </c>
      <c r="AD212" s="356">
        <f t="shared" si="60"/>
        <v>3738542.1499075554</v>
      </c>
    </row>
    <row r="213" spans="1:30" x14ac:dyDescent="0.25">
      <c r="A213" s="356">
        <f t="shared" si="61"/>
        <v>15.833333333333334</v>
      </c>
      <c r="B213" s="356">
        <f t="shared" si="62"/>
        <v>190</v>
      </c>
      <c r="C213" s="357">
        <f t="shared" si="67"/>
        <v>15</v>
      </c>
      <c r="D213" s="357">
        <f t="shared" si="68"/>
        <v>10</v>
      </c>
      <c r="E213" s="357">
        <f t="shared" si="69"/>
        <v>44</v>
      </c>
      <c r="F213" s="356">
        <f t="shared" si="63"/>
        <v>323580.7145614685</v>
      </c>
      <c r="H213" s="356">
        <f t="shared" si="56"/>
        <v>2580.278057998175</v>
      </c>
      <c r="I213" s="356">
        <v>0</v>
      </c>
      <c r="J213" s="356">
        <v>0</v>
      </c>
      <c r="K213" s="356">
        <f t="shared" si="64"/>
        <v>-378.34675143858135</v>
      </c>
      <c r="L213" s="356">
        <f t="shared" si="57"/>
        <v>325782.6458680281</v>
      </c>
      <c r="N213" s="356">
        <f t="shared" si="65"/>
        <v>190</v>
      </c>
      <c r="O213" s="357">
        <f t="shared" si="70"/>
        <v>15</v>
      </c>
      <c r="P213" s="357">
        <f t="shared" si="71"/>
        <v>10</v>
      </c>
      <c r="Q213" s="357">
        <f t="shared" si="72"/>
        <v>15</v>
      </c>
      <c r="R213" s="356">
        <f t="shared" si="66"/>
        <v>3201126.4309038976</v>
      </c>
      <c r="S213" s="356">
        <f>IF($G$4="mensual",S204,IF($G$4="trimestral",S204,0))</f>
        <v>10000</v>
      </c>
      <c r="U213" s="356">
        <f t="shared" si="73"/>
        <v>25605.97309499222</v>
      </c>
      <c r="V213" s="359">
        <f t="shared" si="75"/>
        <v>-159.18899833876736</v>
      </c>
      <c r="X213" s="359">
        <f t="shared" si="74"/>
        <v>-3754.424929400639</v>
      </c>
      <c r="Y213" s="356">
        <f t="shared" si="58"/>
        <v>3232818.7900711508</v>
      </c>
      <c r="AA213" s="357">
        <f>+Bono!J213</f>
        <v>215160.80627305622</v>
      </c>
      <c r="AC213" s="378">
        <f t="shared" si="59"/>
        <v>15.833333333333334</v>
      </c>
      <c r="AD213" s="356">
        <f t="shared" si="60"/>
        <v>3773762.242212235</v>
      </c>
    </row>
    <row r="214" spans="1:30" x14ac:dyDescent="0.25">
      <c r="A214" s="356">
        <f t="shared" si="61"/>
        <v>15.916666666666666</v>
      </c>
      <c r="B214" s="356">
        <f t="shared" si="62"/>
        <v>191</v>
      </c>
      <c r="C214" s="357">
        <f t="shared" si="67"/>
        <v>15</v>
      </c>
      <c r="D214" s="357">
        <f t="shared" si="68"/>
        <v>11</v>
      </c>
      <c r="E214" s="357">
        <f t="shared" si="69"/>
        <v>44</v>
      </c>
      <c r="F214" s="356">
        <f t="shared" si="63"/>
        <v>325782.6458680281</v>
      </c>
      <c r="H214" s="356">
        <f t="shared" si="56"/>
        <v>2597.8365674514807</v>
      </c>
      <c r="I214" s="356">
        <v>0</v>
      </c>
      <c r="J214" s="356">
        <v>0</v>
      </c>
      <c r="K214" s="356">
        <f t="shared" si="64"/>
        <v>-380.92135962515624</v>
      </c>
      <c r="L214" s="356">
        <f t="shared" si="57"/>
        <v>327999.5610758544</v>
      </c>
      <c r="N214" s="356">
        <f t="shared" si="65"/>
        <v>191</v>
      </c>
      <c r="O214" s="357">
        <f t="shared" si="70"/>
        <v>15</v>
      </c>
      <c r="P214" s="357">
        <f t="shared" si="71"/>
        <v>11</v>
      </c>
      <c r="Q214" s="357">
        <f t="shared" si="72"/>
        <v>15</v>
      </c>
      <c r="R214" s="356">
        <f t="shared" si="66"/>
        <v>3232818.7900711508</v>
      </c>
      <c r="S214" s="356">
        <f>IF($G$17="si",S202*(1+$G$20),S202)</f>
        <v>10000</v>
      </c>
      <c r="U214" s="356">
        <f t="shared" si="73"/>
        <v>25858.69241751515</v>
      </c>
      <c r="V214" s="359">
        <f t="shared" si="75"/>
        <v>-159.18899833876736</v>
      </c>
      <c r="X214" s="359">
        <f t="shared" si="74"/>
        <v>-3791.481220448779</v>
      </c>
      <c r="Y214" s="356">
        <f t="shared" si="58"/>
        <v>3264726.812269878</v>
      </c>
      <c r="AA214" s="357">
        <f>+Bono!J214</f>
        <v>216494.82822905798</v>
      </c>
      <c r="AC214" s="378">
        <f t="shared" si="59"/>
        <v>15.916666666666666</v>
      </c>
      <c r="AD214" s="356">
        <f t="shared" si="60"/>
        <v>3809221.2015747908</v>
      </c>
    </row>
    <row r="215" spans="1:30" x14ac:dyDescent="0.25">
      <c r="A215" s="356">
        <f t="shared" si="61"/>
        <v>16</v>
      </c>
      <c r="B215" s="356">
        <f t="shared" si="62"/>
        <v>192</v>
      </c>
      <c r="C215" s="357">
        <f t="shared" si="67"/>
        <v>15</v>
      </c>
      <c r="D215" s="357">
        <f t="shared" si="68"/>
        <v>12</v>
      </c>
      <c r="E215" s="357">
        <f t="shared" si="69"/>
        <v>44</v>
      </c>
      <c r="F215" s="356">
        <f t="shared" si="63"/>
        <v>327999.5610758544</v>
      </c>
      <c r="H215" s="356">
        <f t="shared" si="56"/>
        <v>2615.51456063766</v>
      </c>
      <c r="I215" s="356">
        <v>0</v>
      </c>
      <c r="J215" s="360">
        <f>-SUM(F215:H215)*$J$21*1.16</f>
        <v>-3451.621389644977</v>
      </c>
      <c r="K215" s="356">
        <f t="shared" si="64"/>
        <v>-379.5096069263426</v>
      </c>
      <c r="L215" s="356">
        <f t="shared" si="57"/>
        <v>326783.9446399207</v>
      </c>
      <c r="N215" s="356">
        <f t="shared" si="65"/>
        <v>192</v>
      </c>
      <c r="O215" s="357">
        <f t="shared" si="70"/>
        <v>15</v>
      </c>
      <c r="P215" s="357">
        <f t="shared" si="71"/>
        <v>12</v>
      </c>
      <c r="Q215" s="357">
        <f t="shared" si="72"/>
        <v>15</v>
      </c>
      <c r="R215" s="356">
        <f t="shared" si="66"/>
        <v>3264726.812269878</v>
      </c>
      <c r="S215" s="356">
        <f>IF($G$4="mensual",S214,0)</f>
        <v>10000</v>
      </c>
      <c r="U215" s="356">
        <f t="shared" si="73"/>
        <v>26113.13146733638</v>
      </c>
      <c r="V215" s="359">
        <f t="shared" si="75"/>
        <v>-159.18899833876736</v>
      </c>
      <c r="X215" s="359">
        <f t="shared" si="74"/>
        <v>-3828.7896754970957</v>
      </c>
      <c r="Y215" s="356">
        <f t="shared" si="58"/>
        <v>3296851.9650633787</v>
      </c>
      <c r="AA215" s="357">
        <f>+Bono!J215</f>
        <v>215874.6246878525</v>
      </c>
      <c r="AC215" s="378">
        <f t="shared" si="59"/>
        <v>16</v>
      </c>
      <c r="AD215" s="356">
        <f t="shared" si="60"/>
        <v>3839510.5343911517</v>
      </c>
    </row>
    <row r="216" spans="1:30" x14ac:dyDescent="0.25">
      <c r="A216" s="356">
        <f t="shared" si="61"/>
        <v>16.083333333333332</v>
      </c>
      <c r="B216" s="356">
        <f t="shared" si="62"/>
        <v>193</v>
      </c>
      <c r="C216" s="357">
        <f t="shared" si="67"/>
        <v>16</v>
      </c>
      <c r="D216" s="357">
        <f t="shared" si="68"/>
        <v>1</v>
      </c>
      <c r="E216" s="357">
        <f t="shared" si="69"/>
        <v>45</v>
      </c>
      <c r="F216" s="356">
        <f t="shared" si="63"/>
        <v>326783.9446399207</v>
      </c>
      <c r="H216" s="356">
        <f t="shared" ref="H216:H279" si="76">SUM(F216:G216)*$G$8</f>
        <v>2605.8210644698415</v>
      </c>
      <c r="I216" s="356">
        <v>0</v>
      </c>
      <c r="J216" s="356">
        <v>0</v>
      </c>
      <c r="K216" s="356">
        <f t="shared" si="64"/>
        <v>-382.09212821709303</v>
      </c>
      <c r="L216" s="356">
        <f t="shared" ref="L216:L279" si="77">SUM(F216:K216)</f>
        <v>329007.6735761735</v>
      </c>
      <c r="N216" s="356">
        <f t="shared" si="65"/>
        <v>193</v>
      </c>
      <c r="O216" s="357">
        <f t="shared" si="70"/>
        <v>16</v>
      </c>
      <c r="P216" s="357">
        <f t="shared" si="71"/>
        <v>1</v>
      </c>
      <c r="Q216" s="357">
        <f t="shared" si="72"/>
        <v>16</v>
      </c>
      <c r="R216" s="356">
        <f t="shared" si="66"/>
        <v>3296851.9650633787</v>
      </c>
      <c r="S216" s="356">
        <f>IF($G$17="si",S204*(1+$G$20),S204)</f>
        <v>10000</v>
      </c>
      <c r="U216" s="356">
        <f t="shared" si="73"/>
        <v>26369.301947011747</v>
      </c>
      <c r="V216" s="359">
        <f>V215*(1+$G$18)</f>
        <v>-165.55655827231806</v>
      </c>
      <c r="X216" s="359">
        <f t="shared" si="74"/>
        <v>-3866.344624124457</v>
      </c>
      <c r="Y216" s="356">
        <f t="shared" ref="Y216:Y279" si="78">SUM(R216:X216)</f>
        <v>3329189.3658279935</v>
      </c>
      <c r="AA216" s="357">
        <f>+Bono!J216</f>
        <v>217213.0724008238</v>
      </c>
      <c r="AC216" s="378">
        <f t="shared" ref="AC216:AC279" si="79">+B216/12</f>
        <v>16.083333333333332</v>
      </c>
      <c r="AD216" s="356">
        <f t="shared" ref="AD216:AD279" si="80">+AA216+Y216+L216</f>
        <v>3875410.1118049906</v>
      </c>
    </row>
    <row r="217" spans="1:30" x14ac:dyDescent="0.25">
      <c r="A217" s="356">
        <f t="shared" ref="A217:A280" si="81">+B217/12</f>
        <v>16.166666666666668</v>
      </c>
      <c r="B217" s="356">
        <f t="shared" ref="B217:B280" si="82">+B216+1</f>
        <v>194</v>
      </c>
      <c r="C217" s="357">
        <f t="shared" si="67"/>
        <v>16</v>
      </c>
      <c r="D217" s="357">
        <f t="shared" si="68"/>
        <v>2</v>
      </c>
      <c r="E217" s="357">
        <f t="shared" si="69"/>
        <v>45</v>
      </c>
      <c r="F217" s="356">
        <f t="shared" ref="F217:F280" si="83">L216</f>
        <v>329007.6735761735</v>
      </c>
      <c r="H217" s="356">
        <f t="shared" si="76"/>
        <v>2623.5533912833375</v>
      </c>
      <c r="I217" s="356">
        <v>0</v>
      </c>
      <c r="J217" s="356">
        <v>0</v>
      </c>
      <c r="K217" s="356">
        <f t="shared" ref="K217:K280" si="84">-SUM(F217:J217)*0.1%*1.16</f>
        <v>-384.69222328224987</v>
      </c>
      <c r="L217" s="356">
        <f t="shared" si="77"/>
        <v>331246.53474417457</v>
      </c>
      <c r="N217" s="356">
        <f t="shared" ref="N217:N280" si="85">+N216+1</f>
        <v>194</v>
      </c>
      <c r="O217" s="357">
        <f t="shared" si="70"/>
        <v>16</v>
      </c>
      <c r="P217" s="357">
        <f t="shared" si="71"/>
        <v>2</v>
      </c>
      <c r="Q217" s="357">
        <f t="shared" si="72"/>
        <v>16</v>
      </c>
      <c r="R217" s="356">
        <f t="shared" ref="R217:R280" si="86">Y216</f>
        <v>3329189.3658279935</v>
      </c>
      <c r="S217" s="356">
        <f>IF($G$4="mensual",S216,0)</f>
        <v>10000</v>
      </c>
      <c r="U217" s="356">
        <f t="shared" si="73"/>
        <v>26627.164921814525</v>
      </c>
      <c r="V217" s="359">
        <f t="shared" si="75"/>
        <v>-165.55655827231806</v>
      </c>
      <c r="X217" s="359">
        <f t="shared" si="74"/>
        <v>-3904.155130062181</v>
      </c>
      <c r="Y217" s="356">
        <f t="shared" si="78"/>
        <v>3361746.8190614735</v>
      </c>
      <c r="AA217" s="357">
        <f>+Bono!J217</f>
        <v>218559.81864486582</v>
      </c>
      <c r="AC217" s="378">
        <f t="shared" si="79"/>
        <v>16.166666666666668</v>
      </c>
      <c r="AD217" s="356">
        <f t="shared" si="80"/>
        <v>3911553.172450514</v>
      </c>
    </row>
    <row r="218" spans="1:30" x14ac:dyDescent="0.25">
      <c r="A218" s="356">
        <f t="shared" si="81"/>
        <v>16.25</v>
      </c>
      <c r="B218" s="356">
        <f t="shared" si="82"/>
        <v>195</v>
      </c>
      <c r="C218" s="357">
        <f t="shared" si="67"/>
        <v>16</v>
      </c>
      <c r="D218" s="357">
        <f t="shared" si="68"/>
        <v>3</v>
      </c>
      <c r="E218" s="357">
        <f t="shared" si="69"/>
        <v>45</v>
      </c>
      <c r="F218" s="356">
        <f t="shared" si="83"/>
        <v>331246.53474417457</v>
      </c>
      <c r="H218" s="356">
        <f t="shared" si="76"/>
        <v>2641.406384637798</v>
      </c>
      <c r="I218" s="356">
        <v>0</v>
      </c>
      <c r="J218" s="360">
        <f>-SUM(F218:H218)*$J$21*1.16</f>
        <v>-3485.7901053848013</v>
      </c>
      <c r="K218" s="356">
        <f t="shared" si="84"/>
        <v>-383.266495187176</v>
      </c>
      <c r="L218" s="356">
        <f t="shared" si="77"/>
        <v>330018.8845282404</v>
      </c>
      <c r="N218" s="356">
        <f t="shared" si="85"/>
        <v>195</v>
      </c>
      <c r="O218" s="357">
        <f t="shared" si="70"/>
        <v>16</v>
      </c>
      <c r="P218" s="357">
        <f t="shared" si="71"/>
        <v>3</v>
      </c>
      <c r="Q218" s="357">
        <f t="shared" si="72"/>
        <v>16</v>
      </c>
      <c r="R218" s="356">
        <f t="shared" si="86"/>
        <v>3361746.8190614735</v>
      </c>
      <c r="S218" s="356">
        <f>IF($G$4="mensual",S217,0)</f>
        <v>10000</v>
      </c>
      <c r="U218" s="356">
        <f t="shared" si="73"/>
        <v>26886.782625905762</v>
      </c>
      <c r="V218" s="359">
        <f t="shared" si="75"/>
        <v>-165.55655827231806</v>
      </c>
      <c r="X218" s="359">
        <f t="shared" si="74"/>
        <v>-3942.2229323497636</v>
      </c>
      <c r="Y218" s="356">
        <f t="shared" si="78"/>
        <v>3394525.822196757</v>
      </c>
      <c r="AA218" s="357">
        <f>+Bono!J218</f>
        <v>217933.69942253802</v>
      </c>
      <c r="AC218" s="378">
        <f t="shared" si="79"/>
        <v>16.25</v>
      </c>
      <c r="AD218" s="356">
        <f t="shared" si="80"/>
        <v>3942478.406147535</v>
      </c>
    </row>
    <row r="219" spans="1:30" x14ac:dyDescent="0.25">
      <c r="A219" s="356">
        <f t="shared" si="81"/>
        <v>16.333333333333332</v>
      </c>
      <c r="B219" s="356">
        <f t="shared" si="82"/>
        <v>196</v>
      </c>
      <c r="C219" s="357">
        <f t="shared" si="67"/>
        <v>16</v>
      </c>
      <c r="D219" s="357">
        <f t="shared" si="68"/>
        <v>4</v>
      </c>
      <c r="E219" s="357">
        <f t="shared" si="69"/>
        <v>45</v>
      </c>
      <c r="F219" s="356">
        <f t="shared" si="83"/>
        <v>330018.8845282404</v>
      </c>
      <c r="H219" s="356">
        <f t="shared" si="76"/>
        <v>2631.616929418365</v>
      </c>
      <c r="I219" s="356">
        <v>0</v>
      </c>
      <c r="J219" s="356">
        <v>0</v>
      </c>
      <c r="K219" s="356">
        <f t="shared" si="84"/>
        <v>-385.87458169088416</v>
      </c>
      <c r="L219" s="356">
        <f t="shared" si="77"/>
        <v>332264.6268759679</v>
      </c>
      <c r="N219" s="356">
        <f t="shared" si="85"/>
        <v>196</v>
      </c>
      <c r="O219" s="357">
        <f t="shared" si="70"/>
        <v>16</v>
      </c>
      <c r="P219" s="357">
        <f t="shared" si="71"/>
        <v>4</v>
      </c>
      <c r="Q219" s="357">
        <f t="shared" si="72"/>
        <v>16</v>
      </c>
      <c r="R219" s="356">
        <f t="shared" si="86"/>
        <v>3394525.822196757</v>
      </c>
      <c r="S219" s="356">
        <f>IF($G$4="mensual",S216,IF($G$4="trimestral",S216,0))</f>
        <v>10000</v>
      </c>
      <c r="U219" s="356">
        <f t="shared" si="73"/>
        <v>27148.167000025987</v>
      </c>
      <c r="V219" s="359">
        <f t="shared" si="75"/>
        <v>-165.55655827231806</v>
      </c>
      <c r="X219" s="359">
        <f t="shared" si="74"/>
        <v>-3980.5497818606723</v>
      </c>
      <c r="Y219" s="356">
        <f t="shared" si="78"/>
        <v>3427527.88285665</v>
      </c>
      <c r="AA219" s="357">
        <f>+Bono!J219</f>
        <v>219284.91363770224</v>
      </c>
      <c r="AC219" s="378">
        <f t="shared" si="79"/>
        <v>16.333333333333332</v>
      </c>
      <c r="AD219" s="356">
        <f t="shared" si="80"/>
        <v>3979077.42337032</v>
      </c>
    </row>
    <row r="220" spans="1:30" x14ac:dyDescent="0.25">
      <c r="A220" s="356">
        <f t="shared" si="81"/>
        <v>16.416666666666668</v>
      </c>
      <c r="B220" s="356">
        <f t="shared" si="82"/>
        <v>197</v>
      </c>
      <c r="C220" s="357">
        <f t="shared" si="67"/>
        <v>16</v>
      </c>
      <c r="D220" s="357">
        <f t="shared" si="68"/>
        <v>5</v>
      </c>
      <c r="E220" s="357">
        <f t="shared" si="69"/>
        <v>45</v>
      </c>
      <c r="F220" s="356">
        <f t="shared" si="83"/>
        <v>332264.6268759679</v>
      </c>
      <c r="H220" s="356">
        <f t="shared" si="76"/>
        <v>2649.52479426628</v>
      </c>
      <c r="I220" s="356">
        <v>0</v>
      </c>
      <c r="J220" s="356">
        <v>0</v>
      </c>
      <c r="K220" s="356">
        <f t="shared" si="84"/>
        <v>-388.5004159374716</v>
      </c>
      <c r="L220" s="356">
        <f t="shared" si="77"/>
        <v>334525.6512542967</v>
      </c>
      <c r="N220" s="356">
        <f t="shared" si="85"/>
        <v>197</v>
      </c>
      <c r="O220" s="357">
        <f t="shared" si="70"/>
        <v>16</v>
      </c>
      <c r="P220" s="357">
        <f t="shared" si="71"/>
        <v>5</v>
      </c>
      <c r="Q220" s="357">
        <f t="shared" si="72"/>
        <v>16</v>
      </c>
      <c r="R220" s="356">
        <f t="shared" si="86"/>
        <v>3427527.88285665</v>
      </c>
      <c r="S220" s="356">
        <f>IF($G$4="mensual",S219,0)</f>
        <v>10000</v>
      </c>
      <c r="U220" s="356">
        <f t="shared" si="73"/>
        <v>27411.330066171173</v>
      </c>
      <c r="V220" s="359">
        <f t="shared" si="75"/>
        <v>-165.55655827231806</v>
      </c>
      <c r="X220" s="359">
        <f t="shared" si="74"/>
        <v>-4019.137441382876</v>
      </c>
      <c r="Y220" s="356">
        <f t="shared" si="78"/>
        <v>3460754.5189231657</v>
      </c>
      <c r="AA220" s="357">
        <f>+Bono!J220</f>
        <v>220644.50553773163</v>
      </c>
      <c r="AC220" s="378">
        <f t="shared" si="79"/>
        <v>16.416666666666668</v>
      </c>
      <c r="AD220" s="356">
        <f t="shared" si="80"/>
        <v>4015924.675715194</v>
      </c>
    </row>
    <row r="221" spans="1:30" x14ac:dyDescent="0.25">
      <c r="A221" s="356">
        <f t="shared" si="81"/>
        <v>16.5</v>
      </c>
      <c r="B221" s="356">
        <f t="shared" si="82"/>
        <v>198</v>
      </c>
      <c r="C221" s="357">
        <f t="shared" si="67"/>
        <v>16</v>
      </c>
      <c r="D221" s="357">
        <f t="shared" si="68"/>
        <v>6</v>
      </c>
      <c r="E221" s="357">
        <f t="shared" si="69"/>
        <v>45</v>
      </c>
      <c r="F221" s="356">
        <f t="shared" si="83"/>
        <v>334525.6512542967</v>
      </c>
      <c r="H221" s="356">
        <f t="shared" si="76"/>
        <v>2667.5545201722484</v>
      </c>
      <c r="I221" s="356">
        <v>0</v>
      </c>
      <c r="J221" s="360">
        <f>-SUM(F221:H221)*$J$21*1.16</f>
        <v>-3520.297068285456</v>
      </c>
      <c r="K221" s="356">
        <f t="shared" si="84"/>
        <v>-387.0605740991728</v>
      </c>
      <c r="L221" s="356">
        <f t="shared" si="77"/>
        <v>333285.8481320843</v>
      </c>
      <c r="N221" s="356">
        <f t="shared" si="85"/>
        <v>198</v>
      </c>
      <c r="O221" s="357">
        <f t="shared" si="70"/>
        <v>16</v>
      </c>
      <c r="P221" s="357">
        <f t="shared" si="71"/>
        <v>6</v>
      </c>
      <c r="Q221" s="357">
        <f t="shared" si="72"/>
        <v>16</v>
      </c>
      <c r="R221" s="356">
        <f t="shared" si="86"/>
        <v>3460754.5189231657</v>
      </c>
      <c r="S221" s="356">
        <f>IF($G$4="mensual",S220,0)</f>
        <v>10000</v>
      </c>
      <c r="U221" s="356">
        <f t="shared" si="73"/>
        <v>27676.28392814565</v>
      </c>
      <c r="V221" s="359">
        <f t="shared" si="75"/>
        <v>-165.55655827231806</v>
      </c>
      <c r="X221" s="359">
        <f t="shared" si="74"/>
        <v>-4057.987685699925</v>
      </c>
      <c r="Y221" s="356">
        <f t="shared" si="78"/>
        <v>3494207.258607339</v>
      </c>
      <c r="AA221" s="357">
        <f>+Bono!J221</f>
        <v>220012.41420880044</v>
      </c>
      <c r="AC221" s="378">
        <f t="shared" si="79"/>
        <v>16.5</v>
      </c>
      <c r="AD221" s="356">
        <f t="shared" si="80"/>
        <v>4047505.520948224</v>
      </c>
    </row>
    <row r="222" spans="1:30" x14ac:dyDescent="0.25">
      <c r="A222" s="356">
        <f t="shared" si="81"/>
        <v>16.583333333333332</v>
      </c>
      <c r="B222" s="356">
        <f t="shared" si="82"/>
        <v>199</v>
      </c>
      <c r="C222" s="357">
        <f t="shared" si="67"/>
        <v>16</v>
      </c>
      <c r="D222" s="357">
        <f t="shared" si="68"/>
        <v>7</v>
      </c>
      <c r="E222" s="357">
        <f t="shared" si="69"/>
        <v>45</v>
      </c>
      <c r="F222" s="356">
        <f t="shared" si="83"/>
        <v>333285.8481320843</v>
      </c>
      <c r="H222" s="356">
        <f t="shared" si="76"/>
        <v>2657.6681559715335</v>
      </c>
      <c r="I222" s="356">
        <v>0</v>
      </c>
      <c r="J222" s="356">
        <v>0</v>
      </c>
      <c r="K222" s="356">
        <f t="shared" si="84"/>
        <v>-389.69447889414477</v>
      </c>
      <c r="L222" s="356">
        <f t="shared" si="77"/>
        <v>335553.8218091617</v>
      </c>
      <c r="N222" s="356">
        <f t="shared" si="85"/>
        <v>199</v>
      </c>
      <c r="O222" s="357">
        <f t="shared" si="70"/>
        <v>16</v>
      </c>
      <c r="P222" s="357">
        <f t="shared" si="71"/>
        <v>7</v>
      </c>
      <c r="Q222" s="357">
        <f t="shared" si="72"/>
        <v>16</v>
      </c>
      <c r="R222" s="356">
        <f t="shared" si="86"/>
        <v>3494207.258607339</v>
      </c>
      <c r="S222" s="356">
        <f>+IF($G$4="mensual",S216,IF($G$4="trimestral",S216,IF($G$4="semestral",S216,0)))</f>
        <v>10000</v>
      </c>
      <c r="U222" s="356">
        <f t="shared" si="73"/>
        <v>27943.04077211881</v>
      </c>
      <c r="V222" s="359">
        <f t="shared" si="75"/>
        <v>-165.55655827231806</v>
      </c>
      <c r="X222" s="359">
        <f t="shared" si="74"/>
        <v>-4097.102301672575</v>
      </c>
      <c r="Y222" s="356">
        <f t="shared" si="78"/>
        <v>3527887.640519513</v>
      </c>
      <c r="AA222" s="357">
        <f>+Bono!J222</f>
        <v>221376.5166967555</v>
      </c>
      <c r="AC222" s="378">
        <f t="shared" si="79"/>
        <v>16.583333333333332</v>
      </c>
      <c r="AD222" s="356">
        <f t="shared" si="80"/>
        <v>4084817.97902543</v>
      </c>
    </row>
    <row r="223" spans="1:30" x14ac:dyDescent="0.25">
      <c r="A223" s="356">
        <f t="shared" si="81"/>
        <v>16.666666666666668</v>
      </c>
      <c r="B223" s="356">
        <f t="shared" si="82"/>
        <v>200</v>
      </c>
      <c r="C223" s="357">
        <f t="shared" si="67"/>
        <v>16</v>
      </c>
      <c r="D223" s="357">
        <f t="shared" si="68"/>
        <v>8</v>
      </c>
      <c r="E223" s="357">
        <f t="shared" si="69"/>
        <v>45</v>
      </c>
      <c r="F223" s="356">
        <f t="shared" si="83"/>
        <v>335553.8218091617</v>
      </c>
      <c r="H223" s="356">
        <f t="shared" si="76"/>
        <v>2675.753296561606</v>
      </c>
      <c r="I223" s="356">
        <v>0</v>
      </c>
      <c r="J223" s="356">
        <v>0</v>
      </c>
      <c r="K223" s="356">
        <f t="shared" si="84"/>
        <v>-392.346307122639</v>
      </c>
      <c r="L223" s="356">
        <f t="shared" si="77"/>
        <v>337837.22879860067</v>
      </c>
      <c r="N223" s="356">
        <f t="shared" si="85"/>
        <v>200</v>
      </c>
      <c r="O223" s="357">
        <f t="shared" si="70"/>
        <v>16</v>
      </c>
      <c r="P223" s="357">
        <f t="shared" si="71"/>
        <v>8</v>
      </c>
      <c r="Q223" s="357">
        <f t="shared" si="72"/>
        <v>16</v>
      </c>
      <c r="R223" s="356">
        <f t="shared" si="86"/>
        <v>3527887.640519513</v>
      </c>
      <c r="S223" s="356">
        <f>IF($G$4="mensual",S222,0)</f>
        <v>10000</v>
      </c>
      <c r="U223" s="356">
        <f t="shared" si="73"/>
        <v>28211.612867185595</v>
      </c>
      <c r="V223" s="359">
        <f t="shared" si="75"/>
        <v>-165.55655827231806</v>
      </c>
      <c r="X223" s="359">
        <f t="shared" si="74"/>
        <v>-4136.483088320974</v>
      </c>
      <c r="Y223" s="356">
        <f t="shared" si="78"/>
        <v>3561797.213740105</v>
      </c>
      <c r="AA223" s="357">
        <f>+Bono!J223</f>
        <v>222749.07677836198</v>
      </c>
      <c r="AC223" s="378">
        <f t="shared" si="79"/>
        <v>16.666666666666668</v>
      </c>
      <c r="AD223" s="356">
        <f t="shared" si="80"/>
        <v>4122383.5193170677</v>
      </c>
    </row>
    <row r="224" spans="1:30" x14ac:dyDescent="0.25">
      <c r="A224" s="356">
        <f t="shared" si="81"/>
        <v>16.75</v>
      </c>
      <c r="B224" s="356">
        <f t="shared" si="82"/>
        <v>201</v>
      </c>
      <c r="C224" s="357">
        <f t="shared" si="67"/>
        <v>16</v>
      </c>
      <c r="D224" s="357">
        <f t="shared" si="68"/>
        <v>9</v>
      </c>
      <c r="E224" s="357">
        <f t="shared" si="69"/>
        <v>45</v>
      </c>
      <c r="F224" s="356">
        <f t="shared" si="83"/>
        <v>337837.22879860067</v>
      </c>
      <c r="H224" s="356">
        <f t="shared" si="76"/>
        <v>2693.9615045517326</v>
      </c>
      <c r="I224" s="356">
        <v>0</v>
      </c>
      <c r="J224" s="360">
        <f>-SUM(F224:H224)*$J$21*1.16</f>
        <v>-3555.1456267649114</v>
      </c>
      <c r="K224" s="356">
        <f t="shared" si="84"/>
        <v>-390.8922118246095</v>
      </c>
      <c r="L224" s="356">
        <f t="shared" si="77"/>
        <v>336585.1524645629</v>
      </c>
      <c r="N224" s="356">
        <f t="shared" si="85"/>
        <v>201</v>
      </c>
      <c r="O224" s="357">
        <f t="shared" si="70"/>
        <v>16</v>
      </c>
      <c r="P224" s="357">
        <f t="shared" si="71"/>
        <v>9</v>
      </c>
      <c r="Q224" s="357">
        <f t="shared" si="72"/>
        <v>16</v>
      </c>
      <c r="R224" s="356">
        <f t="shared" si="86"/>
        <v>3561797.213740105</v>
      </c>
      <c r="S224" s="356">
        <f>IF($G$4="mensual",S223,0)</f>
        <v>10000</v>
      </c>
      <c r="U224" s="356">
        <f t="shared" si="73"/>
        <v>28482.01256593079</v>
      </c>
      <c r="V224" s="359">
        <f t="shared" si="75"/>
        <v>-165.55655827231806</v>
      </c>
      <c r="X224" s="359">
        <f t="shared" si="74"/>
        <v>-4176.131856907405</v>
      </c>
      <c r="Y224" s="356">
        <f t="shared" si="78"/>
        <v>3595937.5378908557</v>
      </c>
      <c r="AA224" s="357">
        <f>+Bono!J224</f>
        <v>222110.95637914387</v>
      </c>
      <c r="AC224" s="378">
        <f t="shared" si="79"/>
        <v>16.75</v>
      </c>
      <c r="AD224" s="356">
        <f t="shared" si="80"/>
        <v>4154633.6467345627</v>
      </c>
    </row>
    <row r="225" spans="1:30" x14ac:dyDescent="0.25">
      <c r="A225" s="356">
        <f t="shared" si="81"/>
        <v>16.833333333333332</v>
      </c>
      <c r="B225" s="356">
        <f t="shared" si="82"/>
        <v>202</v>
      </c>
      <c r="C225" s="357">
        <f t="shared" si="67"/>
        <v>16</v>
      </c>
      <c r="D225" s="357">
        <f t="shared" si="68"/>
        <v>10</v>
      </c>
      <c r="E225" s="357">
        <f t="shared" si="69"/>
        <v>45</v>
      </c>
      <c r="F225" s="356">
        <f t="shared" si="83"/>
        <v>336585.1524645629</v>
      </c>
      <c r="H225" s="356">
        <f t="shared" si="76"/>
        <v>2683.9772720364085</v>
      </c>
      <c r="I225" s="356">
        <v>0</v>
      </c>
      <c r="J225" s="356">
        <v>0</v>
      </c>
      <c r="K225" s="356">
        <f t="shared" si="84"/>
        <v>-393.5521904944552</v>
      </c>
      <c r="L225" s="356">
        <f t="shared" si="77"/>
        <v>338875.5775461049</v>
      </c>
      <c r="N225" s="356">
        <f t="shared" si="85"/>
        <v>202</v>
      </c>
      <c r="O225" s="357">
        <f t="shared" si="70"/>
        <v>16</v>
      </c>
      <c r="P225" s="357">
        <f t="shared" si="71"/>
        <v>10</v>
      </c>
      <c r="Q225" s="357">
        <f t="shared" si="72"/>
        <v>16</v>
      </c>
      <c r="R225" s="356">
        <f t="shared" si="86"/>
        <v>3595937.5378908557</v>
      </c>
      <c r="S225" s="356">
        <f>IF($G$4="mensual",S216,IF($G$4="trimestral",S216,0))</f>
        <v>10000</v>
      </c>
      <c r="U225" s="356">
        <f t="shared" si="73"/>
        <v>28754.25230499717</v>
      </c>
      <c r="V225" s="359">
        <f t="shared" si="75"/>
        <v>-165.55655827231806</v>
      </c>
      <c r="X225" s="359">
        <f t="shared" si="74"/>
        <v>-4216.050431019594</v>
      </c>
      <c r="Y225" s="356">
        <f t="shared" si="78"/>
        <v>3630310.183206561</v>
      </c>
      <c r="AA225" s="357">
        <f>+Bono!J225</f>
        <v>223488.07007197087</v>
      </c>
      <c r="AC225" s="378">
        <f t="shared" si="79"/>
        <v>16.833333333333332</v>
      </c>
      <c r="AD225" s="356">
        <f t="shared" si="80"/>
        <v>4192673.830824637</v>
      </c>
    </row>
    <row r="226" spans="1:30" x14ac:dyDescent="0.25">
      <c r="A226" s="356">
        <f t="shared" si="81"/>
        <v>16.916666666666668</v>
      </c>
      <c r="B226" s="356">
        <f t="shared" si="82"/>
        <v>203</v>
      </c>
      <c r="C226" s="357">
        <f t="shared" si="67"/>
        <v>16</v>
      </c>
      <c r="D226" s="357">
        <f t="shared" si="68"/>
        <v>11</v>
      </c>
      <c r="E226" s="357">
        <f t="shared" si="69"/>
        <v>45</v>
      </c>
      <c r="F226" s="356">
        <f t="shared" si="83"/>
        <v>338875.5775461049</v>
      </c>
      <c r="H226" s="356">
        <f t="shared" si="76"/>
        <v>2702.2414432785076</v>
      </c>
      <c r="I226" s="356">
        <v>0</v>
      </c>
      <c r="J226" s="356">
        <v>0</v>
      </c>
      <c r="K226" s="356">
        <f t="shared" si="84"/>
        <v>-396.2302700276847</v>
      </c>
      <c r="L226" s="356">
        <f t="shared" si="77"/>
        <v>341181.5887193557</v>
      </c>
      <c r="N226" s="356">
        <f t="shared" si="85"/>
        <v>203</v>
      </c>
      <c r="O226" s="357">
        <f t="shared" si="70"/>
        <v>16</v>
      </c>
      <c r="P226" s="357">
        <f t="shared" si="71"/>
        <v>11</v>
      </c>
      <c r="Q226" s="357">
        <f t="shared" si="72"/>
        <v>16</v>
      </c>
      <c r="R226" s="356">
        <f t="shared" si="86"/>
        <v>3630310.183206561</v>
      </c>
      <c r="S226" s="356">
        <f>IF($G$17="si",S214*(1+$G$20),S214)</f>
        <v>10000</v>
      </c>
      <c r="U226" s="356">
        <f t="shared" si="73"/>
        <v>29028.34460565751</v>
      </c>
      <c r="V226" s="359">
        <f t="shared" si="75"/>
        <v>-165.55655827231806</v>
      </c>
      <c r="X226" s="359">
        <f t="shared" si="74"/>
        <v>-4256.240646654577</v>
      </c>
      <c r="Y226" s="356">
        <f t="shared" si="78"/>
        <v>3664916.7306072917</v>
      </c>
      <c r="AA226" s="357">
        <f>+Bono!J226</f>
        <v>224873.7220294287</v>
      </c>
      <c r="AC226" s="378">
        <f t="shared" si="79"/>
        <v>16.916666666666668</v>
      </c>
      <c r="AD226" s="356">
        <f t="shared" si="80"/>
        <v>4230972.0413560765</v>
      </c>
    </row>
    <row r="227" spans="1:30" x14ac:dyDescent="0.25">
      <c r="A227" s="356">
        <f t="shared" si="81"/>
        <v>17</v>
      </c>
      <c r="B227" s="356">
        <f t="shared" si="82"/>
        <v>204</v>
      </c>
      <c r="C227" s="357">
        <f t="shared" si="67"/>
        <v>16</v>
      </c>
      <c r="D227" s="357">
        <f t="shared" si="68"/>
        <v>12</v>
      </c>
      <c r="E227" s="357">
        <f t="shared" si="69"/>
        <v>45</v>
      </c>
      <c r="F227" s="356">
        <f t="shared" si="83"/>
        <v>341181.5887193557</v>
      </c>
      <c r="H227" s="356">
        <f t="shared" si="76"/>
        <v>2720.6299002046308</v>
      </c>
      <c r="I227" s="356">
        <v>0</v>
      </c>
      <c r="J227" s="360">
        <f>-SUM(F227:H227)*$J$21*1.16</f>
        <v>-3590.3391623882103</v>
      </c>
      <c r="K227" s="356">
        <f t="shared" si="84"/>
        <v>-394.7617801703197</v>
      </c>
      <c r="L227" s="356">
        <f t="shared" si="77"/>
        <v>339917.1176770018</v>
      </c>
      <c r="N227" s="356">
        <f t="shared" si="85"/>
        <v>204</v>
      </c>
      <c r="O227" s="357">
        <f t="shared" si="70"/>
        <v>16</v>
      </c>
      <c r="P227" s="357">
        <f t="shared" si="71"/>
        <v>12</v>
      </c>
      <c r="Q227" s="357">
        <f t="shared" si="72"/>
        <v>16</v>
      </c>
      <c r="R227" s="356">
        <f t="shared" si="86"/>
        <v>3664916.7306072917</v>
      </c>
      <c r="S227" s="356">
        <f>IF($G$4="mensual",S226,0)</f>
        <v>10000</v>
      </c>
      <c r="U227" s="356">
        <f t="shared" si="73"/>
        <v>29304.30207439045</v>
      </c>
      <c r="V227" s="359">
        <f t="shared" si="75"/>
        <v>-165.55655827231806</v>
      </c>
      <c r="X227" s="359">
        <f t="shared" si="74"/>
        <v>-4296.704352303155</v>
      </c>
      <c r="Y227" s="356">
        <f t="shared" si="78"/>
        <v>3699758.771771107</v>
      </c>
      <c r="AA227" s="357">
        <f>+Bono!J227</f>
        <v>224229.51505290385</v>
      </c>
      <c r="AC227" s="378">
        <f t="shared" si="79"/>
        <v>17</v>
      </c>
      <c r="AD227" s="356">
        <f t="shared" si="80"/>
        <v>4263905.4045010125</v>
      </c>
    </row>
    <row r="228" spans="1:30" x14ac:dyDescent="0.25">
      <c r="A228" s="356">
        <f t="shared" si="81"/>
        <v>17.083333333333332</v>
      </c>
      <c r="B228" s="356">
        <f t="shared" si="82"/>
        <v>205</v>
      </c>
      <c r="C228" s="357">
        <f t="shared" ref="C228:C291" si="87">C216+1</f>
        <v>17</v>
      </c>
      <c r="D228" s="357">
        <f t="shared" ref="D228:D291" si="88">D216</f>
        <v>1</v>
      </c>
      <c r="E228" s="357">
        <f t="shared" ref="E228:E291" si="89">E216+1</f>
        <v>46</v>
      </c>
      <c r="F228" s="356">
        <f t="shared" si="83"/>
        <v>339917.1176770018</v>
      </c>
      <c r="H228" s="356">
        <f t="shared" si="76"/>
        <v>2710.5468305446184</v>
      </c>
      <c r="I228" s="356">
        <v>0</v>
      </c>
      <c r="J228" s="356">
        <v>0</v>
      </c>
      <c r="K228" s="356">
        <f t="shared" si="84"/>
        <v>-397.4480908287538</v>
      </c>
      <c r="L228" s="356">
        <f t="shared" si="77"/>
        <v>342230.2164167176</v>
      </c>
      <c r="N228" s="356">
        <f t="shared" si="85"/>
        <v>205</v>
      </c>
      <c r="O228" s="357">
        <f t="shared" ref="O228:O291" si="90">O216+1</f>
        <v>17</v>
      </c>
      <c r="P228" s="357">
        <f t="shared" ref="P228:P291" si="91">P216</f>
        <v>1</v>
      </c>
      <c r="Q228" s="357">
        <f t="shared" ref="Q228:Q291" si="92">Q216+1</f>
        <v>17</v>
      </c>
      <c r="R228" s="356">
        <f t="shared" si="86"/>
        <v>3699758.771771107</v>
      </c>
      <c r="S228" s="356">
        <f>IF($G$17="si",S216*(1+$G$20),S216)</f>
        <v>10000</v>
      </c>
      <c r="U228" s="356">
        <f t="shared" ref="U228:U291" si="93">SUM(R228:T228)*$G$8</f>
        <v>29582.137403460358</v>
      </c>
      <c r="V228" s="359">
        <f>V227*(1+$G$18)</f>
        <v>-172.1788206032108</v>
      </c>
      <c r="X228" s="359">
        <f t="shared" si="74"/>
        <v>-4337.435727210598</v>
      </c>
      <c r="Y228" s="356">
        <f t="shared" si="78"/>
        <v>3734831.2946267533</v>
      </c>
      <c r="AA228" s="357">
        <f>+Bono!J228</f>
        <v>225619.76405524576</v>
      </c>
      <c r="AC228" s="378">
        <f t="shared" si="79"/>
        <v>17.083333333333332</v>
      </c>
      <c r="AD228" s="356">
        <f t="shared" si="80"/>
        <v>4302681.275098717</v>
      </c>
    </row>
    <row r="229" spans="1:30" x14ac:dyDescent="0.25">
      <c r="A229" s="356">
        <f t="shared" si="81"/>
        <v>17.166666666666668</v>
      </c>
      <c r="B229" s="356">
        <f t="shared" si="82"/>
        <v>206</v>
      </c>
      <c r="C229" s="357">
        <f t="shared" si="87"/>
        <v>17</v>
      </c>
      <c r="D229" s="357">
        <f t="shared" si="88"/>
        <v>2</v>
      </c>
      <c r="E229" s="357">
        <f t="shared" si="89"/>
        <v>46</v>
      </c>
      <c r="F229" s="356">
        <f t="shared" si="83"/>
        <v>342230.2164167176</v>
      </c>
      <c r="H229" s="356">
        <f t="shared" si="76"/>
        <v>2728.9918047210326</v>
      </c>
      <c r="I229" s="356">
        <v>0</v>
      </c>
      <c r="J229" s="356">
        <v>0</v>
      </c>
      <c r="K229" s="356">
        <f t="shared" si="84"/>
        <v>-400.1526815368688</v>
      </c>
      <c r="L229" s="356">
        <f t="shared" si="77"/>
        <v>344559.0555399018</v>
      </c>
      <c r="N229" s="356">
        <f t="shared" si="85"/>
        <v>206</v>
      </c>
      <c r="O229" s="357">
        <f t="shared" si="90"/>
        <v>17</v>
      </c>
      <c r="P229" s="357">
        <f t="shared" si="91"/>
        <v>2</v>
      </c>
      <c r="Q229" s="357">
        <f t="shared" si="92"/>
        <v>17</v>
      </c>
      <c r="R229" s="356">
        <f t="shared" si="86"/>
        <v>3734831.2946267533</v>
      </c>
      <c r="S229" s="356">
        <f>IF($G$4="mensual",S228,0)</f>
        <v>10000</v>
      </c>
      <c r="U229" s="356">
        <f t="shared" si="93"/>
        <v>29861.81062590722</v>
      </c>
      <c r="V229" s="359">
        <f t="shared" si="75"/>
        <v>-172.1788206032108</v>
      </c>
      <c r="X229" s="359">
        <f t="shared" si="74"/>
        <v>-4378.444274661187</v>
      </c>
      <c r="Y229" s="356">
        <f t="shared" si="78"/>
        <v>3770142.482157396</v>
      </c>
      <c r="AA229" s="357">
        <f>+Bono!J229</f>
        <v>227018.63276266112</v>
      </c>
      <c r="AC229" s="378">
        <f t="shared" si="79"/>
        <v>17.166666666666668</v>
      </c>
      <c r="AD229" s="356">
        <f t="shared" si="80"/>
        <v>4341720.170459959</v>
      </c>
    </row>
    <row r="230" spans="1:30" x14ac:dyDescent="0.25">
      <c r="A230" s="356">
        <f t="shared" si="81"/>
        <v>17.25</v>
      </c>
      <c r="B230" s="356">
        <f t="shared" si="82"/>
        <v>207</v>
      </c>
      <c r="C230" s="357">
        <f t="shared" si="87"/>
        <v>17</v>
      </c>
      <c r="D230" s="357">
        <f t="shared" si="88"/>
        <v>3</v>
      </c>
      <c r="E230" s="357">
        <f t="shared" si="89"/>
        <v>46</v>
      </c>
      <c r="F230" s="356">
        <f t="shared" si="83"/>
        <v>344559.0555399018</v>
      </c>
      <c r="H230" s="356">
        <f t="shared" si="76"/>
        <v>2747.562294925628</v>
      </c>
      <c r="I230" s="356">
        <v>0</v>
      </c>
      <c r="J230" s="360">
        <f>-SUM(F230:H230)*$J$21*1.16</f>
        <v>-3625.881090195598</v>
      </c>
      <c r="K230" s="356">
        <f t="shared" si="84"/>
        <v>-398.6696546237729</v>
      </c>
      <c r="L230" s="356">
        <f t="shared" si="77"/>
        <v>343282.067090008</v>
      </c>
      <c r="N230" s="356">
        <f t="shared" si="85"/>
        <v>207</v>
      </c>
      <c r="O230" s="357">
        <f t="shared" si="90"/>
        <v>17</v>
      </c>
      <c r="P230" s="357">
        <f t="shared" si="91"/>
        <v>3</v>
      </c>
      <c r="Q230" s="357">
        <f t="shared" si="92"/>
        <v>17</v>
      </c>
      <c r="R230" s="356">
        <f t="shared" si="86"/>
        <v>3770142.482157396</v>
      </c>
      <c r="S230" s="356">
        <f>IF($G$4="mensual",S229,0)</f>
        <v>10000</v>
      </c>
      <c r="U230" s="356">
        <f t="shared" si="93"/>
        <v>30143.38699398792</v>
      </c>
      <c r="V230" s="359">
        <f t="shared" si="75"/>
        <v>-172.1788206032108</v>
      </c>
      <c r="X230" s="359">
        <f t="shared" si="74"/>
        <v>-4419.7318807837055</v>
      </c>
      <c r="Y230" s="356">
        <f t="shared" si="78"/>
        <v>3805693.9584499975</v>
      </c>
      <c r="AA230" s="357">
        <f>+Bono!J230</f>
        <v>226368.28115329123</v>
      </c>
      <c r="AC230" s="378">
        <f t="shared" si="79"/>
        <v>17.25</v>
      </c>
      <c r="AD230" s="356">
        <f t="shared" si="80"/>
        <v>4375344.306693297</v>
      </c>
    </row>
    <row r="231" spans="1:30" x14ac:dyDescent="0.25">
      <c r="A231" s="356">
        <f t="shared" si="81"/>
        <v>17.333333333333332</v>
      </c>
      <c r="B231" s="356">
        <f t="shared" si="82"/>
        <v>208</v>
      </c>
      <c r="C231" s="357">
        <f t="shared" si="87"/>
        <v>17</v>
      </c>
      <c r="D231" s="357">
        <f t="shared" si="88"/>
        <v>4</v>
      </c>
      <c r="E231" s="357">
        <f t="shared" si="89"/>
        <v>46</v>
      </c>
      <c r="F231" s="356">
        <f t="shared" si="83"/>
        <v>343282.067090008</v>
      </c>
      <c r="H231" s="356">
        <f t="shared" si="76"/>
        <v>2737.3794097000873</v>
      </c>
      <c r="I231" s="356">
        <v>0</v>
      </c>
      <c r="J231" s="356">
        <v>0</v>
      </c>
      <c r="K231" s="356">
        <f t="shared" si="84"/>
        <v>-401.3825579396614</v>
      </c>
      <c r="L231" s="356">
        <f t="shared" si="77"/>
        <v>345618.0639417684</v>
      </c>
      <c r="N231" s="356">
        <f t="shared" si="85"/>
        <v>208</v>
      </c>
      <c r="O231" s="357">
        <f t="shared" si="90"/>
        <v>17</v>
      </c>
      <c r="P231" s="357">
        <f t="shared" si="91"/>
        <v>4</v>
      </c>
      <c r="Q231" s="357">
        <f t="shared" si="92"/>
        <v>17</v>
      </c>
      <c r="R231" s="356">
        <f t="shared" si="86"/>
        <v>3805693.9584499975</v>
      </c>
      <c r="S231" s="356">
        <f>IF($G$4="mensual",S228,IF($G$4="trimestral",S228,0))</f>
        <v>10000</v>
      </c>
      <c r="U231" s="356">
        <f t="shared" si="93"/>
        <v>30426.879458399966</v>
      </c>
      <c r="V231" s="359">
        <f t="shared" si="75"/>
        <v>-172.1788206032108</v>
      </c>
      <c r="X231" s="359">
        <f t="shared" si="74"/>
        <v>-4461.300444541841</v>
      </c>
      <c r="Y231" s="356">
        <f t="shared" si="78"/>
        <v>3841487.3586432524</v>
      </c>
      <c r="AA231" s="357">
        <f>+Bono!J231</f>
        <v>227771.79075353706</v>
      </c>
      <c r="AC231" s="378">
        <f t="shared" si="79"/>
        <v>17.333333333333332</v>
      </c>
      <c r="AD231" s="356">
        <f t="shared" si="80"/>
        <v>4414877.213338558</v>
      </c>
    </row>
    <row r="232" spans="1:30" x14ac:dyDescent="0.25">
      <c r="A232" s="356">
        <f t="shared" si="81"/>
        <v>17.416666666666668</v>
      </c>
      <c r="B232" s="356">
        <f t="shared" si="82"/>
        <v>209</v>
      </c>
      <c r="C232" s="357">
        <f t="shared" si="87"/>
        <v>17</v>
      </c>
      <c r="D232" s="357">
        <f t="shared" si="88"/>
        <v>5</v>
      </c>
      <c r="E232" s="357">
        <f t="shared" si="89"/>
        <v>46</v>
      </c>
      <c r="F232" s="356">
        <f t="shared" si="83"/>
        <v>345618.0639417684</v>
      </c>
      <c r="H232" s="356">
        <f t="shared" si="76"/>
        <v>2756.006976637502</v>
      </c>
      <c r="I232" s="356">
        <v>0</v>
      </c>
      <c r="J232" s="356">
        <v>0</v>
      </c>
      <c r="K232" s="356">
        <f t="shared" si="84"/>
        <v>-404.1139222653509</v>
      </c>
      <c r="L232" s="356">
        <f t="shared" si="77"/>
        <v>347969.9569961406</v>
      </c>
      <c r="N232" s="356">
        <f t="shared" si="85"/>
        <v>209</v>
      </c>
      <c r="O232" s="357">
        <f t="shared" si="90"/>
        <v>17</v>
      </c>
      <c r="P232" s="357">
        <f t="shared" si="91"/>
        <v>5</v>
      </c>
      <c r="Q232" s="357">
        <f t="shared" si="92"/>
        <v>17</v>
      </c>
      <c r="R232" s="356">
        <f t="shared" si="86"/>
        <v>3841487.3586432524</v>
      </c>
      <c r="S232" s="356">
        <f>IF($G$4="mensual",S231,0)</f>
        <v>10000</v>
      </c>
      <c r="U232" s="356">
        <f t="shared" si="93"/>
        <v>30712.301057968933</v>
      </c>
      <c r="V232" s="359">
        <f t="shared" si="75"/>
        <v>-172.1788206032108</v>
      </c>
      <c r="X232" s="359">
        <f t="shared" si="74"/>
        <v>-4503.151877821517</v>
      </c>
      <c r="Y232" s="356">
        <f t="shared" si="78"/>
        <v>3877524.3290027967</v>
      </c>
      <c r="AA232" s="357">
        <f>+Bono!J232</f>
        <v>229184.00227610147</v>
      </c>
      <c r="AC232" s="378">
        <f t="shared" si="79"/>
        <v>17.416666666666668</v>
      </c>
      <c r="AD232" s="356">
        <f t="shared" si="80"/>
        <v>4454678.288275039</v>
      </c>
    </row>
    <row r="233" spans="1:30" x14ac:dyDescent="0.25">
      <c r="A233" s="356">
        <f t="shared" si="81"/>
        <v>17.5</v>
      </c>
      <c r="B233" s="356">
        <f t="shared" si="82"/>
        <v>210</v>
      </c>
      <c r="C233" s="357">
        <f t="shared" si="87"/>
        <v>17</v>
      </c>
      <c r="D233" s="357">
        <f t="shared" si="88"/>
        <v>6</v>
      </c>
      <c r="E233" s="357">
        <f t="shared" si="89"/>
        <v>46</v>
      </c>
      <c r="F233" s="356">
        <f t="shared" si="83"/>
        <v>347969.9569961406</v>
      </c>
      <c r="H233" s="356">
        <f t="shared" si="76"/>
        <v>2774.761302126829</v>
      </c>
      <c r="I233" s="356">
        <v>0</v>
      </c>
      <c r="J233" s="360">
        <f>-SUM(F233:H233)*$J$21*1.16</f>
        <v>-3661.774859033912</v>
      </c>
      <c r="K233" s="356">
        <f t="shared" si="84"/>
        <v>-402.6162143895108</v>
      </c>
      <c r="L233" s="356">
        <f t="shared" si="77"/>
        <v>346680.32722484396</v>
      </c>
      <c r="N233" s="356">
        <f t="shared" si="85"/>
        <v>210</v>
      </c>
      <c r="O233" s="357">
        <f t="shared" si="90"/>
        <v>17</v>
      </c>
      <c r="P233" s="357">
        <f t="shared" si="91"/>
        <v>6</v>
      </c>
      <c r="Q233" s="357">
        <f t="shared" si="92"/>
        <v>17</v>
      </c>
      <c r="R233" s="356">
        <f t="shared" si="86"/>
        <v>3877524.3290027967</v>
      </c>
      <c r="S233" s="356">
        <f>IF($G$4="mensual",S232,0)</f>
        <v>10000</v>
      </c>
      <c r="U233" s="356">
        <f t="shared" si="93"/>
        <v>30999.66492024818</v>
      </c>
      <c r="V233" s="359">
        <f t="shared" si="75"/>
        <v>-172.1788206032108</v>
      </c>
      <c r="X233" s="359">
        <f t="shared" si="74"/>
        <v>-4545.288105518832</v>
      </c>
      <c r="Y233" s="356">
        <f t="shared" si="78"/>
        <v>3913806.5269969227</v>
      </c>
      <c r="AA233" s="357">
        <f>+Bono!J233</f>
        <v>228527.44742459763</v>
      </c>
      <c r="AC233" s="378">
        <f t="shared" si="79"/>
        <v>17.5</v>
      </c>
      <c r="AD233" s="356">
        <f t="shared" si="80"/>
        <v>4489014.301646364</v>
      </c>
    </row>
    <row r="234" spans="1:30" x14ac:dyDescent="0.25">
      <c r="A234" s="356">
        <f t="shared" si="81"/>
        <v>17.583333333333332</v>
      </c>
      <c r="B234" s="356">
        <f t="shared" si="82"/>
        <v>211</v>
      </c>
      <c r="C234" s="357">
        <f t="shared" si="87"/>
        <v>17</v>
      </c>
      <c r="D234" s="357">
        <f t="shared" si="88"/>
        <v>7</v>
      </c>
      <c r="E234" s="357">
        <f t="shared" si="89"/>
        <v>46</v>
      </c>
      <c r="F234" s="356">
        <f t="shared" si="83"/>
        <v>346680.32722484396</v>
      </c>
      <c r="H234" s="356">
        <f t="shared" si="76"/>
        <v>2764.4776132292145</v>
      </c>
      <c r="I234" s="356">
        <v>0</v>
      </c>
      <c r="J234" s="356">
        <v>0</v>
      </c>
      <c r="K234" s="356">
        <f t="shared" si="84"/>
        <v>-405.3559736121648</v>
      </c>
      <c r="L234" s="356">
        <f t="shared" si="77"/>
        <v>349039.448864461</v>
      </c>
      <c r="N234" s="356">
        <f t="shared" si="85"/>
        <v>211</v>
      </c>
      <c r="O234" s="357">
        <f t="shared" si="90"/>
        <v>17</v>
      </c>
      <c r="P234" s="357">
        <f t="shared" si="91"/>
        <v>7</v>
      </c>
      <c r="Q234" s="357">
        <f t="shared" si="92"/>
        <v>17</v>
      </c>
      <c r="R234" s="356">
        <f t="shared" si="86"/>
        <v>3913806.5269969227</v>
      </c>
      <c r="S234" s="356">
        <f>+IF($G$4="mensual",S228,IF($G$4="trimestral",S228,IF($G$4="semestral",S228,0)))</f>
        <v>10000</v>
      </c>
      <c r="U234" s="356">
        <f t="shared" si="93"/>
        <v>31288.98426212263</v>
      </c>
      <c r="V234" s="359">
        <f t="shared" si="75"/>
        <v>-172.1788206032108</v>
      </c>
      <c r="X234" s="359">
        <f t="shared" si="74"/>
        <v>-4587.711065628593</v>
      </c>
      <c r="Y234" s="356">
        <f t="shared" si="78"/>
        <v>3950335.621372814</v>
      </c>
      <c r="AA234" s="357">
        <f>+Bono!J234</f>
        <v>229944.34410617335</v>
      </c>
      <c r="AC234" s="378">
        <f t="shared" si="79"/>
        <v>17.583333333333332</v>
      </c>
      <c r="AD234" s="356">
        <f t="shared" si="80"/>
        <v>4529319.414343448</v>
      </c>
    </row>
    <row r="235" spans="1:30" x14ac:dyDescent="0.25">
      <c r="A235" s="356">
        <f t="shared" si="81"/>
        <v>17.666666666666668</v>
      </c>
      <c r="B235" s="356">
        <f t="shared" si="82"/>
        <v>212</v>
      </c>
      <c r="C235" s="357">
        <f t="shared" si="87"/>
        <v>17</v>
      </c>
      <c r="D235" s="357">
        <f t="shared" si="88"/>
        <v>8</v>
      </c>
      <c r="E235" s="357">
        <f t="shared" si="89"/>
        <v>46</v>
      </c>
      <c r="F235" s="356">
        <f t="shared" si="83"/>
        <v>349039.448864461</v>
      </c>
      <c r="H235" s="356">
        <f t="shared" si="76"/>
        <v>2783.289580472386</v>
      </c>
      <c r="I235" s="356">
        <v>0</v>
      </c>
      <c r="J235" s="356">
        <v>0</v>
      </c>
      <c r="K235" s="356">
        <f t="shared" si="84"/>
        <v>-408.1143765961227</v>
      </c>
      <c r="L235" s="356">
        <f t="shared" si="77"/>
        <v>351414.62406833726</v>
      </c>
      <c r="N235" s="356">
        <f t="shared" si="85"/>
        <v>212</v>
      </c>
      <c r="O235" s="357">
        <f t="shared" si="90"/>
        <v>17</v>
      </c>
      <c r="P235" s="357">
        <f t="shared" si="91"/>
        <v>8</v>
      </c>
      <c r="Q235" s="357">
        <f t="shared" si="92"/>
        <v>17</v>
      </c>
      <c r="R235" s="356">
        <f t="shared" si="86"/>
        <v>3950335.621372814</v>
      </c>
      <c r="S235" s="356">
        <f>IF($G$4="mensual",S234,0)</f>
        <v>10000</v>
      </c>
      <c r="U235" s="356">
        <f t="shared" si="93"/>
        <v>31580.272390416667</v>
      </c>
      <c r="V235" s="359">
        <f t="shared" si="75"/>
        <v>-172.1788206032108</v>
      </c>
      <c r="X235" s="359">
        <f t="shared" ref="X235:X298" si="94">-SUM(R235:V235)*0.1%*1.16</f>
        <v>-4630.4227093334475</v>
      </c>
      <c r="Y235" s="356">
        <f t="shared" si="78"/>
        <v>3987113.2922332943</v>
      </c>
      <c r="AA235" s="357">
        <f>+Bono!J235</f>
        <v>231370.02571152468</v>
      </c>
      <c r="AC235" s="378">
        <f t="shared" si="79"/>
        <v>17.666666666666668</v>
      </c>
      <c r="AD235" s="356">
        <f t="shared" si="80"/>
        <v>4569897.942013157</v>
      </c>
    </row>
    <row r="236" spans="1:30" x14ac:dyDescent="0.25">
      <c r="A236" s="356">
        <f t="shared" si="81"/>
        <v>17.75</v>
      </c>
      <c r="B236" s="356">
        <f t="shared" si="82"/>
        <v>213</v>
      </c>
      <c r="C236" s="357">
        <f t="shared" si="87"/>
        <v>17</v>
      </c>
      <c r="D236" s="357">
        <f t="shared" si="88"/>
        <v>9</v>
      </c>
      <c r="E236" s="357">
        <f t="shared" si="89"/>
        <v>46</v>
      </c>
      <c r="F236" s="356">
        <f t="shared" si="83"/>
        <v>351414.62406833726</v>
      </c>
      <c r="H236" s="356">
        <f t="shared" si="76"/>
        <v>2802.229561091346</v>
      </c>
      <c r="I236" s="356">
        <v>0</v>
      </c>
      <c r="J236" s="360">
        <f>-SUM(F236:H236)*$J$21*1.16</f>
        <v>-3698.023951891235</v>
      </c>
      <c r="K236" s="356">
        <f t="shared" si="84"/>
        <v>-406.60184242594335</v>
      </c>
      <c r="L236" s="356">
        <f t="shared" si="77"/>
        <v>350112.22783511144</v>
      </c>
      <c r="N236" s="356">
        <f t="shared" si="85"/>
        <v>213</v>
      </c>
      <c r="O236" s="357">
        <f t="shared" si="90"/>
        <v>17</v>
      </c>
      <c r="P236" s="357">
        <f t="shared" si="91"/>
        <v>9</v>
      </c>
      <c r="Q236" s="357">
        <f t="shared" si="92"/>
        <v>17</v>
      </c>
      <c r="R236" s="356">
        <f t="shared" si="86"/>
        <v>3987113.2922332943</v>
      </c>
      <c r="S236" s="356">
        <f>IF($G$4="mensual",S235,0)</f>
        <v>10000</v>
      </c>
      <c r="U236" s="356">
        <f t="shared" si="93"/>
        <v>31873.54270250614</v>
      </c>
      <c r="V236" s="359">
        <f t="shared" si="75"/>
        <v>-172.1788206032108</v>
      </c>
      <c r="X236" s="359">
        <f t="shared" si="94"/>
        <v>-4673.425001093628</v>
      </c>
      <c r="Y236" s="356">
        <f t="shared" si="78"/>
        <v>4024141.231114104</v>
      </c>
      <c r="AA236" s="357">
        <f>+Bono!J236</f>
        <v>230707.2084495656</v>
      </c>
      <c r="AC236" s="378">
        <f t="shared" si="79"/>
        <v>17.75</v>
      </c>
      <c r="AD236" s="356">
        <f t="shared" si="80"/>
        <v>4604960.667398781</v>
      </c>
    </row>
    <row r="237" spans="1:30" x14ac:dyDescent="0.25">
      <c r="A237" s="356">
        <f t="shared" si="81"/>
        <v>17.833333333333332</v>
      </c>
      <c r="B237" s="356">
        <f t="shared" si="82"/>
        <v>214</v>
      </c>
      <c r="C237" s="357">
        <f t="shared" si="87"/>
        <v>17</v>
      </c>
      <c r="D237" s="357">
        <f t="shared" si="88"/>
        <v>10</v>
      </c>
      <c r="E237" s="357">
        <f t="shared" si="89"/>
        <v>46</v>
      </c>
      <c r="F237" s="356">
        <f t="shared" si="83"/>
        <v>350112.22783511144</v>
      </c>
      <c r="H237" s="356">
        <f t="shared" si="76"/>
        <v>2791.8440706335277</v>
      </c>
      <c r="I237" s="356">
        <v>0</v>
      </c>
      <c r="J237" s="356">
        <v>0</v>
      </c>
      <c r="K237" s="356">
        <f t="shared" si="84"/>
        <v>-409.36872341066413</v>
      </c>
      <c r="L237" s="356">
        <f t="shared" si="77"/>
        <v>352494.7031823343</v>
      </c>
      <c r="N237" s="356">
        <f t="shared" si="85"/>
        <v>214</v>
      </c>
      <c r="O237" s="357">
        <f t="shared" si="90"/>
        <v>17</v>
      </c>
      <c r="P237" s="357">
        <f t="shared" si="91"/>
        <v>10</v>
      </c>
      <c r="Q237" s="357">
        <f t="shared" si="92"/>
        <v>17</v>
      </c>
      <c r="R237" s="356">
        <f t="shared" si="86"/>
        <v>4024141.231114104</v>
      </c>
      <c r="S237" s="356">
        <f>IF($G$4="mensual",S228,IF($G$4="trimestral",S228,0))</f>
        <v>10000</v>
      </c>
      <c r="U237" s="356">
        <f t="shared" si="93"/>
        <v>32168.80868693458</v>
      </c>
      <c r="V237" s="359">
        <f t="shared" si="75"/>
        <v>-172.1788206032108</v>
      </c>
      <c r="X237" s="359">
        <f t="shared" si="94"/>
        <v>-4716.719918737305</v>
      </c>
      <c r="Y237" s="356">
        <f t="shared" si="78"/>
        <v>4061421.141061698</v>
      </c>
      <c r="AA237" s="357">
        <f>+Bono!J237</f>
        <v>232137.61990233272</v>
      </c>
      <c r="AC237" s="378">
        <f t="shared" si="79"/>
        <v>17.833333333333332</v>
      </c>
      <c r="AD237" s="356">
        <f t="shared" si="80"/>
        <v>4646053.4641463645</v>
      </c>
    </row>
    <row r="238" spans="1:30" x14ac:dyDescent="0.25">
      <c r="A238" s="356">
        <f t="shared" si="81"/>
        <v>17.916666666666668</v>
      </c>
      <c r="B238" s="356">
        <f t="shared" si="82"/>
        <v>215</v>
      </c>
      <c r="C238" s="357">
        <f t="shared" si="87"/>
        <v>17</v>
      </c>
      <c r="D238" s="357">
        <f t="shared" si="88"/>
        <v>11</v>
      </c>
      <c r="E238" s="357">
        <f t="shared" si="89"/>
        <v>46</v>
      </c>
      <c r="F238" s="356">
        <f t="shared" si="83"/>
        <v>352494.7031823343</v>
      </c>
      <c r="H238" s="356">
        <f t="shared" si="76"/>
        <v>2810.842263620684</v>
      </c>
      <c r="I238" s="356">
        <v>0</v>
      </c>
      <c r="J238" s="356">
        <v>0</v>
      </c>
      <c r="K238" s="356">
        <f t="shared" si="84"/>
        <v>-412.1544327173078</v>
      </c>
      <c r="L238" s="356">
        <f t="shared" si="77"/>
        <v>354893.3910132377</v>
      </c>
      <c r="N238" s="356">
        <f t="shared" si="85"/>
        <v>215</v>
      </c>
      <c r="O238" s="357">
        <f t="shared" si="90"/>
        <v>17</v>
      </c>
      <c r="P238" s="357">
        <f t="shared" si="91"/>
        <v>11</v>
      </c>
      <c r="Q238" s="357">
        <f t="shared" si="92"/>
        <v>17</v>
      </c>
      <c r="R238" s="356">
        <f t="shared" si="86"/>
        <v>4061421.141061698</v>
      </c>
      <c r="S238" s="356">
        <f>IF($G$17="si",S226*(1+$G$20),S226)</f>
        <v>10000</v>
      </c>
      <c r="U238" s="356">
        <f t="shared" si="93"/>
        <v>32466.08392403358</v>
      </c>
      <c r="V238" s="359">
        <f t="shared" si="75"/>
        <v>-172.1788206032108</v>
      </c>
      <c r="X238" s="359">
        <f t="shared" si="94"/>
        <v>-4760.309453551549</v>
      </c>
      <c r="Y238" s="356">
        <f t="shared" si="78"/>
        <v>4098954.736711577</v>
      </c>
      <c r="AA238" s="357">
        <f>+Bono!J238</f>
        <v>233576.9000720245</v>
      </c>
      <c r="AC238" s="378">
        <f t="shared" si="79"/>
        <v>17.916666666666668</v>
      </c>
      <c r="AD238" s="356">
        <f t="shared" si="80"/>
        <v>4687425.027796839</v>
      </c>
    </row>
    <row r="239" spans="1:30" x14ac:dyDescent="0.25">
      <c r="A239" s="356">
        <f t="shared" si="81"/>
        <v>18</v>
      </c>
      <c r="B239" s="356">
        <f t="shared" si="82"/>
        <v>216</v>
      </c>
      <c r="C239" s="357">
        <f t="shared" si="87"/>
        <v>17</v>
      </c>
      <c r="D239" s="357">
        <f t="shared" si="88"/>
        <v>12</v>
      </c>
      <c r="E239" s="357">
        <f t="shared" si="89"/>
        <v>46</v>
      </c>
      <c r="F239" s="356">
        <f t="shared" si="83"/>
        <v>354893.3910132377</v>
      </c>
      <c r="H239" s="356">
        <f t="shared" si="76"/>
        <v>2829.969737229411</v>
      </c>
      <c r="I239" s="356">
        <v>0</v>
      </c>
      <c r="J239" s="360">
        <f>-SUM(F239:H239)*$J$21*1.16</f>
        <v>-3734.6318862348767</v>
      </c>
      <c r="K239" s="356">
        <f t="shared" si="84"/>
        <v>-410.62692548250936</v>
      </c>
      <c r="L239" s="356">
        <f t="shared" si="77"/>
        <v>353578.1019387497</v>
      </c>
      <c r="N239" s="356">
        <f t="shared" si="85"/>
        <v>216</v>
      </c>
      <c r="O239" s="357">
        <f t="shared" si="90"/>
        <v>17</v>
      </c>
      <c r="P239" s="357">
        <f t="shared" si="91"/>
        <v>12</v>
      </c>
      <c r="Q239" s="357">
        <f t="shared" si="92"/>
        <v>17</v>
      </c>
      <c r="R239" s="356">
        <f t="shared" si="86"/>
        <v>4098954.736711577</v>
      </c>
      <c r="S239" s="356">
        <f>IF($G$4="mensual",S238,0)</f>
        <v>10000</v>
      </c>
      <c r="U239" s="356">
        <f t="shared" si="93"/>
        <v>32765.382086547408</v>
      </c>
      <c r="V239" s="359">
        <f t="shared" si="75"/>
        <v>-172.1788206032108</v>
      </c>
      <c r="X239" s="359">
        <f t="shared" si="94"/>
        <v>-4804.195610373924</v>
      </c>
      <c r="Y239" s="356">
        <f t="shared" si="78"/>
        <v>4136743.744367148</v>
      </c>
      <c r="AA239" s="357">
        <f>+Bono!J239</f>
        <v>232907.7606669243</v>
      </c>
      <c r="AC239" s="378">
        <f t="shared" si="79"/>
        <v>18</v>
      </c>
      <c r="AD239" s="356">
        <f t="shared" si="80"/>
        <v>4723229.606972822</v>
      </c>
    </row>
    <row r="240" spans="1:30" x14ac:dyDescent="0.25">
      <c r="A240" s="356">
        <f t="shared" si="81"/>
        <v>18.083333333333332</v>
      </c>
      <c r="B240" s="356">
        <f t="shared" si="82"/>
        <v>217</v>
      </c>
      <c r="C240" s="357">
        <f t="shared" si="87"/>
        <v>18</v>
      </c>
      <c r="D240" s="357">
        <f t="shared" si="88"/>
        <v>1</v>
      </c>
      <c r="E240" s="357">
        <f t="shared" si="89"/>
        <v>47</v>
      </c>
      <c r="F240" s="356">
        <f t="shared" si="83"/>
        <v>353578.1019387497</v>
      </c>
      <c r="H240" s="356">
        <f t="shared" si="76"/>
        <v>2819.4814374448406</v>
      </c>
      <c r="I240" s="356">
        <v>0</v>
      </c>
      <c r="J240" s="356">
        <v>0</v>
      </c>
      <c r="K240" s="356">
        <f t="shared" si="84"/>
        <v>-413.4211967163857</v>
      </c>
      <c r="L240" s="356">
        <f t="shared" si="77"/>
        <v>355984.1621794782</v>
      </c>
      <c r="N240" s="356">
        <f t="shared" si="85"/>
        <v>217</v>
      </c>
      <c r="O240" s="357">
        <f t="shared" si="90"/>
        <v>18</v>
      </c>
      <c r="P240" s="357">
        <f t="shared" si="91"/>
        <v>1</v>
      </c>
      <c r="Q240" s="357">
        <f t="shared" si="92"/>
        <v>18</v>
      </c>
      <c r="R240" s="356">
        <f t="shared" si="86"/>
        <v>4136743.744367148</v>
      </c>
      <c r="S240" s="356">
        <f>IF($G$17="si",S228*(1+$G$20),S228)</f>
        <v>10000</v>
      </c>
      <c r="U240" s="356">
        <f t="shared" si="93"/>
        <v>33066.71694026185</v>
      </c>
      <c r="V240" s="359">
        <f>V239*(1+$G$18)</f>
        <v>-179.06597342733923</v>
      </c>
      <c r="X240" s="359">
        <f t="shared" si="94"/>
        <v>-4848.372418587419</v>
      </c>
      <c r="Y240" s="356">
        <f t="shared" si="78"/>
        <v>4174783.022915395</v>
      </c>
      <c r="AA240" s="357">
        <f>+Bono!J240</f>
        <v>234351.8157986873</v>
      </c>
      <c r="AC240" s="378">
        <f t="shared" si="79"/>
        <v>18.083333333333332</v>
      </c>
      <c r="AD240" s="356">
        <f t="shared" si="80"/>
        <v>4765119.000893561</v>
      </c>
    </row>
    <row r="241" spans="1:30" x14ac:dyDescent="0.25">
      <c r="A241" s="356">
        <f t="shared" si="81"/>
        <v>18.166666666666668</v>
      </c>
      <c r="B241" s="356">
        <f t="shared" si="82"/>
        <v>218</v>
      </c>
      <c r="C241" s="357">
        <f t="shared" si="87"/>
        <v>18</v>
      </c>
      <c r="D241" s="357">
        <f t="shared" si="88"/>
        <v>2</v>
      </c>
      <c r="E241" s="357">
        <f t="shared" si="89"/>
        <v>47</v>
      </c>
      <c r="F241" s="356">
        <f t="shared" si="83"/>
        <v>355984.1621794782</v>
      </c>
      <c r="H241" s="356">
        <f t="shared" si="76"/>
        <v>2838.6676996848114</v>
      </c>
      <c r="I241" s="356">
        <v>0</v>
      </c>
      <c r="J241" s="356">
        <v>0</v>
      </c>
      <c r="K241" s="356">
        <f t="shared" si="84"/>
        <v>-416.23448265982904</v>
      </c>
      <c r="L241" s="356">
        <f t="shared" si="77"/>
        <v>358406.59539650317</v>
      </c>
      <c r="N241" s="356">
        <f t="shared" si="85"/>
        <v>218</v>
      </c>
      <c r="O241" s="357">
        <f t="shared" si="90"/>
        <v>18</v>
      </c>
      <c r="P241" s="357">
        <f t="shared" si="91"/>
        <v>2</v>
      </c>
      <c r="Q241" s="357">
        <f t="shared" si="92"/>
        <v>18</v>
      </c>
      <c r="R241" s="356">
        <f t="shared" si="86"/>
        <v>4174783.022915395</v>
      </c>
      <c r="S241" s="356">
        <f>IF($G$4="mensual",S240,0)</f>
        <v>10000</v>
      </c>
      <c r="U241" s="356">
        <f t="shared" si="93"/>
        <v>33370.04748921976</v>
      </c>
      <c r="V241" s="359">
        <f t="shared" si="75"/>
        <v>-179.06597342733923</v>
      </c>
      <c r="X241" s="359">
        <f t="shared" si="94"/>
        <v>-4892.849845140177</v>
      </c>
      <c r="Y241" s="356">
        <f t="shared" si="78"/>
        <v>4213081.154586047</v>
      </c>
      <c r="AA241" s="357">
        <f>+Bono!J241</f>
        <v>235804.8242397673</v>
      </c>
      <c r="AC241" s="378">
        <f t="shared" si="79"/>
        <v>18.166666666666668</v>
      </c>
      <c r="AD241" s="356">
        <f t="shared" si="80"/>
        <v>4807292.574222317</v>
      </c>
    </row>
    <row r="242" spans="1:30" x14ac:dyDescent="0.25">
      <c r="A242" s="356">
        <f t="shared" si="81"/>
        <v>18.25</v>
      </c>
      <c r="B242" s="356">
        <f t="shared" si="82"/>
        <v>219</v>
      </c>
      <c r="C242" s="357">
        <f t="shared" si="87"/>
        <v>18</v>
      </c>
      <c r="D242" s="357">
        <f t="shared" si="88"/>
        <v>3</v>
      </c>
      <c r="E242" s="357">
        <f t="shared" si="89"/>
        <v>47</v>
      </c>
      <c r="F242" s="356">
        <f t="shared" si="83"/>
        <v>358406.59539650317</v>
      </c>
      <c r="H242" s="356">
        <f t="shared" si="76"/>
        <v>2857.98452233701</v>
      </c>
      <c r="I242" s="356">
        <v>0</v>
      </c>
      <c r="J242" s="360">
        <f>-SUM(F242:H242)*$J$21*1.16</f>
        <v>-3771.602214352692</v>
      </c>
      <c r="K242" s="356">
        <f t="shared" si="84"/>
        <v>-414.6918541372055</v>
      </c>
      <c r="L242" s="356">
        <f t="shared" si="77"/>
        <v>357078.2858503503</v>
      </c>
      <c r="N242" s="356">
        <f t="shared" si="85"/>
        <v>219</v>
      </c>
      <c r="O242" s="357">
        <f t="shared" si="90"/>
        <v>18</v>
      </c>
      <c r="P242" s="357">
        <f t="shared" si="91"/>
        <v>3</v>
      </c>
      <c r="Q242" s="357">
        <f t="shared" si="92"/>
        <v>18</v>
      </c>
      <c r="R242" s="356">
        <f t="shared" si="86"/>
        <v>4213081.154586047</v>
      </c>
      <c r="S242" s="356">
        <f>IF($G$4="mensual",S241,0)</f>
        <v>10000</v>
      </c>
      <c r="U242" s="356">
        <f t="shared" si="93"/>
        <v>33675.44216932618</v>
      </c>
      <c r="V242" s="359">
        <f t="shared" si="75"/>
        <v>-179.06597342733923</v>
      </c>
      <c r="X242" s="359">
        <f t="shared" si="94"/>
        <v>-4937.629935707057</v>
      </c>
      <c r="Y242" s="356">
        <f t="shared" si="78"/>
        <v>4251639.900846239</v>
      </c>
      <c r="AA242" s="357">
        <f>+Bono!J242</f>
        <v>235129.30238909242</v>
      </c>
      <c r="AC242" s="378">
        <f t="shared" si="79"/>
        <v>18.25</v>
      </c>
      <c r="AD242" s="356">
        <f t="shared" si="80"/>
        <v>4843847.489085682</v>
      </c>
    </row>
    <row r="243" spans="1:30" x14ac:dyDescent="0.25">
      <c r="A243" s="356">
        <f t="shared" si="81"/>
        <v>18.333333333333332</v>
      </c>
      <c r="B243" s="356">
        <f t="shared" si="82"/>
        <v>220</v>
      </c>
      <c r="C243" s="357">
        <f t="shared" si="87"/>
        <v>18</v>
      </c>
      <c r="D243" s="357">
        <f t="shared" si="88"/>
        <v>4</v>
      </c>
      <c r="E243" s="357">
        <f t="shared" si="89"/>
        <v>47</v>
      </c>
      <c r="F243" s="356">
        <f t="shared" si="83"/>
        <v>357078.2858503503</v>
      </c>
      <c r="H243" s="356">
        <f t="shared" si="76"/>
        <v>2847.392395482933</v>
      </c>
      <c r="I243" s="356">
        <v>0</v>
      </c>
      <c r="J243" s="356">
        <v>0</v>
      </c>
      <c r="K243" s="356">
        <f t="shared" si="84"/>
        <v>-417.51378676516646</v>
      </c>
      <c r="L243" s="356">
        <f t="shared" si="77"/>
        <v>359508.16445906804</v>
      </c>
      <c r="N243" s="356">
        <f t="shared" si="85"/>
        <v>220</v>
      </c>
      <c r="O243" s="357">
        <f t="shared" si="90"/>
        <v>18</v>
      </c>
      <c r="P243" s="357">
        <f t="shared" si="91"/>
        <v>4</v>
      </c>
      <c r="Q243" s="357">
        <f t="shared" si="92"/>
        <v>18</v>
      </c>
      <c r="R243" s="356">
        <f t="shared" si="86"/>
        <v>4251639.900846239</v>
      </c>
      <c r="S243" s="356">
        <f>IF($G$4="mensual",S240,IF($G$4="trimestral",S240,0))</f>
        <v>10000</v>
      </c>
      <c r="U243" s="356">
        <f t="shared" si="93"/>
        <v>33982.91502676743</v>
      </c>
      <c r="V243" s="359">
        <f t="shared" si="75"/>
        <v>-179.06597342733923</v>
      </c>
      <c r="X243" s="359">
        <f t="shared" si="94"/>
        <v>-4982.714749883512</v>
      </c>
      <c r="Y243" s="356">
        <f t="shared" si="78"/>
        <v>4290461.035149695</v>
      </c>
      <c r="AA243" s="357">
        <f>+Bono!J243</f>
        <v>236587.13133721577</v>
      </c>
      <c r="AC243" s="378">
        <f t="shared" si="79"/>
        <v>18.333333333333332</v>
      </c>
      <c r="AD243" s="356">
        <f t="shared" si="80"/>
        <v>4886556.33094598</v>
      </c>
    </row>
    <row r="244" spans="1:30" x14ac:dyDescent="0.25">
      <c r="A244" s="356">
        <f t="shared" si="81"/>
        <v>18.416666666666668</v>
      </c>
      <c r="B244" s="356">
        <f t="shared" si="82"/>
        <v>221</v>
      </c>
      <c r="C244" s="357">
        <f t="shared" si="87"/>
        <v>18</v>
      </c>
      <c r="D244" s="357">
        <f t="shared" si="88"/>
        <v>5</v>
      </c>
      <c r="E244" s="357">
        <f t="shared" si="89"/>
        <v>47</v>
      </c>
      <c r="F244" s="356">
        <f t="shared" si="83"/>
        <v>359508.16445906804</v>
      </c>
      <c r="H244" s="356">
        <f t="shared" si="76"/>
        <v>2866.7685887340376</v>
      </c>
      <c r="I244" s="356">
        <v>0</v>
      </c>
      <c r="J244" s="356">
        <v>0</v>
      </c>
      <c r="K244" s="356">
        <f t="shared" si="84"/>
        <v>-420.3549223354504</v>
      </c>
      <c r="L244" s="356">
        <f t="shared" si="77"/>
        <v>361954.5781254666</v>
      </c>
      <c r="N244" s="356">
        <f t="shared" si="85"/>
        <v>221</v>
      </c>
      <c r="O244" s="357">
        <f t="shared" si="90"/>
        <v>18</v>
      </c>
      <c r="P244" s="357">
        <f t="shared" si="91"/>
        <v>5</v>
      </c>
      <c r="Q244" s="357">
        <f t="shared" si="92"/>
        <v>18</v>
      </c>
      <c r="R244" s="356">
        <f t="shared" si="86"/>
        <v>4290461.035149695</v>
      </c>
      <c r="S244" s="356">
        <f>IF($G$4="mensual",S243,0)</f>
        <v>10000</v>
      </c>
      <c r="U244" s="356">
        <f t="shared" si="93"/>
        <v>34292.480203312516</v>
      </c>
      <c r="V244" s="359">
        <f t="shared" si="75"/>
        <v>-179.06597342733923</v>
      </c>
      <c r="X244" s="359">
        <f t="shared" si="94"/>
        <v>-5028.106361280314</v>
      </c>
      <c r="Y244" s="356">
        <f t="shared" si="78"/>
        <v>4329546.343018301</v>
      </c>
      <c r="AA244" s="357">
        <f>+Bono!J244</f>
        <v>238053.9989939152</v>
      </c>
      <c r="AC244" s="378">
        <f t="shared" si="79"/>
        <v>18.416666666666668</v>
      </c>
      <c r="AD244" s="356">
        <f t="shared" si="80"/>
        <v>4929554.920137683</v>
      </c>
    </row>
    <row r="245" spans="1:30" x14ac:dyDescent="0.25">
      <c r="A245" s="356">
        <f t="shared" si="81"/>
        <v>18.5</v>
      </c>
      <c r="B245" s="356">
        <f t="shared" si="82"/>
        <v>222</v>
      </c>
      <c r="C245" s="357">
        <f t="shared" si="87"/>
        <v>18</v>
      </c>
      <c r="D245" s="357">
        <f t="shared" si="88"/>
        <v>6</v>
      </c>
      <c r="E245" s="357">
        <f t="shared" si="89"/>
        <v>47</v>
      </c>
      <c r="F245" s="356">
        <f t="shared" si="83"/>
        <v>361954.5781254666</v>
      </c>
      <c r="H245" s="356">
        <f t="shared" si="76"/>
        <v>2886.2766348570894</v>
      </c>
      <c r="I245" s="356">
        <v>0</v>
      </c>
      <c r="J245" s="360">
        <f>-SUM(F245:H245)*$J$21*1.16</f>
        <v>-3808.9385236977796</v>
      </c>
      <c r="K245" s="356">
        <f t="shared" si="84"/>
        <v>-418.79702283448603</v>
      </c>
      <c r="L245" s="356">
        <f t="shared" si="77"/>
        <v>360613.11921379145</v>
      </c>
      <c r="N245" s="356">
        <f t="shared" si="85"/>
        <v>222</v>
      </c>
      <c r="O245" s="357">
        <f t="shared" si="90"/>
        <v>18</v>
      </c>
      <c r="P245" s="357">
        <f t="shared" si="91"/>
        <v>6</v>
      </c>
      <c r="Q245" s="357">
        <f t="shared" si="92"/>
        <v>18</v>
      </c>
      <c r="R245" s="356">
        <f t="shared" si="86"/>
        <v>4329546.343018301</v>
      </c>
      <c r="S245" s="356">
        <f>IF($G$4="mensual",S244,0)</f>
        <v>10000</v>
      </c>
      <c r="U245" s="356">
        <f t="shared" si="93"/>
        <v>34604.15193696372</v>
      </c>
      <c r="V245" s="359">
        <f t="shared" si="75"/>
        <v>-179.06597342733923</v>
      </c>
      <c r="X245" s="359">
        <f t="shared" si="94"/>
        <v>-5073.806857618932</v>
      </c>
      <c r="Y245" s="356">
        <f t="shared" si="78"/>
        <v>4368897.622124219</v>
      </c>
      <c r="AA245" s="357">
        <f>+Bono!J245</f>
        <v>237372.03382005</v>
      </c>
      <c r="AC245" s="378">
        <f t="shared" si="79"/>
        <v>18.5</v>
      </c>
      <c r="AD245" s="356">
        <f t="shared" si="80"/>
        <v>4966882.775158061</v>
      </c>
    </row>
    <row r="246" spans="1:30" x14ac:dyDescent="0.25">
      <c r="A246" s="356">
        <f t="shared" si="81"/>
        <v>18.583333333333332</v>
      </c>
      <c r="B246" s="356">
        <f t="shared" si="82"/>
        <v>223</v>
      </c>
      <c r="C246" s="357">
        <f t="shared" si="87"/>
        <v>18</v>
      </c>
      <c r="D246" s="357">
        <f t="shared" si="88"/>
        <v>7</v>
      </c>
      <c r="E246" s="357">
        <f t="shared" si="89"/>
        <v>47</v>
      </c>
      <c r="F246" s="356">
        <f t="shared" si="83"/>
        <v>360613.11921379145</v>
      </c>
      <c r="H246" s="356">
        <f t="shared" si="76"/>
        <v>2875.579653115787</v>
      </c>
      <c r="I246" s="356">
        <v>0</v>
      </c>
      <c r="J246" s="356">
        <v>0</v>
      </c>
      <c r="K246" s="356">
        <f t="shared" si="84"/>
        <v>-421.64689068561233</v>
      </c>
      <c r="L246" s="356">
        <f t="shared" si="77"/>
        <v>363067.0519762216</v>
      </c>
      <c r="N246" s="356">
        <f t="shared" si="85"/>
        <v>223</v>
      </c>
      <c r="O246" s="357">
        <f t="shared" si="90"/>
        <v>18</v>
      </c>
      <c r="P246" s="357">
        <f t="shared" si="91"/>
        <v>7</v>
      </c>
      <c r="Q246" s="357">
        <f t="shared" si="92"/>
        <v>18</v>
      </c>
      <c r="R246" s="356">
        <f t="shared" si="86"/>
        <v>4368897.622124219</v>
      </c>
      <c r="S246" s="356">
        <f>+IF($G$4="mensual",S240,IF($G$4="trimestral",S240,IF($G$4="semestral",S240,0)))</f>
        <v>10000</v>
      </c>
      <c r="U246" s="356">
        <f t="shared" si="93"/>
        <v>34917.944562611294</v>
      </c>
      <c r="V246" s="359">
        <f t="shared" si="75"/>
        <v>-179.06597342733923</v>
      </c>
      <c r="X246" s="359">
        <f t="shared" si="94"/>
        <v>-5119.818340827548</v>
      </c>
      <c r="Y246" s="356">
        <f t="shared" si="78"/>
        <v>4408516.682372576</v>
      </c>
      <c r="AA246" s="357">
        <f>+Bono!J246</f>
        <v>238843.76796318605</v>
      </c>
      <c r="AC246" s="378">
        <f t="shared" si="79"/>
        <v>18.583333333333332</v>
      </c>
      <c r="AD246" s="356">
        <f t="shared" si="80"/>
        <v>5010427.502311983</v>
      </c>
    </row>
    <row r="247" spans="1:30" x14ac:dyDescent="0.25">
      <c r="A247" s="356">
        <f t="shared" si="81"/>
        <v>18.666666666666668</v>
      </c>
      <c r="B247" s="356">
        <f t="shared" si="82"/>
        <v>224</v>
      </c>
      <c r="C247" s="357">
        <f t="shared" si="87"/>
        <v>18</v>
      </c>
      <c r="D247" s="357">
        <f t="shared" si="88"/>
        <v>8</v>
      </c>
      <c r="E247" s="357">
        <f t="shared" si="89"/>
        <v>47</v>
      </c>
      <c r="F247" s="356">
        <f t="shared" si="83"/>
        <v>363067.0519762216</v>
      </c>
      <c r="H247" s="356">
        <f t="shared" si="76"/>
        <v>2895.1476575664933</v>
      </c>
      <c r="I247" s="356">
        <v>0</v>
      </c>
      <c r="J247" s="356">
        <v>0</v>
      </c>
      <c r="K247" s="356">
        <f t="shared" si="84"/>
        <v>-424.51615157519416</v>
      </c>
      <c r="L247" s="356">
        <f t="shared" si="77"/>
        <v>365537.6834822129</v>
      </c>
      <c r="N247" s="356">
        <f t="shared" si="85"/>
        <v>224</v>
      </c>
      <c r="O247" s="357">
        <f t="shared" si="90"/>
        <v>18</v>
      </c>
      <c r="P247" s="357">
        <f t="shared" si="91"/>
        <v>8</v>
      </c>
      <c r="Q247" s="357">
        <f t="shared" si="92"/>
        <v>18</v>
      </c>
      <c r="R247" s="356">
        <f t="shared" si="86"/>
        <v>4408516.682372576</v>
      </c>
      <c r="S247" s="356">
        <f>IF($G$4="mensual",S246,0)</f>
        <v>10000</v>
      </c>
      <c r="U247" s="356">
        <f t="shared" si="93"/>
        <v>35233.87251269289</v>
      </c>
      <c r="V247" s="359">
        <f t="shared" si="75"/>
        <v>-179.06597342733923</v>
      </c>
      <c r="X247" s="359">
        <f t="shared" si="94"/>
        <v>-5166.142927137735</v>
      </c>
      <c r="Y247" s="356">
        <f t="shared" si="78"/>
        <v>4448405.345984703</v>
      </c>
      <c r="AA247" s="357">
        <f>+Bono!J247</f>
        <v>240324.62702872013</v>
      </c>
      <c r="AC247" s="378">
        <f t="shared" si="79"/>
        <v>18.666666666666668</v>
      </c>
      <c r="AD247" s="356">
        <f t="shared" si="80"/>
        <v>5054267.656495636</v>
      </c>
    </row>
    <row r="248" spans="1:30" x14ac:dyDescent="0.25">
      <c r="A248" s="356">
        <f t="shared" si="81"/>
        <v>18.75</v>
      </c>
      <c r="B248" s="356">
        <f t="shared" si="82"/>
        <v>225</v>
      </c>
      <c r="C248" s="357">
        <f t="shared" si="87"/>
        <v>18</v>
      </c>
      <c r="D248" s="357">
        <f t="shared" si="88"/>
        <v>9</v>
      </c>
      <c r="E248" s="357">
        <f t="shared" si="89"/>
        <v>47</v>
      </c>
      <c r="F248" s="356">
        <f t="shared" si="83"/>
        <v>365537.6834822129</v>
      </c>
      <c r="H248" s="356">
        <f t="shared" si="76"/>
        <v>2914.8488201433415</v>
      </c>
      <c r="I248" s="356">
        <v>0</v>
      </c>
      <c r="J248" s="360">
        <f>-SUM(F248:H248)*$J$21*1.16</f>
        <v>-3846.644437236599</v>
      </c>
      <c r="K248" s="356">
        <f t="shared" si="84"/>
        <v>-422.9428299235387</v>
      </c>
      <c r="L248" s="356">
        <f t="shared" si="77"/>
        <v>364182.9450351961</v>
      </c>
      <c r="N248" s="356">
        <f t="shared" si="85"/>
        <v>225</v>
      </c>
      <c r="O248" s="357">
        <f t="shared" si="90"/>
        <v>18</v>
      </c>
      <c r="P248" s="357">
        <f t="shared" si="91"/>
        <v>9</v>
      </c>
      <c r="Q248" s="357">
        <f t="shared" si="92"/>
        <v>18</v>
      </c>
      <c r="R248" s="356">
        <f t="shared" si="86"/>
        <v>4448405.345984703</v>
      </c>
      <c r="S248" s="356">
        <f>IF($G$4="mensual",S247,0)</f>
        <v>10000</v>
      </c>
      <c r="U248" s="356">
        <f t="shared" si="93"/>
        <v>35551.95031785729</v>
      </c>
      <c r="V248" s="359">
        <f t="shared" si="75"/>
        <v>-179.06597342733923</v>
      </c>
      <c r="X248" s="359">
        <f t="shared" si="94"/>
        <v>-5212.782747181794</v>
      </c>
      <c r="Y248" s="356">
        <f t="shared" si="78"/>
        <v>4488565.447581951</v>
      </c>
      <c r="AA248" s="357">
        <f>+Bono!J248</f>
        <v>239636.1570733806</v>
      </c>
      <c r="AC248" s="378">
        <f t="shared" si="79"/>
        <v>18.75</v>
      </c>
      <c r="AD248" s="356">
        <f t="shared" si="80"/>
        <v>5092384.549690527</v>
      </c>
    </row>
    <row r="249" spans="1:30" x14ac:dyDescent="0.25">
      <c r="A249" s="356">
        <f t="shared" si="81"/>
        <v>18.833333333333332</v>
      </c>
      <c r="B249" s="356">
        <f t="shared" si="82"/>
        <v>226</v>
      </c>
      <c r="C249" s="357">
        <f t="shared" si="87"/>
        <v>18</v>
      </c>
      <c r="D249" s="357">
        <f t="shared" si="88"/>
        <v>10</v>
      </c>
      <c r="E249" s="357">
        <f t="shared" si="89"/>
        <v>47</v>
      </c>
      <c r="F249" s="356">
        <f t="shared" si="83"/>
        <v>364182.9450351961</v>
      </c>
      <c r="H249" s="356">
        <f t="shared" si="76"/>
        <v>2904.0459455223945</v>
      </c>
      <c r="I249" s="356">
        <v>0</v>
      </c>
      <c r="J249" s="356">
        <v>0</v>
      </c>
      <c r="K249" s="356">
        <f t="shared" si="84"/>
        <v>-425.8209095376334</v>
      </c>
      <c r="L249" s="356">
        <f t="shared" si="77"/>
        <v>366661.17007118085</v>
      </c>
      <c r="N249" s="356">
        <f t="shared" si="85"/>
        <v>226</v>
      </c>
      <c r="O249" s="357">
        <f t="shared" si="90"/>
        <v>18</v>
      </c>
      <c r="P249" s="357">
        <f t="shared" si="91"/>
        <v>10</v>
      </c>
      <c r="Q249" s="357">
        <f t="shared" si="92"/>
        <v>18</v>
      </c>
      <c r="R249" s="356">
        <f t="shared" si="86"/>
        <v>4488565.447581951</v>
      </c>
      <c r="S249" s="356">
        <f>IF($G$4="mensual",S240,IF($G$4="trimestral",S240,0))</f>
        <v>10000</v>
      </c>
      <c r="U249" s="356">
        <f t="shared" si="93"/>
        <v>35872.19260763279</v>
      </c>
      <c r="V249" s="359">
        <f t="shared" si="75"/>
        <v>-179.06597342733923</v>
      </c>
      <c r="X249" s="359">
        <f t="shared" si="94"/>
        <v>-5259.739946090741</v>
      </c>
      <c r="Y249" s="356">
        <f t="shared" si="78"/>
        <v>4528998.834270066</v>
      </c>
      <c r="AA249" s="357">
        <f>+Bono!J249</f>
        <v>241121.92904330933</v>
      </c>
      <c r="AC249" s="378">
        <f t="shared" si="79"/>
        <v>18.833333333333332</v>
      </c>
      <c r="AD249" s="356">
        <f t="shared" si="80"/>
        <v>5136781.933384556</v>
      </c>
    </row>
    <row r="250" spans="1:30" x14ac:dyDescent="0.25">
      <c r="A250" s="356">
        <f t="shared" si="81"/>
        <v>18.916666666666668</v>
      </c>
      <c r="B250" s="356">
        <f t="shared" si="82"/>
        <v>227</v>
      </c>
      <c r="C250" s="357">
        <f t="shared" si="87"/>
        <v>18</v>
      </c>
      <c r="D250" s="357">
        <f t="shared" si="88"/>
        <v>11</v>
      </c>
      <c r="E250" s="357">
        <f t="shared" si="89"/>
        <v>47</v>
      </c>
      <c r="F250" s="356">
        <f t="shared" si="83"/>
        <v>366661.17007118085</v>
      </c>
      <c r="H250" s="356">
        <f t="shared" si="76"/>
        <v>2923.807659973762</v>
      </c>
      <c r="I250" s="356">
        <v>0</v>
      </c>
      <c r="J250" s="356">
        <v>0</v>
      </c>
      <c r="K250" s="356">
        <f t="shared" si="84"/>
        <v>-428.7185741681393</v>
      </c>
      <c r="L250" s="356">
        <f t="shared" si="77"/>
        <v>369156.25915698643</v>
      </c>
      <c r="N250" s="356">
        <f t="shared" si="85"/>
        <v>227</v>
      </c>
      <c r="O250" s="357">
        <f t="shared" si="90"/>
        <v>18</v>
      </c>
      <c r="P250" s="357">
        <f t="shared" si="91"/>
        <v>11</v>
      </c>
      <c r="Q250" s="357">
        <f t="shared" si="92"/>
        <v>18</v>
      </c>
      <c r="R250" s="356">
        <f t="shared" si="86"/>
        <v>4528998.834270066</v>
      </c>
      <c r="S250" s="356">
        <f>IF($G$17="si",S238*(1+$G$20),S238)</f>
        <v>10000</v>
      </c>
      <c r="U250" s="356">
        <f t="shared" si="93"/>
        <v>36194.61411109999</v>
      </c>
      <c r="V250" s="359">
        <f t="shared" si="75"/>
        <v>-179.06597342733923</v>
      </c>
      <c r="X250" s="359">
        <f t="shared" si="94"/>
        <v>-5307.016683592977</v>
      </c>
      <c r="Y250" s="356">
        <f t="shared" si="78"/>
        <v>4569707.365724145</v>
      </c>
      <c r="AA250" s="357">
        <f>+Bono!J250</f>
        <v>242616.9129717905</v>
      </c>
      <c r="AC250" s="378">
        <f t="shared" si="79"/>
        <v>18.916666666666668</v>
      </c>
      <c r="AD250" s="356">
        <f t="shared" si="80"/>
        <v>5181480.537852922</v>
      </c>
    </row>
    <row r="251" spans="1:30" x14ac:dyDescent="0.25">
      <c r="A251" s="356">
        <f t="shared" si="81"/>
        <v>19</v>
      </c>
      <c r="B251" s="356">
        <f t="shared" si="82"/>
        <v>228</v>
      </c>
      <c r="C251" s="357">
        <f t="shared" si="87"/>
        <v>18</v>
      </c>
      <c r="D251" s="357">
        <f t="shared" si="88"/>
        <v>12</v>
      </c>
      <c r="E251" s="357">
        <f t="shared" si="89"/>
        <v>47</v>
      </c>
      <c r="F251" s="356">
        <f t="shared" si="83"/>
        <v>369156.25915698643</v>
      </c>
      <c r="H251" s="356">
        <f t="shared" si="76"/>
        <v>2943.703850726601</v>
      </c>
      <c r="I251" s="356">
        <v>0</v>
      </c>
      <c r="J251" s="360">
        <f>-SUM(F251:H251)*$J$21*1.16</f>
        <v>-3884.723613800524</v>
      </c>
      <c r="K251" s="356">
        <f t="shared" si="84"/>
        <v>-427.1296776969385</v>
      </c>
      <c r="L251" s="356">
        <f t="shared" si="77"/>
        <v>367788.1097162156</v>
      </c>
      <c r="N251" s="356">
        <f t="shared" si="85"/>
        <v>228</v>
      </c>
      <c r="O251" s="357">
        <f t="shared" si="90"/>
        <v>18</v>
      </c>
      <c r="P251" s="357">
        <f t="shared" si="91"/>
        <v>12</v>
      </c>
      <c r="Q251" s="357">
        <f t="shared" si="92"/>
        <v>18</v>
      </c>
      <c r="R251" s="356">
        <f t="shared" si="86"/>
        <v>4569707.365724145</v>
      </c>
      <c r="S251" s="356">
        <f>IF($G$4="mensual",S250,0)</f>
        <v>10000</v>
      </c>
      <c r="U251" s="356">
        <f t="shared" si="93"/>
        <v>36519.22965756927</v>
      </c>
      <c r="V251" s="359">
        <f t="shared" si="75"/>
        <v>-179.06597342733923</v>
      </c>
      <c r="X251" s="359">
        <f t="shared" si="94"/>
        <v>-5354.615134113613</v>
      </c>
      <c r="Y251" s="356">
        <f t="shared" si="78"/>
        <v>4610692.914274174</v>
      </c>
      <c r="AA251" s="357">
        <f>+Bono!J251</f>
        <v>241921.87619048578</v>
      </c>
      <c r="AC251" s="378">
        <f t="shared" si="79"/>
        <v>19</v>
      </c>
      <c r="AD251" s="356">
        <f t="shared" si="80"/>
        <v>5220402.900180874</v>
      </c>
    </row>
    <row r="252" spans="1:30" x14ac:dyDescent="0.25">
      <c r="A252" s="356">
        <f t="shared" si="81"/>
        <v>19.083333333333332</v>
      </c>
      <c r="B252" s="356">
        <f t="shared" si="82"/>
        <v>229</v>
      </c>
      <c r="C252" s="357">
        <f t="shared" si="87"/>
        <v>19</v>
      </c>
      <c r="D252" s="357">
        <f t="shared" si="88"/>
        <v>1</v>
      </c>
      <c r="E252" s="357">
        <f t="shared" si="89"/>
        <v>48</v>
      </c>
      <c r="F252" s="356">
        <f t="shared" si="83"/>
        <v>367788.1097162156</v>
      </c>
      <c r="H252" s="356">
        <f t="shared" si="76"/>
        <v>2932.794034958168</v>
      </c>
      <c r="I252" s="356">
        <v>0</v>
      </c>
      <c r="J252" s="356">
        <v>0</v>
      </c>
      <c r="K252" s="356">
        <f t="shared" si="84"/>
        <v>-430.0362483513615</v>
      </c>
      <c r="L252" s="356">
        <f t="shared" si="77"/>
        <v>370290.86750282237</v>
      </c>
      <c r="N252" s="356">
        <f t="shared" si="85"/>
        <v>229</v>
      </c>
      <c r="O252" s="357">
        <f t="shared" si="90"/>
        <v>19</v>
      </c>
      <c r="P252" s="357">
        <f t="shared" si="91"/>
        <v>1</v>
      </c>
      <c r="Q252" s="357">
        <f t="shared" si="92"/>
        <v>19</v>
      </c>
      <c r="R252" s="356">
        <f t="shared" si="86"/>
        <v>4610692.914274174</v>
      </c>
      <c r="S252" s="356">
        <f>IF($G$17="si",S240*(1+$G$20),S240)</f>
        <v>10000</v>
      </c>
      <c r="U252" s="356">
        <f t="shared" si="93"/>
        <v>36846.05417726284</v>
      </c>
      <c r="V252" s="359">
        <f>V251*(1+$G$18)</f>
        <v>-186.22861236443282</v>
      </c>
      <c r="X252" s="359">
        <f t="shared" si="94"/>
        <v>-5402.529178213324</v>
      </c>
      <c r="Y252" s="356">
        <f t="shared" si="78"/>
        <v>4651950.210660859</v>
      </c>
      <c r="AA252" s="357">
        <f>+Bono!J252</f>
        <v>243421.81988406755</v>
      </c>
      <c r="AC252" s="378">
        <f t="shared" si="79"/>
        <v>19.083333333333332</v>
      </c>
      <c r="AD252" s="356">
        <f t="shared" si="80"/>
        <v>5265662.898047749</v>
      </c>
    </row>
    <row r="253" spans="1:30" x14ac:dyDescent="0.25">
      <c r="A253" s="356">
        <f t="shared" si="81"/>
        <v>19.166666666666668</v>
      </c>
      <c r="B253" s="356">
        <f t="shared" si="82"/>
        <v>230</v>
      </c>
      <c r="C253" s="357">
        <f t="shared" si="87"/>
        <v>19</v>
      </c>
      <c r="D253" s="357">
        <f t="shared" si="88"/>
        <v>2</v>
      </c>
      <c r="E253" s="357">
        <f t="shared" si="89"/>
        <v>48</v>
      </c>
      <c r="F253" s="356">
        <f t="shared" si="83"/>
        <v>370290.86750282237</v>
      </c>
      <c r="H253" s="356">
        <f t="shared" si="76"/>
        <v>2952.7513770081027</v>
      </c>
      <c r="I253" s="356">
        <v>0</v>
      </c>
      <c r="J253" s="356">
        <v>0</v>
      </c>
      <c r="K253" s="356">
        <f t="shared" si="84"/>
        <v>-432.9625979006033</v>
      </c>
      <c r="L253" s="356">
        <f t="shared" si="77"/>
        <v>372810.65628192987</v>
      </c>
      <c r="N253" s="356">
        <f t="shared" si="85"/>
        <v>230</v>
      </c>
      <c r="O253" s="357">
        <f t="shared" si="90"/>
        <v>19</v>
      </c>
      <c r="P253" s="357">
        <f t="shared" si="91"/>
        <v>2</v>
      </c>
      <c r="Q253" s="357">
        <f t="shared" si="92"/>
        <v>19</v>
      </c>
      <c r="R253" s="356">
        <f t="shared" si="86"/>
        <v>4651950.210660859</v>
      </c>
      <c r="S253" s="356">
        <f>IF($G$4="mensual",S252,0)</f>
        <v>10000</v>
      </c>
      <c r="U253" s="356">
        <f t="shared" si="93"/>
        <v>37175.045652367175</v>
      </c>
      <c r="V253" s="359">
        <f t="shared" si="75"/>
        <v>-186.22861236443282</v>
      </c>
      <c r="X253" s="359">
        <f t="shared" si="94"/>
        <v>-5450.769272133</v>
      </c>
      <c r="Y253" s="356">
        <f t="shared" si="78"/>
        <v>4693488.258428729</v>
      </c>
      <c r="AA253" s="357">
        <f>+Bono!J253</f>
        <v>244931.06340253225</v>
      </c>
      <c r="AC253" s="378">
        <f t="shared" si="79"/>
        <v>19.166666666666668</v>
      </c>
      <c r="AD253" s="356">
        <f t="shared" si="80"/>
        <v>5311229.978113191</v>
      </c>
    </row>
    <row r="254" spans="1:30" x14ac:dyDescent="0.25">
      <c r="A254" s="356">
        <f t="shared" si="81"/>
        <v>19.25</v>
      </c>
      <c r="B254" s="356">
        <f t="shared" si="82"/>
        <v>231</v>
      </c>
      <c r="C254" s="357">
        <f t="shared" si="87"/>
        <v>19</v>
      </c>
      <c r="D254" s="357">
        <f t="shared" si="88"/>
        <v>3</v>
      </c>
      <c r="E254" s="357">
        <f t="shared" si="89"/>
        <v>48</v>
      </c>
      <c r="F254" s="356">
        <f t="shared" si="83"/>
        <v>372810.65628192987</v>
      </c>
      <c r="H254" s="356">
        <f t="shared" si="76"/>
        <v>2972.8445265838823</v>
      </c>
      <c r="I254" s="356">
        <v>0</v>
      </c>
      <c r="J254" s="360">
        <f>-SUM(F254:H254)*$J$21*1.16</f>
        <v>-3923.179748440884</v>
      </c>
      <c r="K254" s="356">
        <f t="shared" si="84"/>
        <v>-431.35797242968454</v>
      </c>
      <c r="L254" s="356">
        <f t="shared" si="77"/>
        <v>371428.96308764326</v>
      </c>
      <c r="N254" s="356">
        <f t="shared" si="85"/>
        <v>231</v>
      </c>
      <c r="O254" s="357">
        <f t="shared" si="90"/>
        <v>19</v>
      </c>
      <c r="P254" s="357">
        <f t="shared" si="91"/>
        <v>3</v>
      </c>
      <c r="Q254" s="357">
        <f t="shared" si="92"/>
        <v>19</v>
      </c>
      <c r="R254" s="356">
        <f t="shared" si="86"/>
        <v>4693488.258428729</v>
      </c>
      <c r="S254" s="356">
        <f>IF($G$4="mensual",S253,0)</f>
        <v>10000</v>
      </c>
      <c r="U254" s="356">
        <f t="shared" si="93"/>
        <v>37506.275878410685</v>
      </c>
      <c r="V254" s="359">
        <f t="shared" si="75"/>
        <v>-186.22861236443282</v>
      </c>
      <c r="X254" s="359">
        <f t="shared" si="94"/>
        <v>-5499.33763460594</v>
      </c>
      <c r="Y254" s="356">
        <f t="shared" si="78"/>
        <v>4735308.968060169</v>
      </c>
      <c r="AA254" s="357">
        <f>+Bono!J254</f>
        <v>244229.3971589731</v>
      </c>
      <c r="AC254" s="378">
        <f t="shared" si="79"/>
        <v>19.25</v>
      </c>
      <c r="AD254" s="356">
        <f t="shared" si="80"/>
        <v>5350967.328306786</v>
      </c>
    </row>
    <row r="255" spans="1:30" x14ac:dyDescent="0.25">
      <c r="A255" s="356">
        <f t="shared" si="81"/>
        <v>19.333333333333332</v>
      </c>
      <c r="B255" s="356">
        <f t="shared" si="82"/>
        <v>232</v>
      </c>
      <c r="C255" s="357">
        <f t="shared" si="87"/>
        <v>19</v>
      </c>
      <c r="D255" s="357">
        <f t="shared" si="88"/>
        <v>4</v>
      </c>
      <c r="E255" s="357">
        <f t="shared" si="89"/>
        <v>48</v>
      </c>
      <c r="F255" s="356">
        <f t="shared" si="83"/>
        <v>371428.96308764326</v>
      </c>
      <c r="H255" s="356">
        <f t="shared" si="76"/>
        <v>2961.82671102298</v>
      </c>
      <c r="I255" s="356">
        <v>0</v>
      </c>
      <c r="J255" s="356">
        <v>0</v>
      </c>
      <c r="K255" s="356">
        <f t="shared" si="84"/>
        <v>-434.2933161664528</v>
      </c>
      <c r="L255" s="356">
        <f t="shared" si="77"/>
        <v>373956.4964824998</v>
      </c>
      <c r="N255" s="356">
        <f t="shared" si="85"/>
        <v>232</v>
      </c>
      <c r="O255" s="357">
        <f t="shared" si="90"/>
        <v>19</v>
      </c>
      <c r="P255" s="357">
        <f t="shared" si="91"/>
        <v>4</v>
      </c>
      <c r="Q255" s="357">
        <f t="shared" si="92"/>
        <v>19</v>
      </c>
      <c r="R255" s="356">
        <f t="shared" si="86"/>
        <v>4735308.968060169</v>
      </c>
      <c r="S255" s="356">
        <f>IF($G$4="mensual",S252,IF($G$4="trimestral",S252,0))</f>
        <v>10000</v>
      </c>
      <c r="U255" s="356">
        <f t="shared" si="93"/>
        <v>37839.7600898482</v>
      </c>
      <c r="V255" s="359">
        <f t="shared" si="75"/>
        <v>-186.22861236443282</v>
      </c>
      <c r="X255" s="359">
        <f t="shared" si="94"/>
        <v>-5548.236499463677</v>
      </c>
      <c r="Y255" s="356">
        <f t="shared" si="78"/>
        <v>4777414.263038189</v>
      </c>
      <c r="AA255" s="357">
        <f>+Bono!J255</f>
        <v>245743.64775021537</v>
      </c>
      <c r="AC255" s="378">
        <f t="shared" si="79"/>
        <v>19.333333333333332</v>
      </c>
      <c r="AD255" s="356">
        <f t="shared" si="80"/>
        <v>5397114.407270905</v>
      </c>
    </row>
    <row r="256" spans="1:30" x14ac:dyDescent="0.25">
      <c r="A256" s="356">
        <f t="shared" si="81"/>
        <v>19.416666666666668</v>
      </c>
      <c r="B256" s="356">
        <f t="shared" si="82"/>
        <v>233</v>
      </c>
      <c r="C256" s="357">
        <f t="shared" si="87"/>
        <v>19</v>
      </c>
      <c r="D256" s="357">
        <f t="shared" si="88"/>
        <v>5</v>
      </c>
      <c r="E256" s="357">
        <f t="shared" si="89"/>
        <v>48</v>
      </c>
      <c r="F256" s="356">
        <f t="shared" si="83"/>
        <v>373956.4964824998</v>
      </c>
      <c r="H256" s="356">
        <f t="shared" si="76"/>
        <v>2981.98161725231</v>
      </c>
      <c r="I256" s="356">
        <v>0</v>
      </c>
      <c r="J256" s="356">
        <v>0</v>
      </c>
      <c r="K256" s="356">
        <f t="shared" si="84"/>
        <v>-437.2486345957124</v>
      </c>
      <c r="L256" s="356">
        <f t="shared" si="77"/>
        <v>376501.2294651564</v>
      </c>
      <c r="N256" s="356">
        <f t="shared" si="85"/>
        <v>233</v>
      </c>
      <c r="O256" s="357">
        <f t="shared" si="90"/>
        <v>19</v>
      </c>
      <c r="P256" s="357">
        <f t="shared" si="91"/>
        <v>5</v>
      </c>
      <c r="Q256" s="357">
        <f t="shared" si="92"/>
        <v>19</v>
      </c>
      <c r="R256" s="356">
        <f t="shared" si="86"/>
        <v>4777414.263038189</v>
      </c>
      <c r="S256" s="356">
        <f>IF($G$4="mensual",S255,0)</f>
        <v>10000</v>
      </c>
      <c r="U256" s="356">
        <f t="shared" si="93"/>
        <v>38175.513624803345</v>
      </c>
      <c r="V256" s="359">
        <f t="shared" si="75"/>
        <v>-186.22861236443282</v>
      </c>
      <c r="X256" s="359">
        <f t="shared" si="94"/>
        <v>-5597.468115738729</v>
      </c>
      <c r="Y256" s="356">
        <f t="shared" si="78"/>
        <v>4819806.079934889</v>
      </c>
      <c r="AA256" s="357">
        <f>+Bono!J256</f>
        <v>247267.28687076556</v>
      </c>
      <c r="AC256" s="378">
        <f t="shared" si="79"/>
        <v>19.416666666666668</v>
      </c>
      <c r="AD256" s="356">
        <f t="shared" si="80"/>
        <v>5443574.596270812</v>
      </c>
    </row>
    <row r="257" spans="1:30" x14ac:dyDescent="0.25">
      <c r="A257" s="356">
        <f t="shared" si="81"/>
        <v>19.5</v>
      </c>
      <c r="B257" s="356">
        <f t="shared" si="82"/>
        <v>234</v>
      </c>
      <c r="C257" s="357">
        <f t="shared" si="87"/>
        <v>19</v>
      </c>
      <c r="D257" s="357">
        <f t="shared" si="88"/>
        <v>6</v>
      </c>
      <c r="E257" s="357">
        <f t="shared" si="89"/>
        <v>48</v>
      </c>
      <c r="F257" s="356">
        <f t="shared" si="83"/>
        <v>376501.2294651564</v>
      </c>
      <c r="H257" s="356">
        <f t="shared" si="76"/>
        <v>3002.2736754100765</v>
      </c>
      <c r="I257" s="356">
        <v>0</v>
      </c>
      <c r="J257" s="360">
        <f>-SUM(F257:H257)*$J$21*1.16</f>
        <v>-3962.016572787514</v>
      </c>
      <c r="K257" s="356">
        <f t="shared" si="84"/>
        <v>-435.62812441862354</v>
      </c>
      <c r="L257" s="356">
        <f t="shared" si="77"/>
        <v>375105.8584433603</v>
      </c>
      <c r="N257" s="356">
        <f t="shared" si="85"/>
        <v>234</v>
      </c>
      <c r="O257" s="357">
        <f t="shared" si="90"/>
        <v>19</v>
      </c>
      <c r="P257" s="357">
        <f t="shared" si="91"/>
        <v>6</v>
      </c>
      <c r="Q257" s="357">
        <f t="shared" si="92"/>
        <v>19</v>
      </c>
      <c r="R257" s="356">
        <f t="shared" si="86"/>
        <v>4819806.079934889</v>
      </c>
      <c r="S257" s="356">
        <f>IF($G$4="mensual",S256,0)</f>
        <v>10000</v>
      </c>
      <c r="U257" s="356">
        <f t="shared" si="93"/>
        <v>38513.55192577401</v>
      </c>
      <c r="V257" s="359">
        <f t="shared" ref="V257:V320" si="95">V256</f>
        <v>-186.22861236443282</v>
      </c>
      <c r="X257" s="359">
        <f t="shared" si="94"/>
        <v>-5647.034747768027</v>
      </c>
      <c r="Y257" s="356">
        <f t="shared" si="78"/>
        <v>4862486.368500531</v>
      </c>
      <c r="AA257" s="357">
        <f>+Bono!J257</f>
        <v>246558.9279312196</v>
      </c>
      <c r="AC257" s="378">
        <f t="shared" si="79"/>
        <v>19.5</v>
      </c>
      <c r="AD257" s="356">
        <f t="shared" si="80"/>
        <v>5484151.154875111</v>
      </c>
    </row>
    <row r="258" spans="1:30" x14ac:dyDescent="0.25">
      <c r="A258" s="356">
        <f t="shared" si="81"/>
        <v>19.583333333333332</v>
      </c>
      <c r="B258" s="356">
        <f t="shared" si="82"/>
        <v>235</v>
      </c>
      <c r="C258" s="357">
        <f t="shared" si="87"/>
        <v>19</v>
      </c>
      <c r="D258" s="357">
        <f t="shared" si="88"/>
        <v>7</v>
      </c>
      <c r="E258" s="357">
        <f t="shared" si="89"/>
        <v>48</v>
      </c>
      <c r="F258" s="356">
        <f t="shared" si="83"/>
        <v>375105.8584433603</v>
      </c>
      <c r="H258" s="356">
        <f t="shared" si="76"/>
        <v>2991.1467909318517</v>
      </c>
      <c r="I258" s="356">
        <v>0</v>
      </c>
      <c r="J258" s="356">
        <v>0</v>
      </c>
      <c r="K258" s="356">
        <f t="shared" si="84"/>
        <v>-438.5925260717789</v>
      </c>
      <c r="L258" s="356">
        <f t="shared" si="77"/>
        <v>377658.4127082204</v>
      </c>
      <c r="N258" s="356">
        <f t="shared" si="85"/>
        <v>235</v>
      </c>
      <c r="O258" s="357">
        <f t="shared" si="90"/>
        <v>19</v>
      </c>
      <c r="P258" s="357">
        <f t="shared" si="91"/>
        <v>7</v>
      </c>
      <c r="Q258" s="357">
        <f t="shared" si="92"/>
        <v>19</v>
      </c>
      <c r="R258" s="356">
        <f t="shared" si="86"/>
        <v>4862486.368500531</v>
      </c>
      <c r="S258" s="356">
        <f>+IF($G$4="mensual",S252,IF($G$4="trimestral",S252,IF($G$4="semestral",S252,0)))</f>
        <v>10000</v>
      </c>
      <c r="U258" s="356">
        <f t="shared" si="93"/>
        <v>38853.89054034257</v>
      </c>
      <c r="V258" s="359">
        <f t="shared" si="95"/>
        <v>-186.22861236443282</v>
      </c>
      <c r="X258" s="359">
        <f t="shared" si="94"/>
        <v>-5696.93867529707</v>
      </c>
      <c r="Y258" s="356">
        <f t="shared" si="78"/>
        <v>4905457.091753212</v>
      </c>
      <c r="AA258" s="357">
        <f>+Bono!J258</f>
        <v>248087.62188345863</v>
      </c>
      <c r="AC258" s="378">
        <f t="shared" si="79"/>
        <v>19.583333333333332</v>
      </c>
      <c r="AD258" s="356">
        <f t="shared" si="80"/>
        <v>5531203.12634489</v>
      </c>
    </row>
    <row r="259" spans="1:30" x14ac:dyDescent="0.25">
      <c r="A259" s="356">
        <f t="shared" si="81"/>
        <v>19.666666666666668</v>
      </c>
      <c r="B259" s="356">
        <f t="shared" si="82"/>
        <v>236</v>
      </c>
      <c r="C259" s="357">
        <f t="shared" si="87"/>
        <v>19</v>
      </c>
      <c r="D259" s="357">
        <f t="shared" si="88"/>
        <v>8</v>
      </c>
      <c r="E259" s="357">
        <f t="shared" si="89"/>
        <v>48</v>
      </c>
      <c r="F259" s="356">
        <f t="shared" si="83"/>
        <v>377658.4127082204</v>
      </c>
      <c r="H259" s="356">
        <f t="shared" si="76"/>
        <v>3011.5012170922437</v>
      </c>
      <c r="I259" s="356">
        <v>0</v>
      </c>
      <c r="J259" s="356">
        <v>0</v>
      </c>
      <c r="K259" s="356">
        <f t="shared" si="84"/>
        <v>-441.5771001533627</v>
      </c>
      <c r="L259" s="356">
        <f t="shared" si="77"/>
        <v>380228.3368251593</v>
      </c>
      <c r="N259" s="356">
        <f t="shared" si="85"/>
        <v>236</v>
      </c>
      <c r="O259" s="357">
        <f t="shared" si="90"/>
        <v>19</v>
      </c>
      <c r="P259" s="357">
        <f t="shared" si="91"/>
        <v>8</v>
      </c>
      <c r="Q259" s="357">
        <f t="shared" si="92"/>
        <v>19</v>
      </c>
      <c r="R259" s="356">
        <f t="shared" si="86"/>
        <v>4905457.091753212</v>
      </c>
      <c r="S259" s="356">
        <f>IF($G$4="mensual",S258,0)</f>
        <v>10000</v>
      </c>
      <c r="U259" s="356">
        <f t="shared" si="93"/>
        <v>39196.54512189101</v>
      </c>
      <c r="V259" s="359">
        <f t="shared" si="95"/>
        <v>-186.22861236443282</v>
      </c>
      <c r="X259" s="359">
        <f t="shared" si="94"/>
        <v>-5747.1821935847765</v>
      </c>
      <c r="Y259" s="356">
        <f t="shared" si="78"/>
        <v>4948720.226069154</v>
      </c>
      <c r="AA259" s="357">
        <f>+Bono!J259</f>
        <v>249625.79391551908</v>
      </c>
      <c r="AC259" s="378">
        <f t="shared" si="79"/>
        <v>19.666666666666668</v>
      </c>
      <c r="AD259" s="356">
        <f t="shared" si="80"/>
        <v>5578574.356809833</v>
      </c>
    </row>
    <row r="260" spans="1:30" x14ac:dyDescent="0.25">
      <c r="A260" s="356">
        <f t="shared" si="81"/>
        <v>19.75</v>
      </c>
      <c r="B260" s="356">
        <f t="shared" si="82"/>
        <v>237</v>
      </c>
      <c r="C260" s="357">
        <f t="shared" si="87"/>
        <v>19</v>
      </c>
      <c r="D260" s="357">
        <f t="shared" si="88"/>
        <v>9</v>
      </c>
      <c r="E260" s="357">
        <f t="shared" si="89"/>
        <v>48</v>
      </c>
      <c r="F260" s="356">
        <f t="shared" si="83"/>
        <v>380228.3368251593</v>
      </c>
      <c r="H260" s="356">
        <f t="shared" si="76"/>
        <v>3031.994152892341</v>
      </c>
      <c r="I260" s="356">
        <v>0</v>
      </c>
      <c r="J260" s="360">
        <f>-SUM(F260:H260)*$J$21*1.16</f>
        <v>-4001.237855410859</v>
      </c>
      <c r="K260" s="356">
        <f t="shared" si="84"/>
        <v>-439.94054802226333</v>
      </c>
      <c r="L260" s="356">
        <f t="shared" si="77"/>
        <v>378819.1525746185</v>
      </c>
      <c r="N260" s="356">
        <f t="shared" si="85"/>
        <v>237</v>
      </c>
      <c r="O260" s="357">
        <f t="shared" si="90"/>
        <v>19</v>
      </c>
      <c r="P260" s="357">
        <f t="shared" si="91"/>
        <v>9</v>
      </c>
      <c r="Q260" s="357">
        <f t="shared" si="92"/>
        <v>19</v>
      </c>
      <c r="R260" s="356">
        <f t="shared" si="86"/>
        <v>4948720.226069154</v>
      </c>
      <c r="S260" s="356">
        <f>IF($G$4="mensual",S259,0)</f>
        <v>10000</v>
      </c>
      <c r="U260" s="356">
        <f t="shared" si="93"/>
        <v>39541.53143032086</v>
      </c>
      <c r="V260" s="359">
        <f t="shared" si="95"/>
        <v>-186.22861236443282</v>
      </c>
      <c r="X260" s="359">
        <f t="shared" si="94"/>
        <v>-5797.767613509048</v>
      </c>
      <c r="Y260" s="356">
        <f t="shared" si="78"/>
        <v>4992277.761273602</v>
      </c>
      <c r="AA260" s="357">
        <f>+Bono!J260</f>
        <v>248910.6784431124</v>
      </c>
      <c r="AC260" s="378">
        <f t="shared" si="79"/>
        <v>19.75</v>
      </c>
      <c r="AD260" s="356">
        <f t="shared" si="80"/>
        <v>5620007.592291333</v>
      </c>
    </row>
    <row r="261" spans="1:30" x14ac:dyDescent="0.25">
      <c r="A261" s="356">
        <f t="shared" si="81"/>
        <v>19.833333333333332</v>
      </c>
      <c r="B261" s="356">
        <f t="shared" si="82"/>
        <v>238</v>
      </c>
      <c r="C261" s="357">
        <f t="shared" si="87"/>
        <v>19</v>
      </c>
      <c r="D261" s="357">
        <f t="shared" si="88"/>
        <v>10</v>
      </c>
      <c r="E261" s="357">
        <f t="shared" si="89"/>
        <v>48</v>
      </c>
      <c r="F261" s="356">
        <f t="shared" si="83"/>
        <v>378819.1525746185</v>
      </c>
      <c r="H261" s="356">
        <f t="shared" si="76"/>
        <v>3020.757119788329</v>
      </c>
      <c r="I261" s="356">
        <v>0</v>
      </c>
      <c r="J261" s="356">
        <v>0</v>
      </c>
      <c r="K261" s="356">
        <f t="shared" si="84"/>
        <v>-442.9342952455119</v>
      </c>
      <c r="L261" s="356">
        <f t="shared" si="77"/>
        <v>381396.97539916134</v>
      </c>
      <c r="N261" s="356">
        <f t="shared" si="85"/>
        <v>238</v>
      </c>
      <c r="O261" s="357">
        <f t="shared" si="90"/>
        <v>19</v>
      </c>
      <c r="P261" s="357">
        <f t="shared" si="91"/>
        <v>10</v>
      </c>
      <c r="Q261" s="357">
        <f t="shared" si="92"/>
        <v>19</v>
      </c>
      <c r="R261" s="356">
        <f t="shared" si="86"/>
        <v>4992277.761273602</v>
      </c>
      <c r="S261" s="356">
        <f>IF($G$4="mensual",S252,IF($G$4="trimestral",S252,0))</f>
        <v>10000</v>
      </c>
      <c r="U261" s="356">
        <f t="shared" si="93"/>
        <v>39888.86533277804</v>
      </c>
      <c r="V261" s="359">
        <f t="shared" si="95"/>
        <v>-186.22861236443282</v>
      </c>
      <c r="X261" s="359">
        <f t="shared" si="94"/>
        <v>-5848.697261673057</v>
      </c>
      <c r="Y261" s="356">
        <f t="shared" si="78"/>
        <v>5036131.700732342</v>
      </c>
      <c r="AA261" s="357">
        <f>+Bono!J261</f>
        <v>250453.95352131137</v>
      </c>
      <c r="AC261" s="378">
        <f t="shared" si="79"/>
        <v>19.833333333333332</v>
      </c>
      <c r="AD261" s="356">
        <f t="shared" si="80"/>
        <v>5667982.629652815</v>
      </c>
    </row>
    <row r="262" spans="1:30" x14ac:dyDescent="0.25">
      <c r="A262" s="356">
        <f t="shared" si="81"/>
        <v>19.916666666666668</v>
      </c>
      <c r="B262" s="356">
        <f t="shared" si="82"/>
        <v>239</v>
      </c>
      <c r="C262" s="357">
        <f t="shared" si="87"/>
        <v>19</v>
      </c>
      <c r="D262" s="357">
        <f t="shared" si="88"/>
        <v>11</v>
      </c>
      <c r="E262" s="357">
        <f t="shared" si="89"/>
        <v>48</v>
      </c>
      <c r="F262" s="356">
        <f t="shared" si="83"/>
        <v>381396.97539916134</v>
      </c>
      <c r="H262" s="356">
        <f t="shared" si="76"/>
        <v>3041.313040992067</v>
      </c>
      <c r="I262" s="356">
        <v>0</v>
      </c>
      <c r="J262" s="356">
        <v>0</v>
      </c>
      <c r="K262" s="356">
        <f t="shared" si="84"/>
        <v>-445.94841459057795</v>
      </c>
      <c r="L262" s="356">
        <f t="shared" si="77"/>
        <v>383992.34002556285</v>
      </c>
      <c r="N262" s="356">
        <f t="shared" si="85"/>
        <v>239</v>
      </c>
      <c r="O262" s="357">
        <f t="shared" si="90"/>
        <v>19</v>
      </c>
      <c r="P262" s="357">
        <f t="shared" si="91"/>
        <v>11</v>
      </c>
      <c r="Q262" s="357">
        <f t="shared" si="92"/>
        <v>19</v>
      </c>
      <c r="R262" s="356">
        <f t="shared" si="86"/>
        <v>5036131.700732342</v>
      </c>
      <c r="S262" s="356">
        <f>IF($G$17="si",S250*(1+$G$20),S250)</f>
        <v>10000</v>
      </c>
      <c r="U262" s="356">
        <f t="shared" si="93"/>
        <v>40238.56280438268</v>
      </c>
      <c r="V262" s="359">
        <f t="shared" si="95"/>
        <v>-186.22861236443282</v>
      </c>
      <c r="X262" s="359">
        <f t="shared" si="94"/>
        <v>-5899.973480512257</v>
      </c>
      <c r="Y262" s="356">
        <f t="shared" si="78"/>
        <v>5080284.061443848</v>
      </c>
      <c r="AA262" s="357">
        <f>+Bono!J262</f>
        <v>252006.797084004</v>
      </c>
      <c r="AC262" s="378">
        <f t="shared" si="79"/>
        <v>19.916666666666668</v>
      </c>
      <c r="AD262" s="356">
        <f t="shared" si="80"/>
        <v>5716283.198553414</v>
      </c>
    </row>
    <row r="263" spans="1:30" x14ac:dyDescent="0.25">
      <c r="A263" s="356">
        <f t="shared" si="81"/>
        <v>20</v>
      </c>
      <c r="B263" s="356">
        <f t="shared" si="82"/>
        <v>240</v>
      </c>
      <c r="C263" s="357">
        <f t="shared" si="87"/>
        <v>19</v>
      </c>
      <c r="D263" s="357">
        <f t="shared" si="88"/>
        <v>12</v>
      </c>
      <c r="E263" s="357">
        <f t="shared" si="89"/>
        <v>48</v>
      </c>
      <c r="F263" s="356">
        <f t="shared" si="83"/>
        <v>383992.34002556285</v>
      </c>
      <c r="H263" s="356">
        <f t="shared" si="76"/>
        <v>3062.0088429872017</v>
      </c>
      <c r="I263" s="356">
        <v>0</v>
      </c>
      <c r="J263" s="360">
        <f>-SUM(F263:H263)*$J$21*1.16</f>
        <v>-4040.8474021876627</v>
      </c>
      <c r="K263" s="356">
        <f t="shared" si="84"/>
        <v>-444.29566170098036</v>
      </c>
      <c r="L263" s="356">
        <f t="shared" si="77"/>
        <v>382569.2058046614</v>
      </c>
      <c r="N263" s="356">
        <f t="shared" si="85"/>
        <v>240</v>
      </c>
      <c r="O263" s="357">
        <f t="shared" si="90"/>
        <v>19</v>
      </c>
      <c r="P263" s="357">
        <f t="shared" si="91"/>
        <v>12</v>
      </c>
      <c r="Q263" s="357">
        <f t="shared" si="92"/>
        <v>19</v>
      </c>
      <c r="R263" s="356">
        <f t="shared" si="86"/>
        <v>5080284.061443848</v>
      </c>
      <c r="S263" s="356">
        <f>IF($G$4="mensual",S262,0)</f>
        <v>10000</v>
      </c>
      <c r="U263" s="356">
        <f t="shared" si="93"/>
        <v>40590.639928963836</v>
      </c>
      <c r="V263" s="359">
        <f t="shared" si="95"/>
        <v>-186.22861236443282</v>
      </c>
      <c r="X263" s="359">
        <f t="shared" si="94"/>
        <v>-5951.598628402118</v>
      </c>
      <c r="Y263" s="356">
        <f t="shared" si="78"/>
        <v>5124736.874132046</v>
      </c>
      <c r="AA263" s="357">
        <f>+Bono!J263</f>
        <v>251284.86063296793</v>
      </c>
      <c r="AC263" s="378">
        <f t="shared" si="79"/>
        <v>20</v>
      </c>
      <c r="AD263" s="356">
        <f t="shared" si="80"/>
        <v>5758590.940569675</v>
      </c>
    </row>
    <row r="264" spans="1:30" x14ac:dyDescent="0.25">
      <c r="A264" s="356">
        <f t="shared" si="81"/>
        <v>20.083333333333332</v>
      </c>
      <c r="B264" s="356">
        <f t="shared" si="82"/>
        <v>241</v>
      </c>
      <c r="C264" s="357">
        <f t="shared" si="87"/>
        <v>20</v>
      </c>
      <c r="D264" s="357">
        <f t="shared" si="88"/>
        <v>1</v>
      </c>
      <c r="E264" s="357">
        <f t="shared" si="89"/>
        <v>49</v>
      </c>
      <c r="F264" s="356">
        <f t="shared" si="83"/>
        <v>382569.2058046614</v>
      </c>
      <c r="H264" s="356">
        <f t="shared" si="76"/>
        <v>3050.660570860555</v>
      </c>
      <c r="I264" s="356">
        <v>0</v>
      </c>
      <c r="J264" s="356">
        <v>0</v>
      </c>
      <c r="K264" s="356">
        <f t="shared" si="84"/>
        <v>-447.31904499560545</v>
      </c>
      <c r="L264" s="356">
        <f t="shared" si="77"/>
        <v>385172.54733052634</v>
      </c>
      <c r="N264" s="356">
        <f t="shared" si="85"/>
        <v>241</v>
      </c>
      <c r="O264" s="357">
        <f t="shared" si="90"/>
        <v>20</v>
      </c>
      <c r="P264" s="357">
        <f t="shared" si="91"/>
        <v>1</v>
      </c>
      <c r="Q264" s="357">
        <f t="shared" si="92"/>
        <v>20</v>
      </c>
      <c r="R264" s="356">
        <f t="shared" si="86"/>
        <v>5124736.874132046</v>
      </c>
      <c r="S264" s="356">
        <f>IF($G$17="si",S252*(1+$G$20),S252)</f>
        <v>10000</v>
      </c>
      <c r="U264" s="356">
        <f t="shared" si="93"/>
        <v>40945.112899799286</v>
      </c>
      <c r="V264" s="359">
        <f>V263*(1+$G$18)</f>
        <v>-193.67775685901015</v>
      </c>
      <c r="X264" s="359">
        <f t="shared" si="94"/>
        <v>-6003.566438758982</v>
      </c>
      <c r="Y264" s="356">
        <f t="shared" si="78"/>
        <v>5169484.742836227</v>
      </c>
      <c r="AA264" s="357">
        <f>+Bono!J264</f>
        <v>252842.8559161321</v>
      </c>
      <c r="AC264" s="378">
        <f t="shared" si="79"/>
        <v>20.083333333333332</v>
      </c>
      <c r="AD264" s="356">
        <f t="shared" si="80"/>
        <v>5807500.146082886</v>
      </c>
    </row>
    <row r="265" spans="1:30" x14ac:dyDescent="0.25">
      <c r="A265" s="356">
        <f t="shared" si="81"/>
        <v>20.166666666666668</v>
      </c>
      <c r="B265" s="356">
        <f t="shared" si="82"/>
        <v>242</v>
      </c>
      <c r="C265" s="357">
        <f t="shared" si="87"/>
        <v>20</v>
      </c>
      <c r="D265" s="357">
        <f t="shared" si="88"/>
        <v>2</v>
      </c>
      <c r="E265" s="357">
        <f t="shared" si="89"/>
        <v>49</v>
      </c>
      <c r="F265" s="356">
        <f t="shared" si="83"/>
        <v>385172.54733052634</v>
      </c>
      <c r="H265" s="356">
        <f t="shared" si="76"/>
        <v>3071.4199817721988</v>
      </c>
      <c r="I265" s="356">
        <v>0</v>
      </c>
      <c r="J265" s="356">
        <v>0</v>
      </c>
      <c r="K265" s="356">
        <f t="shared" si="84"/>
        <v>-450.3630020822663</v>
      </c>
      <c r="L265" s="356">
        <f t="shared" si="77"/>
        <v>387793.60431021627</v>
      </c>
      <c r="N265" s="356">
        <f t="shared" si="85"/>
        <v>242</v>
      </c>
      <c r="O265" s="357">
        <f t="shared" si="90"/>
        <v>20</v>
      </c>
      <c r="P265" s="357">
        <f t="shared" si="91"/>
        <v>2</v>
      </c>
      <c r="Q265" s="357">
        <f t="shared" si="92"/>
        <v>20</v>
      </c>
      <c r="R265" s="356">
        <f t="shared" si="86"/>
        <v>5169484.742836227</v>
      </c>
      <c r="S265" s="356">
        <f>IF($G$4="mensual",S264,0)</f>
        <v>10000</v>
      </c>
      <c r="U265" s="356">
        <f t="shared" si="93"/>
        <v>41301.93868874057</v>
      </c>
      <c r="V265" s="359">
        <f t="shared" si="95"/>
        <v>-193.67775685901015</v>
      </c>
      <c r="X265" s="359">
        <f t="shared" si="94"/>
        <v>-6055.887884371005</v>
      </c>
      <c r="Y265" s="356">
        <f t="shared" si="78"/>
        <v>5214537.115883737</v>
      </c>
      <c r="AA265" s="357">
        <f>+Bono!J265</f>
        <v>254410.51095076813</v>
      </c>
      <c r="AC265" s="378">
        <f t="shared" si="79"/>
        <v>20.166666666666668</v>
      </c>
      <c r="AD265" s="356">
        <f t="shared" si="80"/>
        <v>5856741.231144722</v>
      </c>
    </row>
    <row r="266" spans="1:30" x14ac:dyDescent="0.25">
      <c r="A266" s="356">
        <f t="shared" si="81"/>
        <v>20.25</v>
      </c>
      <c r="B266" s="356">
        <f t="shared" si="82"/>
        <v>243</v>
      </c>
      <c r="C266" s="357">
        <f t="shared" si="87"/>
        <v>20</v>
      </c>
      <c r="D266" s="357">
        <f t="shared" si="88"/>
        <v>3</v>
      </c>
      <c r="E266" s="357">
        <f t="shared" si="89"/>
        <v>49</v>
      </c>
      <c r="F266" s="356">
        <f t="shared" si="83"/>
        <v>387793.60431021627</v>
      </c>
      <c r="H266" s="356">
        <f t="shared" si="76"/>
        <v>3092.3206582004045</v>
      </c>
      <c r="I266" s="356">
        <v>0</v>
      </c>
      <c r="J266" s="360">
        <f>-SUM(F266:H266)*$J$21*1.16</f>
        <v>-4080.8490566702703</v>
      </c>
      <c r="K266" s="356">
        <f t="shared" si="84"/>
        <v>-448.6938880576258</v>
      </c>
      <c r="L266" s="356">
        <f t="shared" si="77"/>
        <v>386356.3820236888</v>
      </c>
      <c r="N266" s="356">
        <f t="shared" si="85"/>
        <v>243</v>
      </c>
      <c r="O266" s="357">
        <f t="shared" si="90"/>
        <v>20</v>
      </c>
      <c r="P266" s="357">
        <f t="shared" si="91"/>
        <v>3</v>
      </c>
      <c r="Q266" s="357">
        <f t="shared" si="92"/>
        <v>20</v>
      </c>
      <c r="R266" s="356">
        <f t="shared" si="86"/>
        <v>5214537.115883737</v>
      </c>
      <c r="S266" s="356">
        <f>IF($G$4="mensual",S265,0)</f>
        <v>10000</v>
      </c>
      <c r="U266" s="356">
        <f t="shared" si="93"/>
        <v>41661.192638076776</v>
      </c>
      <c r="V266" s="359">
        <f t="shared" si="95"/>
        <v>-193.67775685901015</v>
      </c>
      <c r="X266" s="359">
        <f t="shared" si="94"/>
        <v>-6108.565371687347</v>
      </c>
      <c r="Y266" s="356">
        <f t="shared" si="78"/>
        <v>5259896.065393267</v>
      </c>
      <c r="AA266" s="357">
        <f>+Bono!J266</f>
        <v>253681.6884606317</v>
      </c>
      <c r="AC266" s="378">
        <f t="shared" si="79"/>
        <v>20.25</v>
      </c>
      <c r="AD266" s="356">
        <f t="shared" si="80"/>
        <v>5899934.135877587</v>
      </c>
    </row>
    <row r="267" spans="1:30" x14ac:dyDescent="0.25">
      <c r="A267" s="356">
        <f t="shared" si="81"/>
        <v>20.333333333333332</v>
      </c>
      <c r="B267" s="356">
        <f t="shared" si="82"/>
        <v>244</v>
      </c>
      <c r="C267" s="357">
        <f t="shared" si="87"/>
        <v>20</v>
      </c>
      <c r="D267" s="357">
        <f t="shared" si="88"/>
        <v>4</v>
      </c>
      <c r="E267" s="357">
        <f t="shared" si="89"/>
        <v>49</v>
      </c>
      <c r="F267" s="356">
        <f t="shared" si="83"/>
        <v>386356.3820236888</v>
      </c>
      <c r="H267" s="356">
        <f t="shared" si="76"/>
        <v>3080.8600458600845</v>
      </c>
      <c r="I267" s="356">
        <v>0</v>
      </c>
      <c r="J267" s="356">
        <v>0</v>
      </c>
      <c r="K267" s="356">
        <f t="shared" si="84"/>
        <v>-451.74720080067664</v>
      </c>
      <c r="L267" s="356">
        <f t="shared" si="77"/>
        <v>388985.4948687482</v>
      </c>
      <c r="N267" s="356">
        <f t="shared" si="85"/>
        <v>244</v>
      </c>
      <c r="O267" s="357">
        <f t="shared" si="90"/>
        <v>20</v>
      </c>
      <c r="P267" s="357">
        <f t="shared" si="91"/>
        <v>4</v>
      </c>
      <c r="Q267" s="357">
        <f t="shared" si="92"/>
        <v>20</v>
      </c>
      <c r="R267" s="356">
        <f t="shared" si="86"/>
        <v>5259896.065393267</v>
      </c>
      <c r="S267" s="356">
        <f>IF($G$4="mensual",S264,IF($G$4="trimestral",S264,0))</f>
        <v>10000</v>
      </c>
      <c r="U267" s="356">
        <f t="shared" si="93"/>
        <v>42022.89127117333</v>
      </c>
      <c r="V267" s="359">
        <f t="shared" si="95"/>
        <v>-193.67775685901015</v>
      </c>
      <c r="X267" s="359">
        <f t="shared" si="94"/>
        <v>-6161.601323532794</v>
      </c>
      <c r="Y267" s="356">
        <f t="shared" si="78"/>
        <v>5305563.677584048</v>
      </c>
      <c r="AA267" s="357">
        <f>+Bono!J267</f>
        <v>255254.5443543422</v>
      </c>
      <c r="AC267" s="378">
        <f t="shared" si="79"/>
        <v>20.333333333333332</v>
      </c>
      <c r="AD267" s="356">
        <f t="shared" si="80"/>
        <v>5949803.716807138</v>
      </c>
    </row>
    <row r="268" spans="1:30" x14ac:dyDescent="0.25">
      <c r="A268" s="356">
        <f t="shared" si="81"/>
        <v>20.416666666666668</v>
      </c>
      <c r="B268" s="356">
        <f t="shared" si="82"/>
        <v>245</v>
      </c>
      <c r="C268" s="357">
        <f t="shared" si="87"/>
        <v>20</v>
      </c>
      <c r="D268" s="357">
        <f t="shared" si="88"/>
        <v>5</v>
      </c>
      <c r="E268" s="357">
        <f t="shared" si="89"/>
        <v>49</v>
      </c>
      <c r="F268" s="356">
        <f t="shared" si="83"/>
        <v>388985.4948687482</v>
      </c>
      <c r="H268" s="356">
        <f t="shared" si="76"/>
        <v>3101.824960890023</v>
      </c>
      <c r="I268" s="356">
        <v>0</v>
      </c>
      <c r="J268" s="356">
        <v>0</v>
      </c>
      <c r="K268" s="356">
        <f t="shared" si="84"/>
        <v>-454.82129100238035</v>
      </c>
      <c r="L268" s="356">
        <f t="shared" si="77"/>
        <v>391632.49853863585</v>
      </c>
      <c r="N268" s="356">
        <f t="shared" si="85"/>
        <v>245</v>
      </c>
      <c r="O268" s="357">
        <f t="shared" si="90"/>
        <v>20</v>
      </c>
      <c r="P268" s="357">
        <f t="shared" si="91"/>
        <v>5</v>
      </c>
      <c r="Q268" s="357">
        <f t="shared" si="92"/>
        <v>20</v>
      </c>
      <c r="R268" s="356">
        <f t="shared" si="86"/>
        <v>5305563.677584048</v>
      </c>
      <c r="S268" s="356">
        <f>IF($G$4="mensual",S267,0)</f>
        <v>10000</v>
      </c>
      <c r="U268" s="356">
        <f t="shared" si="93"/>
        <v>42387.05122383533</v>
      </c>
      <c r="V268" s="359">
        <f t="shared" si="95"/>
        <v>-193.67775685901015</v>
      </c>
      <c r="X268" s="359">
        <f t="shared" si="94"/>
        <v>-6214.9981792191875</v>
      </c>
      <c r="Y268" s="356">
        <f t="shared" si="78"/>
        <v>5351542.052871806</v>
      </c>
      <c r="AA268" s="357">
        <f>+Bono!J268</f>
        <v>256837.15213703367</v>
      </c>
      <c r="AC268" s="378">
        <f t="shared" si="79"/>
        <v>20.416666666666668</v>
      </c>
      <c r="AD268" s="356">
        <f t="shared" si="80"/>
        <v>6000011.703547475</v>
      </c>
    </row>
    <row r="269" spans="1:30" x14ac:dyDescent="0.25">
      <c r="A269" s="356">
        <f t="shared" si="81"/>
        <v>20.5</v>
      </c>
      <c r="B269" s="356">
        <f t="shared" si="82"/>
        <v>246</v>
      </c>
      <c r="C269" s="357">
        <f t="shared" si="87"/>
        <v>20</v>
      </c>
      <c r="D269" s="357">
        <f t="shared" si="88"/>
        <v>6</v>
      </c>
      <c r="E269" s="357">
        <f t="shared" si="89"/>
        <v>49</v>
      </c>
      <c r="F269" s="356">
        <f t="shared" si="83"/>
        <v>391632.49853863585</v>
      </c>
      <c r="H269" s="356">
        <f t="shared" si="76"/>
        <v>3122.9325398695305</v>
      </c>
      <c r="I269" s="356">
        <v>0</v>
      </c>
      <c r="J269" s="360">
        <f>-SUM(F269:H269)*$J$21*1.16</f>
        <v>-4121.2467004595965</v>
      </c>
      <c r="K269" s="356">
        <f t="shared" si="84"/>
        <v>-453.13565387853305</v>
      </c>
      <c r="L269" s="356">
        <f t="shared" si="77"/>
        <v>390181.04872416717</v>
      </c>
      <c r="N269" s="356">
        <f t="shared" si="85"/>
        <v>246</v>
      </c>
      <c r="O269" s="357">
        <f t="shared" si="90"/>
        <v>20</v>
      </c>
      <c r="P269" s="357">
        <f t="shared" si="91"/>
        <v>6</v>
      </c>
      <c r="Q269" s="357">
        <f t="shared" si="92"/>
        <v>20</v>
      </c>
      <c r="R269" s="356">
        <f t="shared" si="86"/>
        <v>5351542.052871806</v>
      </c>
      <c r="S269" s="356">
        <f>IF($G$4="mensual",S268,0)</f>
        <v>10000</v>
      </c>
      <c r="U269" s="356">
        <f t="shared" si="93"/>
        <v>42753.68924507275</v>
      </c>
      <c r="V269" s="359">
        <f t="shared" si="95"/>
        <v>-193.67775685901015</v>
      </c>
      <c r="X269" s="359">
        <f t="shared" si="94"/>
        <v>-6268.758394657622</v>
      </c>
      <c r="Y269" s="356">
        <f t="shared" si="78"/>
        <v>5397833.305965362</v>
      </c>
      <c r="AA269" s="357">
        <f>+Bono!J269</f>
        <v>256101.37792676027</v>
      </c>
      <c r="AC269" s="378">
        <f t="shared" si="79"/>
        <v>20.5</v>
      </c>
      <c r="AD269" s="356">
        <f t="shared" si="80"/>
        <v>6044115.7326162895</v>
      </c>
    </row>
    <row r="270" spans="1:30" x14ac:dyDescent="0.25">
      <c r="A270" s="356">
        <f t="shared" si="81"/>
        <v>20.583333333333332</v>
      </c>
      <c r="B270" s="356">
        <f t="shared" si="82"/>
        <v>247</v>
      </c>
      <c r="C270" s="357">
        <f t="shared" si="87"/>
        <v>20</v>
      </c>
      <c r="D270" s="357">
        <f t="shared" si="88"/>
        <v>7</v>
      </c>
      <c r="E270" s="357">
        <f t="shared" si="89"/>
        <v>49</v>
      </c>
      <c r="F270" s="356">
        <f t="shared" si="83"/>
        <v>390181.04872416717</v>
      </c>
      <c r="H270" s="356">
        <f t="shared" si="76"/>
        <v>3111.358475223451</v>
      </c>
      <c r="I270" s="356">
        <v>0</v>
      </c>
      <c r="J270" s="356">
        <v>0</v>
      </c>
      <c r="K270" s="356">
        <f t="shared" si="84"/>
        <v>-456.21919235129315</v>
      </c>
      <c r="L270" s="356">
        <f t="shared" si="77"/>
        <v>392836.18800703937</v>
      </c>
      <c r="N270" s="356">
        <f t="shared" si="85"/>
        <v>247</v>
      </c>
      <c r="O270" s="357">
        <f t="shared" si="90"/>
        <v>20</v>
      </c>
      <c r="P270" s="357">
        <f t="shared" si="91"/>
        <v>7</v>
      </c>
      <c r="Q270" s="357">
        <f t="shared" si="92"/>
        <v>20</v>
      </c>
      <c r="R270" s="356">
        <f t="shared" si="86"/>
        <v>5397833.305965362</v>
      </c>
      <c r="S270" s="356">
        <f>+IF($G$4="mensual",S264,IF($G$4="trimestral",S264,IF($G$4="semestral",S264,0)))</f>
        <v>10000</v>
      </c>
      <c r="U270" s="356">
        <f t="shared" si="93"/>
        <v>43122.82219787069</v>
      </c>
      <c r="V270" s="359">
        <f t="shared" si="95"/>
        <v>-193.67775685901015</v>
      </c>
      <c r="X270" s="359">
        <f t="shared" si="94"/>
        <v>-6322.8844424713925</v>
      </c>
      <c r="Y270" s="356">
        <f t="shared" si="78"/>
        <v>5444439.5659639025</v>
      </c>
      <c r="AA270" s="357">
        <f>+Bono!J270</f>
        <v>257689.23617582736</v>
      </c>
      <c r="AC270" s="378">
        <f t="shared" si="79"/>
        <v>20.583333333333332</v>
      </c>
      <c r="AD270" s="356">
        <f t="shared" si="80"/>
        <v>6094964.990146769</v>
      </c>
    </row>
    <row r="271" spans="1:30" x14ac:dyDescent="0.25">
      <c r="A271" s="356">
        <f t="shared" si="81"/>
        <v>20.666666666666668</v>
      </c>
      <c r="B271" s="356">
        <f t="shared" si="82"/>
        <v>248</v>
      </c>
      <c r="C271" s="357">
        <f t="shared" si="87"/>
        <v>20</v>
      </c>
      <c r="D271" s="357">
        <f t="shared" si="88"/>
        <v>8</v>
      </c>
      <c r="E271" s="357">
        <f t="shared" si="89"/>
        <v>49</v>
      </c>
      <c r="F271" s="356">
        <f t="shared" si="83"/>
        <v>392836.18800703937</v>
      </c>
      <c r="H271" s="356">
        <f t="shared" si="76"/>
        <v>3132.5309287233727</v>
      </c>
      <c r="I271" s="356">
        <v>0</v>
      </c>
      <c r="J271" s="356">
        <v>0</v>
      </c>
      <c r="K271" s="356">
        <f t="shared" si="84"/>
        <v>-459.3237139654848</v>
      </c>
      <c r="L271" s="356">
        <f t="shared" si="77"/>
        <v>395509.3952217973</v>
      </c>
      <c r="N271" s="356">
        <f t="shared" si="85"/>
        <v>248</v>
      </c>
      <c r="O271" s="357">
        <f t="shared" si="90"/>
        <v>20</v>
      </c>
      <c r="P271" s="357">
        <f t="shared" si="91"/>
        <v>8</v>
      </c>
      <c r="Q271" s="357">
        <f t="shared" si="92"/>
        <v>20</v>
      </c>
      <c r="R271" s="356">
        <f t="shared" si="86"/>
        <v>5444439.5659639025</v>
      </c>
      <c r="S271" s="356">
        <f>IF($G$4="mensual",S270,0)</f>
        <v>10000</v>
      </c>
      <c r="U271" s="356">
        <f t="shared" si="93"/>
        <v>43494.467059965056</v>
      </c>
      <c r="V271" s="359">
        <f t="shared" si="95"/>
        <v>-193.67775685901015</v>
      </c>
      <c r="X271" s="359">
        <f t="shared" si="94"/>
        <v>-6377.37881210973</v>
      </c>
      <c r="Y271" s="356">
        <f t="shared" si="78"/>
        <v>5491362.976454899</v>
      </c>
      <c r="AA271" s="357">
        <f>+Bono!J271</f>
        <v>259286.93933021883</v>
      </c>
      <c r="AC271" s="378">
        <f t="shared" si="79"/>
        <v>20.666666666666668</v>
      </c>
      <c r="AD271" s="356">
        <f t="shared" si="80"/>
        <v>6146159.311006915</v>
      </c>
    </row>
    <row r="272" spans="1:30" x14ac:dyDescent="0.25">
      <c r="A272" s="356">
        <f t="shared" si="81"/>
        <v>20.75</v>
      </c>
      <c r="B272" s="356">
        <f t="shared" si="82"/>
        <v>249</v>
      </c>
      <c r="C272" s="357">
        <f t="shared" si="87"/>
        <v>20</v>
      </c>
      <c r="D272" s="357">
        <f t="shared" si="88"/>
        <v>9</v>
      </c>
      <c r="E272" s="357">
        <f t="shared" si="89"/>
        <v>49</v>
      </c>
      <c r="F272" s="356">
        <f t="shared" si="83"/>
        <v>395509.3952217973</v>
      </c>
      <c r="H272" s="356">
        <f t="shared" si="76"/>
        <v>3153.847458449411</v>
      </c>
      <c r="I272" s="356">
        <v>0</v>
      </c>
      <c r="J272" s="360">
        <f>-SUM(F272:H272)*$J$21*1.16</f>
        <v>-4162.044253581776</v>
      </c>
      <c r="K272" s="356">
        <f t="shared" si="84"/>
        <v>-457.62139017493126</v>
      </c>
      <c r="L272" s="356">
        <f t="shared" si="77"/>
        <v>394043.57703648997</v>
      </c>
      <c r="N272" s="356">
        <f t="shared" si="85"/>
        <v>249</v>
      </c>
      <c r="O272" s="357">
        <f t="shared" si="90"/>
        <v>20</v>
      </c>
      <c r="P272" s="357">
        <f t="shared" si="91"/>
        <v>9</v>
      </c>
      <c r="Q272" s="357">
        <f t="shared" si="92"/>
        <v>20</v>
      </c>
      <c r="R272" s="356">
        <f t="shared" si="86"/>
        <v>5491362.976454899</v>
      </c>
      <c r="S272" s="356">
        <f>IF($G$4="mensual",S271,0)</f>
        <v>10000</v>
      </c>
      <c r="U272" s="356">
        <f t="shared" si="93"/>
        <v>43868.64092462335</v>
      </c>
      <c r="V272" s="359">
        <f t="shared" si="95"/>
        <v>-193.67775685901015</v>
      </c>
      <c r="X272" s="359">
        <f t="shared" si="94"/>
        <v>-6432.244009962288</v>
      </c>
      <c r="Y272" s="356">
        <f t="shared" si="78"/>
        <v>5538605.695612701</v>
      </c>
      <c r="AA272" s="357">
        <f>+Bono!J272</f>
        <v>258544.14709228702</v>
      </c>
      <c r="AC272" s="378">
        <f t="shared" si="79"/>
        <v>20.75</v>
      </c>
      <c r="AD272" s="356">
        <f t="shared" si="80"/>
        <v>6191193.419741478</v>
      </c>
    </row>
    <row r="273" spans="1:30" x14ac:dyDescent="0.25">
      <c r="A273" s="356">
        <f t="shared" si="81"/>
        <v>20.833333333333332</v>
      </c>
      <c r="B273" s="356">
        <f t="shared" si="82"/>
        <v>250</v>
      </c>
      <c r="C273" s="357">
        <f t="shared" si="87"/>
        <v>20</v>
      </c>
      <c r="D273" s="357">
        <f t="shared" si="88"/>
        <v>10</v>
      </c>
      <c r="E273" s="357">
        <f t="shared" si="89"/>
        <v>49</v>
      </c>
      <c r="F273" s="356">
        <f t="shared" si="83"/>
        <v>394043.57703648997</v>
      </c>
      <c r="H273" s="356">
        <f t="shared" si="76"/>
        <v>3142.1588183965296</v>
      </c>
      <c r="I273" s="356">
        <v>0</v>
      </c>
      <c r="J273" s="356">
        <v>0</v>
      </c>
      <c r="K273" s="356">
        <f t="shared" si="84"/>
        <v>-460.7354535916683</v>
      </c>
      <c r="L273" s="356">
        <f t="shared" si="77"/>
        <v>396725.0004012948</v>
      </c>
      <c r="N273" s="356">
        <f t="shared" si="85"/>
        <v>250</v>
      </c>
      <c r="O273" s="357">
        <f t="shared" si="90"/>
        <v>20</v>
      </c>
      <c r="P273" s="357">
        <f t="shared" si="91"/>
        <v>10</v>
      </c>
      <c r="Q273" s="357">
        <f t="shared" si="92"/>
        <v>20</v>
      </c>
      <c r="R273" s="356">
        <f t="shared" si="86"/>
        <v>5538605.695612701</v>
      </c>
      <c r="S273" s="356">
        <f>IF($G$4="mensual",S264,IF($G$4="trimestral",S264,0))</f>
        <v>10000</v>
      </c>
      <c r="U273" s="356">
        <f t="shared" si="93"/>
        <v>44245.36100143093</v>
      </c>
      <c r="V273" s="359">
        <f t="shared" si="95"/>
        <v>-193.67775685901015</v>
      </c>
      <c r="X273" s="359">
        <f t="shared" si="94"/>
        <v>-6487.482559474436</v>
      </c>
      <c r="Y273" s="356">
        <f t="shared" si="78"/>
        <v>5586169.8962977985</v>
      </c>
      <c r="AA273" s="357">
        <f>+Bono!J273</f>
        <v>260147.15079352408</v>
      </c>
      <c r="AC273" s="378">
        <f t="shared" si="79"/>
        <v>20.833333333333332</v>
      </c>
      <c r="AD273" s="356">
        <f t="shared" si="80"/>
        <v>6243042.047492618</v>
      </c>
    </row>
    <row r="274" spans="1:30" x14ac:dyDescent="0.25">
      <c r="A274" s="356">
        <f t="shared" si="81"/>
        <v>20.916666666666668</v>
      </c>
      <c r="B274" s="356">
        <f t="shared" si="82"/>
        <v>251</v>
      </c>
      <c r="C274" s="357">
        <f t="shared" si="87"/>
        <v>20</v>
      </c>
      <c r="D274" s="357">
        <f t="shared" si="88"/>
        <v>11</v>
      </c>
      <c r="E274" s="357">
        <f t="shared" si="89"/>
        <v>49</v>
      </c>
      <c r="F274" s="356">
        <f t="shared" si="83"/>
        <v>396725.0004012948</v>
      </c>
      <c r="H274" s="356">
        <f t="shared" si="76"/>
        <v>3163.540864856827</v>
      </c>
      <c r="I274" s="356">
        <v>0</v>
      </c>
      <c r="J274" s="356">
        <v>0</v>
      </c>
      <c r="K274" s="356">
        <f t="shared" si="84"/>
        <v>-463.8707078687359</v>
      </c>
      <c r="L274" s="356">
        <f t="shared" si="77"/>
        <v>399424.67055828293</v>
      </c>
      <c r="N274" s="356">
        <f t="shared" si="85"/>
        <v>251</v>
      </c>
      <c r="O274" s="357">
        <f t="shared" si="90"/>
        <v>20</v>
      </c>
      <c r="P274" s="357">
        <f t="shared" si="91"/>
        <v>11</v>
      </c>
      <c r="Q274" s="357">
        <f t="shared" si="92"/>
        <v>20</v>
      </c>
      <c r="R274" s="356">
        <f t="shared" si="86"/>
        <v>5586169.8962977985</v>
      </c>
      <c r="S274" s="356">
        <f>IF($G$17="si",S262*(1+$G$20),S262)</f>
        <v>10000</v>
      </c>
      <c r="U274" s="356">
        <f t="shared" si="93"/>
        <v>44624.644617082464</v>
      </c>
      <c r="V274" s="359">
        <f t="shared" si="95"/>
        <v>-193.67775685901015</v>
      </c>
      <c r="X274" s="359">
        <f t="shared" si="94"/>
        <v>-6543.097001263306</v>
      </c>
      <c r="Y274" s="356">
        <f t="shared" si="78"/>
        <v>5634057.766156759</v>
      </c>
      <c r="AA274" s="357">
        <f>+Bono!J274</f>
        <v>261760.09330364573</v>
      </c>
      <c r="AC274" s="378">
        <f t="shared" si="79"/>
        <v>20.916666666666668</v>
      </c>
      <c r="AD274" s="356">
        <f t="shared" si="80"/>
        <v>6295242.530018688</v>
      </c>
    </row>
    <row r="275" spans="1:30" x14ac:dyDescent="0.25">
      <c r="A275" s="356">
        <f t="shared" si="81"/>
        <v>21</v>
      </c>
      <c r="B275" s="356">
        <f t="shared" si="82"/>
        <v>252</v>
      </c>
      <c r="C275" s="357">
        <f t="shared" si="87"/>
        <v>20</v>
      </c>
      <c r="D275" s="357">
        <f t="shared" si="88"/>
        <v>12</v>
      </c>
      <c r="E275" s="357">
        <f t="shared" si="89"/>
        <v>49</v>
      </c>
      <c r="F275" s="356">
        <f t="shared" si="83"/>
        <v>399424.67055828293</v>
      </c>
      <c r="H275" s="356">
        <f t="shared" si="76"/>
        <v>3185.068413800371</v>
      </c>
      <c r="I275" s="356">
        <v>0</v>
      </c>
      <c r="J275" s="360">
        <f>-SUM(F275:H275)*$J$21*1.16</f>
        <v>-4203.24567486855</v>
      </c>
      <c r="K275" s="356">
        <f t="shared" si="84"/>
        <v>-462.15153222476914</v>
      </c>
      <c r="L275" s="356">
        <f t="shared" si="77"/>
        <v>397944.34176499</v>
      </c>
      <c r="N275" s="356">
        <f t="shared" si="85"/>
        <v>252</v>
      </c>
      <c r="O275" s="357">
        <f t="shared" si="90"/>
        <v>20</v>
      </c>
      <c r="P275" s="357">
        <f t="shared" si="91"/>
        <v>12</v>
      </c>
      <c r="Q275" s="357">
        <f t="shared" si="92"/>
        <v>20</v>
      </c>
      <c r="R275" s="356">
        <f t="shared" si="86"/>
        <v>5634057.766156759</v>
      </c>
      <c r="S275" s="356">
        <f>IF($G$4="mensual",S274,0)</f>
        <v>10000</v>
      </c>
      <c r="U275" s="356">
        <f t="shared" si="93"/>
        <v>45006.50921617888</v>
      </c>
      <c r="V275" s="359">
        <f t="shared" si="95"/>
        <v>-193.67775685901015</v>
      </c>
      <c r="X275" s="359">
        <f t="shared" si="94"/>
        <v>-6599.089893234651</v>
      </c>
      <c r="Y275" s="356">
        <f t="shared" si="78"/>
        <v>5682271.507722844</v>
      </c>
      <c r="AA275" s="357">
        <f>+Bono!J275</f>
        <v>261010.21609807372</v>
      </c>
      <c r="AC275" s="378">
        <f t="shared" si="79"/>
        <v>21</v>
      </c>
      <c r="AD275" s="356">
        <f t="shared" si="80"/>
        <v>6341226.0655859085</v>
      </c>
    </row>
    <row r="276" spans="1:30" x14ac:dyDescent="0.25">
      <c r="A276" s="356">
        <f t="shared" si="81"/>
        <v>21.083333333333332</v>
      </c>
      <c r="B276" s="356">
        <f t="shared" si="82"/>
        <v>253</v>
      </c>
      <c r="C276" s="357">
        <f t="shared" si="87"/>
        <v>21</v>
      </c>
      <c r="D276" s="357">
        <f t="shared" si="88"/>
        <v>1</v>
      </c>
      <c r="E276" s="357">
        <f t="shared" si="89"/>
        <v>50</v>
      </c>
      <c r="F276" s="356">
        <f t="shared" si="83"/>
        <v>397944.34176499</v>
      </c>
      <c r="H276" s="356">
        <f t="shared" si="76"/>
        <v>3173.2640641217035</v>
      </c>
      <c r="I276" s="356">
        <v>0</v>
      </c>
      <c r="J276" s="356">
        <v>0</v>
      </c>
      <c r="K276" s="356">
        <f t="shared" si="84"/>
        <v>-465.2964227617696</v>
      </c>
      <c r="L276" s="356">
        <f t="shared" si="77"/>
        <v>400652.30940634996</v>
      </c>
      <c r="N276" s="356">
        <f t="shared" si="85"/>
        <v>253</v>
      </c>
      <c r="O276" s="357">
        <f t="shared" si="90"/>
        <v>21</v>
      </c>
      <c r="P276" s="357">
        <f t="shared" si="91"/>
        <v>1</v>
      </c>
      <c r="Q276" s="357">
        <f t="shared" si="92"/>
        <v>21</v>
      </c>
      <c r="R276" s="356">
        <f t="shared" si="86"/>
        <v>5682271.507722844</v>
      </c>
      <c r="S276" s="356">
        <f>IF($G$17="si",S264*(1+$G$20),S264)</f>
        <v>10000</v>
      </c>
      <c r="U276" s="356">
        <f t="shared" si="93"/>
        <v>45390.97236202972</v>
      </c>
      <c r="V276" s="359">
        <f>V275*(1+$G$18)</f>
        <v>-201.42486713337055</v>
      </c>
      <c r="X276" s="359">
        <f t="shared" si="94"/>
        <v>-6655.454824052578</v>
      </c>
      <c r="Y276" s="356">
        <f t="shared" si="78"/>
        <v>5730805.600393687</v>
      </c>
      <c r="AA276" s="357">
        <f>+Bono!J276</f>
        <v>262628.50971319294</v>
      </c>
      <c r="AC276" s="378">
        <f t="shared" si="79"/>
        <v>21.083333333333332</v>
      </c>
      <c r="AD276" s="356">
        <f t="shared" si="80"/>
        <v>6394086.41951323</v>
      </c>
    </row>
    <row r="277" spans="1:30" x14ac:dyDescent="0.25">
      <c r="A277" s="356">
        <f t="shared" si="81"/>
        <v>21.166666666666668</v>
      </c>
      <c r="B277" s="356">
        <f t="shared" si="82"/>
        <v>254</v>
      </c>
      <c r="C277" s="357">
        <f t="shared" si="87"/>
        <v>21</v>
      </c>
      <c r="D277" s="357">
        <f t="shared" si="88"/>
        <v>2</v>
      </c>
      <c r="E277" s="357">
        <f t="shared" si="89"/>
        <v>50</v>
      </c>
      <c r="F277" s="356">
        <f t="shared" si="83"/>
        <v>400652.30940634996</v>
      </c>
      <c r="H277" s="356">
        <f t="shared" si="76"/>
        <v>3194.857778370835</v>
      </c>
      <c r="I277" s="356">
        <v>0</v>
      </c>
      <c r="J277" s="356">
        <v>0</v>
      </c>
      <c r="K277" s="356">
        <f t="shared" si="84"/>
        <v>-468.4627139342761</v>
      </c>
      <c r="L277" s="356">
        <f t="shared" si="77"/>
        <v>403378.70447078656</v>
      </c>
      <c r="N277" s="356">
        <f t="shared" si="85"/>
        <v>254</v>
      </c>
      <c r="O277" s="357">
        <f t="shared" si="90"/>
        <v>21</v>
      </c>
      <c r="P277" s="357">
        <f t="shared" si="91"/>
        <v>2</v>
      </c>
      <c r="Q277" s="357">
        <f t="shared" si="92"/>
        <v>21</v>
      </c>
      <c r="R277" s="356">
        <f t="shared" si="86"/>
        <v>5730805.600393687</v>
      </c>
      <c r="S277" s="356">
        <f>IF($G$4="mensual",S276,0)</f>
        <v>10000</v>
      </c>
      <c r="U277" s="356">
        <f t="shared" si="93"/>
        <v>45777.990032576454</v>
      </c>
      <c r="V277" s="359">
        <f t="shared" si="95"/>
        <v>-201.42486713337055</v>
      </c>
      <c r="X277" s="359">
        <f t="shared" si="94"/>
        <v>-6712.20331204859</v>
      </c>
      <c r="Y277" s="356">
        <f t="shared" si="78"/>
        <v>5779669.962247081</v>
      </c>
      <c r="AA277" s="357">
        <f>+Bono!J277</f>
        <v>264256.83693643636</v>
      </c>
      <c r="AC277" s="378">
        <f t="shared" si="79"/>
        <v>21.166666666666668</v>
      </c>
      <c r="AD277" s="356">
        <f t="shared" si="80"/>
        <v>6447305.503654304</v>
      </c>
    </row>
    <row r="278" spans="1:30" x14ac:dyDescent="0.25">
      <c r="A278" s="356">
        <f t="shared" si="81"/>
        <v>21.25</v>
      </c>
      <c r="B278" s="356">
        <f t="shared" si="82"/>
        <v>255</v>
      </c>
      <c r="C278" s="357">
        <f t="shared" si="87"/>
        <v>21</v>
      </c>
      <c r="D278" s="357">
        <f t="shared" si="88"/>
        <v>3</v>
      </c>
      <c r="E278" s="357">
        <f t="shared" si="89"/>
        <v>50</v>
      </c>
      <c r="F278" s="356">
        <f t="shared" si="83"/>
        <v>403378.70447078656</v>
      </c>
      <c r="H278" s="356">
        <f t="shared" si="76"/>
        <v>3216.5984354793227</v>
      </c>
      <c r="I278" s="356">
        <v>0</v>
      </c>
      <c r="J278" s="360">
        <f>-SUM(F278:H278)*$J$21*1.16</f>
        <v>-4244.854962341416</v>
      </c>
      <c r="K278" s="356">
        <f t="shared" si="84"/>
        <v>-466.72651961495234</v>
      </c>
      <c r="L278" s="356">
        <f t="shared" si="77"/>
        <v>401883.72142430954</v>
      </c>
      <c r="N278" s="356">
        <f t="shared" si="85"/>
        <v>255</v>
      </c>
      <c r="O278" s="357">
        <f t="shared" si="90"/>
        <v>21</v>
      </c>
      <c r="P278" s="357">
        <f t="shared" si="91"/>
        <v>3</v>
      </c>
      <c r="Q278" s="357">
        <f t="shared" si="92"/>
        <v>21</v>
      </c>
      <c r="R278" s="356">
        <f t="shared" si="86"/>
        <v>5779669.962247081</v>
      </c>
      <c r="S278" s="356">
        <f>IF($G$4="mensual",S277,0)</f>
        <v>10000</v>
      </c>
      <c r="U278" s="356">
        <f t="shared" si="93"/>
        <v>46167.64131596418</v>
      </c>
      <c r="V278" s="359">
        <f t="shared" si="95"/>
        <v>-201.42486713337055</v>
      </c>
      <c r="X278" s="359">
        <f t="shared" si="94"/>
        <v>-6769.337967287257</v>
      </c>
      <c r="Y278" s="356">
        <f t="shared" si="78"/>
        <v>5828866.840728625</v>
      </c>
      <c r="AA278" s="357">
        <f>+Bono!J278</f>
        <v>263499.8071847495</v>
      </c>
      <c r="AC278" s="378">
        <f t="shared" si="79"/>
        <v>21.25</v>
      </c>
      <c r="AD278" s="356">
        <f t="shared" si="80"/>
        <v>6494250.369337684</v>
      </c>
    </row>
    <row r="279" spans="1:30" x14ac:dyDescent="0.25">
      <c r="A279" s="356">
        <f t="shared" si="81"/>
        <v>21.333333333333332</v>
      </c>
      <c r="B279" s="356">
        <f t="shared" si="82"/>
        <v>256</v>
      </c>
      <c r="C279" s="357">
        <f t="shared" si="87"/>
        <v>21</v>
      </c>
      <c r="D279" s="357">
        <f t="shared" si="88"/>
        <v>4</v>
      </c>
      <c r="E279" s="357">
        <f t="shared" si="89"/>
        <v>50</v>
      </c>
      <c r="F279" s="356">
        <f t="shared" si="83"/>
        <v>401883.72142430954</v>
      </c>
      <c r="H279" s="356">
        <f t="shared" si="76"/>
        <v>3204.6772307278848</v>
      </c>
      <c r="I279" s="356">
        <v>0</v>
      </c>
      <c r="J279" s="356">
        <v>0</v>
      </c>
      <c r="K279" s="356">
        <f t="shared" si="84"/>
        <v>-469.90254243984333</v>
      </c>
      <c r="L279" s="356">
        <f t="shared" si="77"/>
        <v>404618.4961125975</v>
      </c>
      <c r="N279" s="356">
        <f t="shared" si="85"/>
        <v>256</v>
      </c>
      <c r="O279" s="357">
        <f t="shared" si="90"/>
        <v>21</v>
      </c>
      <c r="P279" s="357">
        <f t="shared" si="91"/>
        <v>4</v>
      </c>
      <c r="Q279" s="357">
        <f t="shared" si="92"/>
        <v>21</v>
      </c>
      <c r="R279" s="356">
        <f t="shared" si="86"/>
        <v>5828866.840728625</v>
      </c>
      <c r="S279" s="356">
        <f>IF($G$4="mensual",S276,IF($G$4="trimestral",S276,0))</f>
        <v>10000</v>
      </c>
      <c r="U279" s="356">
        <f t="shared" si="93"/>
        <v>46559.94413363972</v>
      </c>
      <c r="V279" s="359">
        <f t="shared" si="95"/>
        <v>-201.42486713337055</v>
      </c>
      <c r="X279" s="359">
        <f t="shared" si="94"/>
        <v>-6826.861417594351</v>
      </c>
      <c r="Y279" s="356">
        <f t="shared" si="78"/>
        <v>5878398.498577536</v>
      </c>
      <c r="AA279" s="357">
        <f>+Bono!J279</f>
        <v>265133.5365533808</v>
      </c>
      <c r="AC279" s="378">
        <f t="shared" si="79"/>
        <v>21.333333333333332</v>
      </c>
      <c r="AD279" s="356">
        <f t="shared" si="80"/>
        <v>6548150.531243514</v>
      </c>
    </row>
    <row r="280" spans="1:30" x14ac:dyDescent="0.25">
      <c r="A280" s="356">
        <f t="shared" si="81"/>
        <v>21.416666666666668</v>
      </c>
      <c r="B280" s="356">
        <f t="shared" si="82"/>
        <v>257</v>
      </c>
      <c r="C280" s="357">
        <f t="shared" si="87"/>
        <v>21</v>
      </c>
      <c r="D280" s="357">
        <f t="shared" si="88"/>
        <v>5</v>
      </c>
      <c r="E280" s="357">
        <f t="shared" si="89"/>
        <v>50</v>
      </c>
      <c r="F280" s="356">
        <f t="shared" si="83"/>
        <v>404618.4961125975</v>
      </c>
      <c r="H280" s="356">
        <f t="shared" ref="H280:H343" si="96">SUM(F280:G280)*$G$8</f>
        <v>3226.4847081337043</v>
      </c>
      <c r="I280" s="356">
        <v>0</v>
      </c>
      <c r="J280" s="356">
        <v>0</v>
      </c>
      <c r="K280" s="356">
        <f t="shared" si="84"/>
        <v>-473.1001777520482</v>
      </c>
      <c r="L280" s="356">
        <f t="shared" ref="L280:L343" si="97">SUM(F280:K280)</f>
        <v>407371.8806429792</v>
      </c>
      <c r="N280" s="356">
        <f t="shared" si="85"/>
        <v>257</v>
      </c>
      <c r="O280" s="357">
        <f t="shared" si="90"/>
        <v>21</v>
      </c>
      <c r="P280" s="357">
        <f t="shared" si="91"/>
        <v>5</v>
      </c>
      <c r="Q280" s="357">
        <f t="shared" si="92"/>
        <v>21</v>
      </c>
      <c r="R280" s="356">
        <f t="shared" si="86"/>
        <v>5878398.498577536</v>
      </c>
      <c r="S280" s="356">
        <f>IF($G$4="mensual",S279,0)</f>
        <v>10000</v>
      </c>
      <c r="U280" s="356">
        <f t="shared" si="93"/>
        <v>46954.916529003356</v>
      </c>
      <c r="V280" s="359">
        <f t="shared" si="95"/>
        <v>-201.42486713337055</v>
      </c>
      <c r="X280" s="359">
        <f t="shared" si="94"/>
        <v>-6884.77630867771</v>
      </c>
      <c r="Y280" s="356">
        <f t="shared" ref="Y280:Y343" si="98">SUM(R280:X280)</f>
        <v>5928267.213930728</v>
      </c>
      <c r="AA280" s="357">
        <f>+Bono!J280</f>
        <v>266777.3952335985</v>
      </c>
      <c r="AC280" s="378">
        <f t="shared" ref="AC280:AC343" si="99">+B280/12</f>
        <v>21.416666666666668</v>
      </c>
      <c r="AD280" s="356">
        <f t="shared" ref="AD280:AD343" si="100">+AA280+Y280+L280</f>
        <v>6602416.489807306</v>
      </c>
    </row>
    <row r="281" spans="1:30" x14ac:dyDescent="0.25">
      <c r="A281" s="356">
        <f t="shared" ref="A281:A344" si="101">+B281/12</f>
        <v>21.5</v>
      </c>
      <c r="B281" s="356">
        <f t="shared" ref="B281:B344" si="102">+B280+1</f>
        <v>258</v>
      </c>
      <c r="C281" s="357">
        <f t="shared" si="87"/>
        <v>21</v>
      </c>
      <c r="D281" s="357">
        <f t="shared" si="88"/>
        <v>6</v>
      </c>
      <c r="E281" s="357">
        <f t="shared" si="89"/>
        <v>50</v>
      </c>
      <c r="F281" s="356">
        <f t="shared" ref="F281:F344" si="103">L280</f>
        <v>407371.8806429792</v>
      </c>
      <c r="H281" s="356">
        <f t="shared" si="96"/>
        <v>3248.440583033739</v>
      </c>
      <c r="I281" s="356">
        <v>0</v>
      </c>
      <c r="J281" s="360">
        <f>-SUM(F281:H281)*$J$21*1.16</f>
        <v>-4286.8761535995745</v>
      </c>
      <c r="K281" s="356">
        <f t="shared" ref="K281:K344" si="104">-SUM(F281:J281)*0.1%*1.16</f>
        <v>-471.3467962839994</v>
      </c>
      <c r="L281" s="356">
        <f t="shared" si="97"/>
        <v>405862.0982761293</v>
      </c>
      <c r="N281" s="356">
        <f t="shared" ref="N281:N344" si="105">+N280+1</f>
        <v>258</v>
      </c>
      <c r="O281" s="357">
        <f t="shared" si="90"/>
        <v>21</v>
      </c>
      <c r="P281" s="357">
        <f t="shared" si="91"/>
        <v>6</v>
      </c>
      <c r="Q281" s="357">
        <f t="shared" si="92"/>
        <v>21</v>
      </c>
      <c r="R281" s="356">
        <f t="shared" ref="R281:R344" si="106">Y280</f>
        <v>5928267.213930728</v>
      </c>
      <c r="S281" s="356">
        <f>IF($G$4="mensual",S280,0)</f>
        <v>10000</v>
      </c>
      <c r="U281" s="356">
        <f t="shared" si="93"/>
        <v>47352.57666823873</v>
      </c>
      <c r="V281" s="359">
        <f t="shared" si="95"/>
        <v>-201.42486713337055</v>
      </c>
      <c r="X281" s="359">
        <f t="shared" si="94"/>
        <v>-6943.085304248925</v>
      </c>
      <c r="Y281" s="356">
        <f t="shared" si="98"/>
        <v>5978475.2804275835</v>
      </c>
      <c r="AA281" s="357">
        <f>+Bono!J281</f>
        <v>266013.144712739</v>
      </c>
      <c r="AC281" s="378">
        <f t="shared" si="99"/>
        <v>21.5</v>
      </c>
      <c r="AD281" s="356">
        <f t="shared" si="100"/>
        <v>6650350.523416451</v>
      </c>
    </row>
    <row r="282" spans="1:30" x14ac:dyDescent="0.25">
      <c r="A282" s="356">
        <f t="shared" si="101"/>
        <v>21.583333333333332</v>
      </c>
      <c r="B282" s="356">
        <f t="shared" si="102"/>
        <v>259</v>
      </c>
      <c r="C282" s="357">
        <f t="shared" si="87"/>
        <v>21</v>
      </c>
      <c r="D282" s="357">
        <f t="shared" si="88"/>
        <v>7</v>
      </c>
      <c r="E282" s="357">
        <f t="shared" si="89"/>
        <v>50</v>
      </c>
      <c r="F282" s="356">
        <f t="shared" si="103"/>
        <v>405862.0982761293</v>
      </c>
      <c r="H282" s="356">
        <f t="shared" si="96"/>
        <v>3236.4013664233953</v>
      </c>
      <c r="I282" s="356">
        <v>0</v>
      </c>
      <c r="J282" s="356">
        <v>0</v>
      </c>
      <c r="K282" s="356">
        <f t="shared" si="104"/>
        <v>-474.55425958536114</v>
      </c>
      <c r="L282" s="356">
        <f t="shared" si="97"/>
        <v>408623.94538296736</v>
      </c>
      <c r="N282" s="356">
        <f t="shared" si="105"/>
        <v>259</v>
      </c>
      <c r="O282" s="357">
        <f t="shared" si="90"/>
        <v>21</v>
      </c>
      <c r="P282" s="357">
        <f t="shared" si="91"/>
        <v>7</v>
      </c>
      <c r="Q282" s="357">
        <f t="shared" si="92"/>
        <v>21</v>
      </c>
      <c r="R282" s="356">
        <f t="shared" si="106"/>
        <v>5978475.2804275835</v>
      </c>
      <c r="S282" s="356">
        <f>+IF($G$4="mensual",S276,IF($G$4="trimestral",S276,IF($G$4="semestral",S276,0)))</f>
        <v>10000</v>
      </c>
      <c r="U282" s="356">
        <f t="shared" si="93"/>
        <v>47752.942841148404</v>
      </c>
      <c r="V282" s="359">
        <f t="shared" si="95"/>
        <v>-201.42486713337055</v>
      </c>
      <c r="X282" s="359">
        <f t="shared" si="94"/>
        <v>-7001.791086145853</v>
      </c>
      <c r="Y282" s="356">
        <f t="shared" si="98"/>
        <v>6029025.007315452</v>
      </c>
      <c r="AA282" s="357">
        <f>+Bono!J282</f>
        <v>267662.45706557296</v>
      </c>
      <c r="AC282" s="378">
        <f t="shared" si="99"/>
        <v>21.583333333333332</v>
      </c>
      <c r="AD282" s="356">
        <f t="shared" si="100"/>
        <v>6705311.409763993</v>
      </c>
    </row>
    <row r="283" spans="1:30" x14ac:dyDescent="0.25">
      <c r="A283" s="356">
        <f t="shared" si="101"/>
        <v>21.666666666666668</v>
      </c>
      <c r="B283" s="356">
        <f t="shared" si="102"/>
        <v>260</v>
      </c>
      <c r="C283" s="357">
        <f t="shared" si="87"/>
        <v>21</v>
      </c>
      <c r="D283" s="357">
        <f t="shared" si="88"/>
        <v>8</v>
      </c>
      <c r="E283" s="357">
        <f t="shared" si="89"/>
        <v>50</v>
      </c>
      <c r="F283" s="356">
        <f t="shared" si="103"/>
        <v>408623.94538296736</v>
      </c>
      <c r="H283" s="356">
        <f t="shared" si="96"/>
        <v>3258.424723096484</v>
      </c>
      <c r="I283" s="356">
        <v>0</v>
      </c>
      <c r="J283" s="356">
        <v>0</v>
      </c>
      <c r="K283" s="356">
        <f t="shared" si="104"/>
        <v>-477.78354932303404</v>
      </c>
      <c r="L283" s="356">
        <f t="shared" si="97"/>
        <v>411404.5865567408</v>
      </c>
      <c r="N283" s="356">
        <f t="shared" si="105"/>
        <v>260</v>
      </c>
      <c r="O283" s="357">
        <f t="shared" si="90"/>
        <v>21</v>
      </c>
      <c r="P283" s="357">
        <f t="shared" si="91"/>
        <v>8</v>
      </c>
      <c r="Q283" s="357">
        <f t="shared" si="92"/>
        <v>21</v>
      </c>
      <c r="R283" s="356">
        <f t="shared" si="106"/>
        <v>6029025.007315452</v>
      </c>
      <c r="S283" s="356">
        <f>IF($G$4="mensual",S282,0)</f>
        <v>10000</v>
      </c>
      <c r="U283" s="356">
        <f t="shared" si="93"/>
        <v>48156.033461995</v>
      </c>
      <c r="V283" s="359">
        <f t="shared" si="95"/>
        <v>-201.42486713337055</v>
      </c>
      <c r="X283" s="359">
        <f t="shared" si="94"/>
        <v>-7060.896354455964</v>
      </c>
      <c r="Y283" s="356">
        <f t="shared" si="98"/>
        <v>6079918.7195558585</v>
      </c>
      <c r="AA283" s="357">
        <f>+Bono!J283</f>
        <v>269321.99534630287</v>
      </c>
      <c r="AC283" s="378">
        <f t="shared" si="99"/>
        <v>21.666666666666668</v>
      </c>
      <c r="AD283" s="356">
        <f t="shared" si="100"/>
        <v>6760645.301458903</v>
      </c>
    </row>
    <row r="284" spans="1:30" x14ac:dyDescent="0.25">
      <c r="A284" s="356">
        <f t="shared" si="101"/>
        <v>21.75</v>
      </c>
      <c r="B284" s="356">
        <f t="shared" si="102"/>
        <v>261</v>
      </c>
      <c r="C284" s="357">
        <f t="shared" si="87"/>
        <v>21</v>
      </c>
      <c r="D284" s="357">
        <f t="shared" si="88"/>
        <v>9</v>
      </c>
      <c r="E284" s="357">
        <f t="shared" si="89"/>
        <v>50</v>
      </c>
      <c r="F284" s="356">
        <f t="shared" si="103"/>
        <v>411404.5865567408</v>
      </c>
      <c r="H284" s="356">
        <f t="shared" si="96"/>
        <v>3280.597946298545</v>
      </c>
      <c r="I284" s="356">
        <v>0</v>
      </c>
      <c r="J284" s="360">
        <f>-SUM(F284:H284)*$J$21*1.16</f>
        <v>-4329.313326211731</v>
      </c>
      <c r="K284" s="356">
        <f t="shared" si="104"/>
        <v>-476.01281056512005</v>
      </c>
      <c r="L284" s="356">
        <f t="shared" si="97"/>
        <v>409879.8583662625</v>
      </c>
      <c r="N284" s="356">
        <f t="shared" si="105"/>
        <v>261</v>
      </c>
      <c r="O284" s="357">
        <f t="shared" si="90"/>
        <v>21</v>
      </c>
      <c r="P284" s="357">
        <f t="shared" si="91"/>
        <v>9</v>
      </c>
      <c r="Q284" s="357">
        <f t="shared" si="92"/>
        <v>21</v>
      </c>
      <c r="R284" s="356">
        <f t="shared" si="106"/>
        <v>6079918.7195558585</v>
      </c>
      <c r="S284" s="356">
        <f>IF($G$4="mensual",S283,0)</f>
        <v>10000</v>
      </c>
      <c r="U284" s="356">
        <f t="shared" si="93"/>
        <v>48561.86707034822</v>
      </c>
      <c r="V284" s="359">
        <f t="shared" si="95"/>
        <v>-201.42486713337055</v>
      </c>
      <c r="X284" s="359">
        <f t="shared" si="94"/>
        <v>-7120.4038276405245</v>
      </c>
      <c r="Y284" s="356">
        <f t="shared" si="98"/>
        <v>6131158.757931433</v>
      </c>
      <c r="AA284" s="357">
        <f>+Bono!J284</f>
        <v>268550.4551824817</v>
      </c>
      <c r="AC284" s="378">
        <f t="shared" si="99"/>
        <v>21.75</v>
      </c>
      <c r="AD284" s="356">
        <f t="shared" si="100"/>
        <v>6809589.071480176</v>
      </c>
    </row>
    <row r="285" spans="1:30" x14ac:dyDescent="0.25">
      <c r="A285" s="356">
        <f t="shared" si="101"/>
        <v>21.833333333333332</v>
      </c>
      <c r="B285" s="356">
        <f t="shared" si="102"/>
        <v>262</v>
      </c>
      <c r="C285" s="357">
        <f t="shared" si="87"/>
        <v>21</v>
      </c>
      <c r="D285" s="357">
        <f t="shared" si="88"/>
        <v>10</v>
      </c>
      <c r="E285" s="357">
        <f t="shared" si="89"/>
        <v>50</v>
      </c>
      <c r="F285" s="356">
        <f t="shared" si="103"/>
        <v>409879.8583662625</v>
      </c>
      <c r="H285" s="356">
        <f t="shared" si="96"/>
        <v>3268.439549591763</v>
      </c>
      <c r="I285" s="356">
        <v>0</v>
      </c>
      <c r="J285" s="356">
        <v>0</v>
      </c>
      <c r="K285" s="356">
        <f t="shared" si="104"/>
        <v>-479.2520255823909</v>
      </c>
      <c r="L285" s="356">
        <f t="shared" si="97"/>
        <v>412669.0458902719</v>
      </c>
      <c r="N285" s="356">
        <f t="shared" si="105"/>
        <v>262</v>
      </c>
      <c r="O285" s="357">
        <f t="shared" si="90"/>
        <v>21</v>
      </c>
      <c r="P285" s="357">
        <f t="shared" si="91"/>
        <v>10</v>
      </c>
      <c r="Q285" s="357">
        <f t="shared" si="92"/>
        <v>21</v>
      </c>
      <c r="R285" s="356">
        <f t="shared" si="106"/>
        <v>6131158.757931433</v>
      </c>
      <c r="S285" s="356">
        <f>IF($G$4="mensual",S276,IF($G$4="trimestral",S276,0))</f>
        <v>10000</v>
      </c>
      <c r="U285" s="356">
        <f t="shared" si="93"/>
        <v>48970.462331937466</v>
      </c>
      <c r="V285" s="359">
        <f t="shared" si="95"/>
        <v>-201.42486713337055</v>
      </c>
      <c r="X285" s="359">
        <f t="shared" si="94"/>
        <v>-7180.316242659634</v>
      </c>
      <c r="Y285" s="356">
        <f t="shared" si="98"/>
        <v>6182747.479153577</v>
      </c>
      <c r="AA285" s="357">
        <f>+Bono!J285</f>
        <v>270215.4991545378</v>
      </c>
      <c r="AC285" s="378">
        <f t="shared" si="99"/>
        <v>21.833333333333332</v>
      </c>
      <c r="AD285" s="356">
        <f t="shared" si="100"/>
        <v>6865632.024198387</v>
      </c>
    </row>
    <row r="286" spans="1:30" x14ac:dyDescent="0.25">
      <c r="A286" s="356">
        <f t="shared" si="101"/>
        <v>21.916666666666668</v>
      </c>
      <c r="B286" s="356">
        <f t="shared" si="102"/>
        <v>263</v>
      </c>
      <c r="C286" s="357">
        <f t="shared" si="87"/>
        <v>21</v>
      </c>
      <c r="D286" s="357">
        <f t="shared" si="88"/>
        <v>11</v>
      </c>
      <c r="E286" s="357">
        <f t="shared" si="89"/>
        <v>50</v>
      </c>
      <c r="F286" s="356">
        <f t="shared" si="103"/>
        <v>412669.0458902719</v>
      </c>
      <c r="H286" s="356">
        <f t="shared" si="96"/>
        <v>3290.68092259076</v>
      </c>
      <c r="I286" s="356">
        <v>0</v>
      </c>
      <c r="J286" s="356">
        <v>0</v>
      </c>
      <c r="K286" s="356">
        <f t="shared" si="104"/>
        <v>-482.5132831029207</v>
      </c>
      <c r="L286" s="356">
        <f t="shared" si="97"/>
        <v>415477.2135297597</v>
      </c>
      <c r="N286" s="356">
        <f t="shared" si="105"/>
        <v>263</v>
      </c>
      <c r="O286" s="357">
        <f t="shared" si="90"/>
        <v>21</v>
      </c>
      <c r="P286" s="357">
        <f t="shared" si="91"/>
        <v>11</v>
      </c>
      <c r="Q286" s="357">
        <f t="shared" si="92"/>
        <v>21</v>
      </c>
      <c r="R286" s="356">
        <f t="shared" si="106"/>
        <v>6182747.479153577</v>
      </c>
      <c r="S286" s="356">
        <f>IF($G$17="si",S274*(1+$G$20),S274)</f>
        <v>10000</v>
      </c>
      <c r="U286" s="356">
        <f t="shared" si="93"/>
        <v>49381.83803951041</v>
      </c>
      <c r="V286" s="359">
        <f t="shared" si="95"/>
        <v>-201.42486713337055</v>
      </c>
      <c r="X286" s="359">
        <f t="shared" si="94"/>
        <v>-7240.636355098106</v>
      </c>
      <c r="Y286" s="356">
        <f t="shared" si="98"/>
        <v>6234687.255970855</v>
      </c>
      <c r="AA286" s="357">
        <f>+Bono!J286</f>
        <v>271890.86659235385</v>
      </c>
      <c r="AC286" s="378">
        <f t="shared" si="99"/>
        <v>21.916666666666668</v>
      </c>
      <c r="AD286" s="356">
        <f t="shared" si="100"/>
        <v>6922055.336092969</v>
      </c>
    </row>
    <row r="287" spans="1:30" x14ac:dyDescent="0.25">
      <c r="A287" s="356">
        <f t="shared" si="101"/>
        <v>22</v>
      </c>
      <c r="B287" s="356">
        <f t="shared" si="102"/>
        <v>264</v>
      </c>
      <c r="C287" s="357">
        <f t="shared" si="87"/>
        <v>21</v>
      </c>
      <c r="D287" s="357">
        <f t="shared" si="88"/>
        <v>12</v>
      </c>
      <c r="E287" s="357">
        <f t="shared" si="89"/>
        <v>50</v>
      </c>
      <c r="F287" s="356">
        <f t="shared" si="103"/>
        <v>415477.2135297597</v>
      </c>
      <c r="H287" s="356">
        <f t="shared" si="96"/>
        <v>3313.073645695939</v>
      </c>
      <c r="I287" s="356">
        <v>0</v>
      </c>
      <c r="J287" s="360">
        <f>-SUM(F287:H287)*$J$21*1.16</f>
        <v>-4372.1705981117575</v>
      </c>
      <c r="K287" s="356">
        <f t="shared" si="104"/>
        <v>-480.72501522971885</v>
      </c>
      <c r="L287" s="356">
        <f t="shared" si="97"/>
        <v>413937.3915621142</v>
      </c>
      <c r="N287" s="356">
        <f t="shared" si="105"/>
        <v>264</v>
      </c>
      <c r="O287" s="357">
        <f t="shared" si="90"/>
        <v>21</v>
      </c>
      <c r="P287" s="357">
        <f t="shared" si="91"/>
        <v>12</v>
      </c>
      <c r="Q287" s="357">
        <f t="shared" si="92"/>
        <v>21</v>
      </c>
      <c r="R287" s="356">
        <f t="shared" si="106"/>
        <v>6234687.255970855</v>
      </c>
      <c r="S287" s="356">
        <f>IF($G$4="mensual",S286,0)</f>
        <v>10000</v>
      </c>
      <c r="U287" s="356">
        <f t="shared" si="93"/>
        <v>49796.01311369731</v>
      </c>
      <c r="V287" s="359">
        <f t="shared" si="95"/>
        <v>-201.42486713337055</v>
      </c>
      <c r="X287" s="359">
        <f t="shared" si="94"/>
        <v>-7301.366939292205</v>
      </c>
      <c r="Y287" s="356">
        <f t="shared" si="98"/>
        <v>6286980.477278126</v>
      </c>
      <c r="AA287" s="357">
        <f>+Bono!J287</f>
        <v>271111.9672548436</v>
      </c>
      <c r="AC287" s="378">
        <f t="shared" si="99"/>
        <v>22</v>
      </c>
      <c r="AD287" s="356">
        <f t="shared" si="100"/>
        <v>6972029.836095084</v>
      </c>
    </row>
    <row r="288" spans="1:30" x14ac:dyDescent="0.25">
      <c r="A288" s="356">
        <f t="shared" si="101"/>
        <v>22.083333333333332</v>
      </c>
      <c r="B288" s="356">
        <f t="shared" si="102"/>
        <v>265</v>
      </c>
      <c r="C288" s="357">
        <f t="shared" si="87"/>
        <v>22</v>
      </c>
      <c r="D288" s="357">
        <f t="shared" si="88"/>
        <v>1</v>
      </c>
      <c r="E288" s="357">
        <f t="shared" si="89"/>
        <v>51</v>
      </c>
      <c r="F288" s="356">
        <f t="shared" si="103"/>
        <v>413937.3915621142</v>
      </c>
      <c r="H288" s="356">
        <f t="shared" si="96"/>
        <v>3300.7948890904227</v>
      </c>
      <c r="I288" s="356">
        <v>0</v>
      </c>
      <c r="J288" s="356">
        <v>0</v>
      </c>
      <c r="K288" s="356">
        <f t="shared" si="104"/>
        <v>-483.99629628339727</v>
      </c>
      <c r="L288" s="356">
        <f t="shared" si="97"/>
        <v>416754.1901549212</v>
      </c>
      <c r="N288" s="356">
        <f t="shared" si="105"/>
        <v>265</v>
      </c>
      <c r="O288" s="357">
        <f t="shared" si="90"/>
        <v>22</v>
      </c>
      <c r="P288" s="357">
        <f t="shared" si="91"/>
        <v>1</v>
      </c>
      <c r="Q288" s="357">
        <f t="shared" si="92"/>
        <v>22</v>
      </c>
      <c r="R288" s="356">
        <f t="shared" si="106"/>
        <v>6286980.477278126</v>
      </c>
      <c r="S288" s="356">
        <f>IF($G$17="si",S276*(1+$G$20),S276)</f>
        <v>10000</v>
      </c>
      <c r="U288" s="356">
        <f t="shared" si="93"/>
        <v>50213.00660388123</v>
      </c>
      <c r="V288" s="359">
        <f>V287*(1+$G$18)</f>
        <v>-209.4818618187054</v>
      </c>
      <c r="X288" s="359">
        <f t="shared" si="94"/>
        <v>-7362.501442343419</v>
      </c>
      <c r="Y288" s="356">
        <f t="shared" si="98"/>
        <v>6339621.500577846</v>
      </c>
      <c r="AA288" s="357">
        <f>+Bono!J288</f>
        <v>272792.89289886545</v>
      </c>
      <c r="AC288" s="378">
        <f t="shared" si="99"/>
        <v>22.083333333333332</v>
      </c>
      <c r="AD288" s="356">
        <f t="shared" si="100"/>
        <v>7029168.583631632</v>
      </c>
    </row>
    <row r="289" spans="1:30" x14ac:dyDescent="0.25">
      <c r="A289" s="356">
        <f t="shared" si="101"/>
        <v>22.166666666666668</v>
      </c>
      <c r="B289" s="356">
        <f t="shared" si="102"/>
        <v>266</v>
      </c>
      <c r="C289" s="357">
        <f t="shared" si="87"/>
        <v>22</v>
      </c>
      <c r="D289" s="357">
        <f t="shared" si="88"/>
        <v>2</v>
      </c>
      <c r="E289" s="357">
        <f t="shared" si="89"/>
        <v>51</v>
      </c>
      <c r="F289" s="356">
        <f t="shared" si="103"/>
        <v>416754.1901549212</v>
      </c>
      <c r="H289" s="356">
        <f t="shared" si="96"/>
        <v>3323.256436629404</v>
      </c>
      <c r="I289" s="356">
        <v>0</v>
      </c>
      <c r="J289" s="356">
        <v>0</v>
      </c>
      <c r="K289" s="356">
        <f t="shared" si="104"/>
        <v>-487.28983804619867</v>
      </c>
      <c r="L289" s="356">
        <f t="shared" si="97"/>
        <v>419590.1567535044</v>
      </c>
      <c r="N289" s="356">
        <f t="shared" si="105"/>
        <v>266</v>
      </c>
      <c r="O289" s="357">
        <f t="shared" si="90"/>
        <v>22</v>
      </c>
      <c r="P289" s="357">
        <f t="shared" si="91"/>
        <v>2</v>
      </c>
      <c r="Q289" s="357">
        <f t="shared" si="92"/>
        <v>22</v>
      </c>
      <c r="R289" s="356">
        <f t="shared" si="106"/>
        <v>6339621.500577846</v>
      </c>
      <c r="S289" s="356">
        <f>IF($G$4="mensual",S288,0)</f>
        <v>10000</v>
      </c>
      <c r="U289" s="356">
        <f t="shared" si="93"/>
        <v>50632.773515994384</v>
      </c>
      <c r="V289" s="359">
        <f t="shared" si="95"/>
        <v>-209.4818618187054</v>
      </c>
      <c r="X289" s="359">
        <f t="shared" si="94"/>
        <v>-7424.051958989145</v>
      </c>
      <c r="Y289" s="356">
        <f t="shared" si="98"/>
        <v>6392620.740273032</v>
      </c>
      <c r="AA289" s="357">
        <f>+Bono!J289</f>
        <v>274484.2404768555</v>
      </c>
      <c r="AC289" s="378">
        <f t="shared" si="99"/>
        <v>22.166666666666668</v>
      </c>
      <c r="AD289" s="356">
        <f t="shared" si="100"/>
        <v>7086695.137503392</v>
      </c>
    </row>
    <row r="290" spans="1:30" x14ac:dyDescent="0.25">
      <c r="A290" s="356">
        <f t="shared" si="101"/>
        <v>22.25</v>
      </c>
      <c r="B290" s="356">
        <f t="shared" si="102"/>
        <v>267</v>
      </c>
      <c r="C290" s="357">
        <f t="shared" si="87"/>
        <v>22</v>
      </c>
      <c r="D290" s="357">
        <f t="shared" si="88"/>
        <v>3</v>
      </c>
      <c r="E290" s="357">
        <f t="shared" si="89"/>
        <v>51</v>
      </c>
      <c r="F290" s="356">
        <f t="shared" si="103"/>
        <v>419590.1567535044</v>
      </c>
      <c r="H290" s="356">
        <f t="shared" si="96"/>
        <v>3345.870832538187</v>
      </c>
      <c r="I290" s="356">
        <v>0</v>
      </c>
      <c r="J290" s="360">
        <f>-SUM(F290:H290)*$J$21*1.16</f>
        <v>-4415.452127998285</v>
      </c>
      <c r="K290" s="356">
        <f t="shared" si="104"/>
        <v>-485.4838675313314</v>
      </c>
      <c r="L290" s="356">
        <f t="shared" si="97"/>
        <v>418035.09159051295</v>
      </c>
      <c r="N290" s="356">
        <f t="shared" si="105"/>
        <v>267</v>
      </c>
      <c r="O290" s="357">
        <f t="shared" si="90"/>
        <v>22</v>
      </c>
      <c r="P290" s="357">
        <f t="shared" si="91"/>
        <v>3</v>
      </c>
      <c r="Q290" s="357">
        <f t="shared" si="92"/>
        <v>22</v>
      </c>
      <c r="R290" s="356">
        <f t="shared" si="106"/>
        <v>6392620.740273032</v>
      </c>
      <c r="S290" s="356">
        <f>IF($G$4="mensual",S289,0)</f>
        <v>10000</v>
      </c>
      <c r="U290" s="356">
        <f t="shared" si="93"/>
        <v>51055.396895948936</v>
      </c>
      <c r="V290" s="359">
        <f t="shared" si="95"/>
        <v>-209.4818618187054</v>
      </c>
      <c r="X290" s="359">
        <f t="shared" si="94"/>
        <v>-7486.021320156308</v>
      </c>
      <c r="Y290" s="356">
        <f t="shared" si="98"/>
        <v>6445980.633987006</v>
      </c>
      <c r="AA290" s="357">
        <f>+Bono!J290</f>
        <v>273697.9117717248</v>
      </c>
      <c r="AC290" s="378">
        <f t="shared" si="99"/>
        <v>22.25</v>
      </c>
      <c r="AD290" s="356">
        <f t="shared" si="100"/>
        <v>7137713.637349243</v>
      </c>
    </row>
    <row r="291" spans="1:30" x14ac:dyDescent="0.25">
      <c r="A291" s="356">
        <f t="shared" si="101"/>
        <v>22.333333333333332</v>
      </c>
      <c r="B291" s="356">
        <f t="shared" si="102"/>
        <v>268</v>
      </c>
      <c r="C291" s="357">
        <f t="shared" si="87"/>
        <v>22</v>
      </c>
      <c r="D291" s="357">
        <f t="shared" si="88"/>
        <v>4</v>
      </c>
      <c r="E291" s="357">
        <f t="shared" si="89"/>
        <v>51</v>
      </c>
      <c r="F291" s="356">
        <f t="shared" si="103"/>
        <v>418035.09159051295</v>
      </c>
      <c r="H291" s="356">
        <f t="shared" si="96"/>
        <v>3333.4705245523974</v>
      </c>
      <c r="I291" s="356">
        <v>0</v>
      </c>
      <c r="J291" s="356">
        <v>0</v>
      </c>
      <c r="K291" s="356">
        <f t="shared" si="104"/>
        <v>-488.7875320534758</v>
      </c>
      <c r="L291" s="356">
        <f t="shared" si="97"/>
        <v>420879.77458301187</v>
      </c>
      <c r="N291" s="356">
        <f t="shared" si="105"/>
        <v>268</v>
      </c>
      <c r="O291" s="357">
        <f t="shared" si="90"/>
        <v>22</v>
      </c>
      <c r="P291" s="357">
        <f t="shared" si="91"/>
        <v>4</v>
      </c>
      <c r="Q291" s="357">
        <f t="shared" si="92"/>
        <v>22</v>
      </c>
      <c r="R291" s="356">
        <f t="shared" si="106"/>
        <v>6445980.633987006</v>
      </c>
      <c r="S291" s="356">
        <f>IF($G$4="mensual",S288,IF($G$4="trimestral",S288,0))</f>
        <v>10000</v>
      </c>
      <c r="U291" s="356">
        <f t="shared" si="93"/>
        <v>51480.89618169554</v>
      </c>
      <c r="V291" s="359">
        <f t="shared" si="95"/>
        <v>-209.4818618187054</v>
      </c>
      <c r="X291" s="359">
        <f t="shared" si="94"/>
        <v>-7548.4123760359835</v>
      </c>
      <c r="Y291" s="356">
        <f t="shared" si="98"/>
        <v>6499703.635930846</v>
      </c>
      <c r="AA291" s="357">
        <f>+Bono!J291</f>
        <v>275394.87057170225</v>
      </c>
      <c r="AC291" s="378">
        <f t="shared" si="99"/>
        <v>22.333333333333332</v>
      </c>
      <c r="AD291" s="356">
        <f t="shared" si="100"/>
        <v>7195978.28108556</v>
      </c>
    </row>
    <row r="292" spans="1:30" x14ac:dyDescent="0.25">
      <c r="A292" s="356">
        <f t="shared" si="101"/>
        <v>22.416666666666668</v>
      </c>
      <c r="B292" s="356">
        <f t="shared" si="102"/>
        <v>269</v>
      </c>
      <c r="C292" s="357">
        <f t="shared" ref="C292:C355" si="107">C280+1</f>
        <v>22</v>
      </c>
      <c r="D292" s="357">
        <f t="shared" ref="D292:D355" si="108">D280</f>
        <v>5</v>
      </c>
      <c r="E292" s="357">
        <f t="shared" ref="E292:E355" si="109">E280+1</f>
        <v>51</v>
      </c>
      <c r="F292" s="356">
        <f t="shared" si="103"/>
        <v>420879.77458301187</v>
      </c>
      <c r="H292" s="356">
        <f t="shared" si="96"/>
        <v>3356.154426210298</v>
      </c>
      <c r="I292" s="356">
        <v>0</v>
      </c>
      <c r="J292" s="356">
        <v>0</v>
      </c>
      <c r="K292" s="356">
        <f t="shared" si="104"/>
        <v>-492.11367765069775</v>
      </c>
      <c r="L292" s="356">
        <f t="shared" si="97"/>
        <v>423743.8153315715</v>
      </c>
      <c r="N292" s="356">
        <f t="shared" si="105"/>
        <v>269</v>
      </c>
      <c r="O292" s="357">
        <f t="shared" ref="O292:O355" si="110">O280+1</f>
        <v>22</v>
      </c>
      <c r="P292" s="357">
        <f t="shared" ref="P292:P355" si="111">P280</f>
        <v>5</v>
      </c>
      <c r="Q292" s="357">
        <f t="shared" ref="Q292:Q355" si="112">Q280+1</f>
        <v>22</v>
      </c>
      <c r="R292" s="356">
        <f t="shared" si="106"/>
        <v>6499703.635930846</v>
      </c>
      <c r="S292" s="356">
        <f>IF($G$4="mensual",S291,0)</f>
        <v>10000</v>
      </c>
      <c r="U292" s="356">
        <f t="shared" ref="U292:U355" si="113">SUM(R292:T292)*$G$8</f>
        <v>51909.29094345799</v>
      </c>
      <c r="V292" s="359">
        <f t="shared" si="95"/>
        <v>-209.4818618187054</v>
      </c>
      <c r="X292" s="359">
        <f t="shared" si="94"/>
        <v>-7611.227996214483</v>
      </c>
      <c r="Y292" s="356">
        <f t="shared" si="98"/>
        <v>6553792.217016271</v>
      </c>
      <c r="AA292" s="357">
        <f>+Bono!J292</f>
        <v>277102.3507130746</v>
      </c>
      <c r="AC292" s="378">
        <f t="shared" si="99"/>
        <v>22.416666666666668</v>
      </c>
      <c r="AD292" s="356">
        <f t="shared" si="100"/>
        <v>7254638.383060917</v>
      </c>
    </row>
    <row r="293" spans="1:30" x14ac:dyDescent="0.25">
      <c r="A293" s="356">
        <f t="shared" si="101"/>
        <v>22.5</v>
      </c>
      <c r="B293" s="356">
        <f t="shared" si="102"/>
        <v>270</v>
      </c>
      <c r="C293" s="357">
        <f t="shared" si="107"/>
        <v>22</v>
      </c>
      <c r="D293" s="357">
        <f t="shared" si="108"/>
        <v>6</v>
      </c>
      <c r="E293" s="357">
        <f t="shared" si="109"/>
        <v>51</v>
      </c>
      <c r="F293" s="356">
        <f t="shared" si="103"/>
        <v>423743.8153315715</v>
      </c>
      <c r="H293" s="356">
        <f t="shared" si="96"/>
        <v>3378.992689333415</v>
      </c>
      <c r="I293" s="356">
        <v>0</v>
      </c>
      <c r="J293" s="360">
        <f>-SUM(F293:H293)*$J$21*1.16</f>
        <v>-4459.162115738248</v>
      </c>
      <c r="K293" s="356">
        <f t="shared" si="104"/>
        <v>-490.28982924999326</v>
      </c>
      <c r="L293" s="356">
        <f t="shared" si="97"/>
        <v>422173.3560759166</v>
      </c>
      <c r="N293" s="356">
        <f t="shared" si="105"/>
        <v>270</v>
      </c>
      <c r="O293" s="357">
        <f t="shared" si="110"/>
        <v>22</v>
      </c>
      <c r="P293" s="357">
        <f t="shared" si="111"/>
        <v>6</v>
      </c>
      <c r="Q293" s="357">
        <f t="shared" si="112"/>
        <v>22</v>
      </c>
      <c r="R293" s="356">
        <f t="shared" si="106"/>
        <v>6553792.217016271</v>
      </c>
      <c r="S293" s="356">
        <f>IF($G$4="mensual",S292,0)</f>
        <v>10000</v>
      </c>
      <c r="U293" s="356">
        <f t="shared" si="113"/>
        <v>52340.60088463332</v>
      </c>
      <c r="V293" s="359">
        <f t="shared" si="95"/>
        <v>-209.4818618187054</v>
      </c>
      <c r="X293" s="359">
        <f t="shared" si="94"/>
        <v>-7674.4710698053395</v>
      </c>
      <c r="Y293" s="356">
        <f t="shared" si="98"/>
        <v>6608248.864969281</v>
      </c>
      <c r="AA293" s="357">
        <f>+Bono!J293</f>
        <v>276308.52177686204</v>
      </c>
      <c r="AC293" s="378">
        <f t="shared" si="99"/>
        <v>22.5</v>
      </c>
      <c r="AD293" s="356">
        <f t="shared" si="100"/>
        <v>7306730.742822059</v>
      </c>
    </row>
    <row r="294" spans="1:30" x14ac:dyDescent="0.25">
      <c r="A294" s="356">
        <f t="shared" si="101"/>
        <v>22.583333333333332</v>
      </c>
      <c r="B294" s="356">
        <f t="shared" si="102"/>
        <v>271</v>
      </c>
      <c r="C294" s="357">
        <f t="shared" si="107"/>
        <v>22</v>
      </c>
      <c r="D294" s="357">
        <f t="shared" si="108"/>
        <v>7</v>
      </c>
      <c r="E294" s="357">
        <f t="shared" si="109"/>
        <v>51</v>
      </c>
      <c r="F294" s="356">
        <f t="shared" si="103"/>
        <v>422173.3560759166</v>
      </c>
      <c r="H294" s="356">
        <f t="shared" si="96"/>
        <v>3366.4696266909514</v>
      </c>
      <c r="I294" s="356">
        <v>0</v>
      </c>
      <c r="J294" s="356">
        <v>0</v>
      </c>
      <c r="K294" s="356">
        <f t="shared" si="104"/>
        <v>-493.62619781502474</v>
      </c>
      <c r="L294" s="356">
        <f t="shared" si="97"/>
        <v>425046.1995047926</v>
      </c>
      <c r="N294" s="356">
        <f t="shared" si="105"/>
        <v>271</v>
      </c>
      <c r="O294" s="357">
        <f t="shared" si="110"/>
        <v>22</v>
      </c>
      <c r="P294" s="357">
        <f t="shared" si="111"/>
        <v>7</v>
      </c>
      <c r="Q294" s="357">
        <f t="shared" si="112"/>
        <v>22</v>
      </c>
      <c r="R294" s="356">
        <f t="shared" si="106"/>
        <v>6608248.864969281</v>
      </c>
      <c r="S294" s="356">
        <f>+IF($G$4="mensual",S288,IF($G$4="trimestral",S288,IF($G$4="semestral",S288,0)))</f>
        <v>10000</v>
      </c>
      <c r="U294" s="356">
        <f t="shared" si="113"/>
        <v>52774.84584269799</v>
      </c>
      <c r="V294" s="359">
        <f t="shared" si="95"/>
        <v>-209.4818618187054</v>
      </c>
      <c r="X294" s="359">
        <f t="shared" si="94"/>
        <v>-7738.144505582185</v>
      </c>
      <c r="Y294" s="356">
        <f t="shared" si="98"/>
        <v>6663076.084444578</v>
      </c>
      <c r="AA294" s="357">
        <f>+Bono!J294</f>
        <v>278021.66666168335</v>
      </c>
      <c r="AC294" s="378">
        <f t="shared" si="99"/>
        <v>22.583333333333332</v>
      </c>
      <c r="AD294" s="356">
        <f t="shared" si="100"/>
        <v>7366143.950611054</v>
      </c>
    </row>
    <row r="295" spans="1:30" x14ac:dyDescent="0.25">
      <c r="A295" s="356">
        <f t="shared" si="101"/>
        <v>22.666666666666668</v>
      </c>
      <c r="B295" s="356">
        <f t="shared" si="102"/>
        <v>272</v>
      </c>
      <c r="C295" s="357">
        <f t="shared" si="107"/>
        <v>22</v>
      </c>
      <c r="D295" s="357">
        <f t="shared" si="108"/>
        <v>8</v>
      </c>
      <c r="E295" s="357">
        <f t="shared" si="109"/>
        <v>51</v>
      </c>
      <c r="F295" s="356">
        <f t="shared" si="103"/>
        <v>425046.1995047926</v>
      </c>
      <c r="H295" s="356">
        <f t="shared" si="96"/>
        <v>3389.3780836230617</v>
      </c>
      <c r="I295" s="356">
        <v>0</v>
      </c>
      <c r="J295" s="356">
        <v>0</v>
      </c>
      <c r="K295" s="356">
        <f t="shared" si="104"/>
        <v>-496.9852700025621</v>
      </c>
      <c r="L295" s="356">
        <f t="shared" si="97"/>
        <v>427938.5923184131</v>
      </c>
      <c r="N295" s="356">
        <f t="shared" si="105"/>
        <v>272</v>
      </c>
      <c r="O295" s="357">
        <f t="shared" si="110"/>
        <v>22</v>
      </c>
      <c r="P295" s="357">
        <f t="shared" si="111"/>
        <v>8</v>
      </c>
      <c r="Q295" s="357">
        <f t="shared" si="112"/>
        <v>22</v>
      </c>
      <c r="R295" s="356">
        <f t="shared" si="106"/>
        <v>6663076.084444578</v>
      </c>
      <c r="S295" s="356">
        <f>IF($G$4="mensual",S294,0)</f>
        <v>10000</v>
      </c>
      <c r="U295" s="356">
        <f t="shared" si="113"/>
        <v>53212.04579012034</v>
      </c>
      <c r="V295" s="359">
        <f t="shared" si="95"/>
        <v>-209.4818618187054</v>
      </c>
      <c r="X295" s="359">
        <f t="shared" si="94"/>
        <v>-7802.25123211254</v>
      </c>
      <c r="Y295" s="356">
        <f t="shared" si="98"/>
        <v>6718276.3971407665</v>
      </c>
      <c r="AA295" s="357">
        <f>+Bono!J295</f>
        <v>279745.4332435031</v>
      </c>
      <c r="AC295" s="378">
        <f t="shared" si="99"/>
        <v>22.666666666666668</v>
      </c>
      <c r="AD295" s="356">
        <f t="shared" si="100"/>
        <v>7425960.422702682</v>
      </c>
    </row>
    <row r="296" spans="1:30" x14ac:dyDescent="0.25">
      <c r="A296" s="356">
        <f t="shared" si="101"/>
        <v>22.75</v>
      </c>
      <c r="B296" s="356">
        <f t="shared" si="102"/>
        <v>273</v>
      </c>
      <c r="C296" s="357">
        <f t="shared" si="107"/>
        <v>22</v>
      </c>
      <c r="D296" s="357">
        <f t="shared" si="108"/>
        <v>9</v>
      </c>
      <c r="E296" s="357">
        <f t="shared" si="109"/>
        <v>51</v>
      </c>
      <c r="F296" s="356">
        <f t="shared" si="103"/>
        <v>427938.5923184131</v>
      </c>
      <c r="H296" s="356">
        <f t="shared" si="96"/>
        <v>3412.442430094424</v>
      </c>
      <c r="I296" s="356">
        <v>0</v>
      </c>
      <c r="J296" s="360">
        <f>-SUM(F296:H296)*$J$21*1.16</f>
        <v>-4503.304802774418</v>
      </c>
      <c r="K296" s="356">
        <f t="shared" si="104"/>
        <v>-495.1433667370503</v>
      </c>
      <c r="L296" s="356">
        <f t="shared" si="97"/>
        <v>426352.58657899604</v>
      </c>
      <c r="N296" s="356">
        <f t="shared" si="105"/>
        <v>273</v>
      </c>
      <c r="O296" s="357">
        <f t="shared" si="110"/>
        <v>22</v>
      </c>
      <c r="P296" s="357">
        <f t="shared" si="111"/>
        <v>9</v>
      </c>
      <c r="Q296" s="357">
        <f t="shared" si="112"/>
        <v>22</v>
      </c>
      <c r="R296" s="356">
        <f t="shared" si="106"/>
        <v>6718276.3971407665</v>
      </c>
      <c r="S296" s="356">
        <f>IF($G$4="mensual",S295,0)</f>
        <v>10000</v>
      </c>
      <c r="U296" s="356">
        <f t="shared" si="113"/>
        <v>53652.22083527914</v>
      </c>
      <c r="V296" s="359">
        <f t="shared" si="95"/>
        <v>-209.4818618187054</v>
      </c>
      <c r="X296" s="359">
        <f t="shared" si="94"/>
        <v>-7866.794197892503</v>
      </c>
      <c r="Y296" s="356">
        <f t="shared" si="98"/>
        <v>6773852.341916334</v>
      </c>
      <c r="AA296" s="357">
        <f>+Bono!J296</f>
        <v>278944.0325368307</v>
      </c>
      <c r="AC296" s="378">
        <f t="shared" si="99"/>
        <v>22.75</v>
      </c>
      <c r="AD296" s="356">
        <f t="shared" si="100"/>
        <v>7479148.961032161</v>
      </c>
    </row>
    <row r="297" spans="1:30" x14ac:dyDescent="0.25">
      <c r="A297" s="356">
        <f t="shared" si="101"/>
        <v>22.833333333333332</v>
      </c>
      <c r="B297" s="356">
        <f t="shared" si="102"/>
        <v>274</v>
      </c>
      <c r="C297" s="357">
        <f t="shared" si="107"/>
        <v>22</v>
      </c>
      <c r="D297" s="357">
        <f t="shared" si="108"/>
        <v>10</v>
      </c>
      <c r="E297" s="357">
        <f t="shared" si="109"/>
        <v>51</v>
      </c>
      <c r="F297" s="356">
        <f t="shared" si="103"/>
        <v>426352.58657899604</v>
      </c>
      <c r="H297" s="356">
        <f t="shared" si="96"/>
        <v>3399.795397607265</v>
      </c>
      <c r="I297" s="356">
        <v>0</v>
      </c>
      <c r="J297" s="356">
        <v>0</v>
      </c>
      <c r="K297" s="356">
        <f t="shared" si="104"/>
        <v>-498.5127630928598</v>
      </c>
      <c r="L297" s="356">
        <f t="shared" si="97"/>
        <v>429253.8692135104</v>
      </c>
      <c r="N297" s="356">
        <f t="shared" si="105"/>
        <v>274</v>
      </c>
      <c r="O297" s="357">
        <f t="shared" si="110"/>
        <v>22</v>
      </c>
      <c r="P297" s="357">
        <f t="shared" si="111"/>
        <v>10</v>
      </c>
      <c r="Q297" s="357">
        <f t="shared" si="112"/>
        <v>22</v>
      </c>
      <c r="R297" s="356">
        <f t="shared" si="106"/>
        <v>6773852.341916334</v>
      </c>
      <c r="S297" s="356">
        <f>IF($G$4="mensual",S288,IF($G$4="trimestral",S288,0))</f>
        <v>10000</v>
      </c>
      <c r="U297" s="356">
        <f t="shared" si="113"/>
        <v>54095.39122338852</v>
      </c>
      <c r="V297" s="359">
        <f t="shared" si="95"/>
        <v>-209.4818618187054</v>
      </c>
      <c r="X297" s="359">
        <f t="shared" si="94"/>
        <v>-7931.776371482368</v>
      </c>
      <c r="Y297" s="356">
        <f t="shared" si="98"/>
        <v>6829806.474906421</v>
      </c>
      <c r="AA297" s="357">
        <f>+Bono!J297</f>
        <v>280673.5178940642</v>
      </c>
      <c r="AC297" s="378">
        <f t="shared" si="99"/>
        <v>22.833333333333332</v>
      </c>
      <c r="AD297" s="356">
        <f t="shared" si="100"/>
        <v>7539733.862013996</v>
      </c>
    </row>
    <row r="298" spans="1:30" x14ac:dyDescent="0.25">
      <c r="A298" s="356">
        <f t="shared" si="101"/>
        <v>22.916666666666668</v>
      </c>
      <c r="B298" s="356">
        <f t="shared" si="102"/>
        <v>275</v>
      </c>
      <c r="C298" s="357">
        <f t="shared" si="107"/>
        <v>22</v>
      </c>
      <c r="D298" s="357">
        <f t="shared" si="108"/>
        <v>11</v>
      </c>
      <c r="E298" s="357">
        <f t="shared" si="109"/>
        <v>51</v>
      </c>
      <c r="F298" s="356">
        <f t="shared" si="103"/>
        <v>429253.8692135104</v>
      </c>
      <c r="H298" s="356">
        <f t="shared" si="96"/>
        <v>3422.9306327588224</v>
      </c>
      <c r="I298" s="356">
        <v>0</v>
      </c>
      <c r="J298" s="356">
        <v>0</v>
      </c>
      <c r="K298" s="356">
        <f t="shared" si="104"/>
        <v>-501.9050878216723</v>
      </c>
      <c r="L298" s="356">
        <f t="shared" si="97"/>
        <v>432174.8947584476</v>
      </c>
      <c r="N298" s="356">
        <f t="shared" si="105"/>
        <v>275</v>
      </c>
      <c r="O298" s="357">
        <f t="shared" si="110"/>
        <v>22</v>
      </c>
      <c r="P298" s="357">
        <f t="shared" si="111"/>
        <v>11</v>
      </c>
      <c r="Q298" s="357">
        <f t="shared" si="112"/>
        <v>22</v>
      </c>
      <c r="R298" s="356">
        <f t="shared" si="106"/>
        <v>6829806.474906421</v>
      </c>
      <c r="S298" s="356">
        <f>IF($G$17="si",S286*(1+$G$20),S286)</f>
        <v>10000</v>
      </c>
      <c r="U298" s="356">
        <f t="shared" si="113"/>
        <v>54541.57733742904</v>
      </c>
      <c r="V298" s="359">
        <f t="shared" si="95"/>
        <v>-209.4818618187054</v>
      </c>
      <c r="X298" s="359">
        <f t="shared" si="94"/>
        <v>-7997.200741643156</v>
      </c>
      <c r="Y298" s="356">
        <f t="shared" si="98"/>
        <v>6886141.3696403885</v>
      </c>
      <c r="AA298" s="357">
        <f>+Bono!J298</f>
        <v>282413.72626112035</v>
      </c>
      <c r="AC298" s="378">
        <f t="shared" si="99"/>
        <v>22.916666666666668</v>
      </c>
      <c r="AD298" s="356">
        <f t="shared" si="100"/>
        <v>7600729.990659957</v>
      </c>
    </row>
    <row r="299" spans="1:30" x14ac:dyDescent="0.25">
      <c r="A299" s="356">
        <f t="shared" si="101"/>
        <v>23</v>
      </c>
      <c r="B299" s="356">
        <f t="shared" si="102"/>
        <v>276</v>
      </c>
      <c r="C299" s="357">
        <f t="shared" si="107"/>
        <v>22</v>
      </c>
      <c r="D299" s="357">
        <f t="shared" si="108"/>
        <v>12</v>
      </c>
      <c r="E299" s="357">
        <f t="shared" si="109"/>
        <v>51</v>
      </c>
      <c r="F299" s="356">
        <f t="shared" si="103"/>
        <v>432174.8947584476</v>
      </c>
      <c r="H299" s="356">
        <f t="shared" si="96"/>
        <v>3446.2233006505667</v>
      </c>
      <c r="I299" s="356">
        <v>0</v>
      </c>
      <c r="J299" s="360">
        <f>-SUM(F299:H299)*$J$21*1.16</f>
        <v>-4547.8844725369845</v>
      </c>
      <c r="K299" s="356">
        <f t="shared" si="104"/>
        <v>-500.0449509604109</v>
      </c>
      <c r="L299" s="356">
        <f t="shared" si="97"/>
        <v>430573.18863560073</v>
      </c>
      <c r="N299" s="356">
        <f t="shared" si="105"/>
        <v>276</v>
      </c>
      <c r="O299" s="357">
        <f t="shared" si="110"/>
        <v>22</v>
      </c>
      <c r="P299" s="357">
        <f t="shared" si="111"/>
        <v>12</v>
      </c>
      <c r="Q299" s="357">
        <f t="shared" si="112"/>
        <v>22</v>
      </c>
      <c r="R299" s="356">
        <f t="shared" si="106"/>
        <v>6886141.3696403885</v>
      </c>
      <c r="S299" s="356">
        <f>IF($G$4="mensual",S298,0)</f>
        <v>10000</v>
      </c>
      <c r="U299" s="356">
        <f t="shared" si="113"/>
        <v>54990.7996990852</v>
      </c>
      <c r="V299" s="359">
        <f t="shared" si="95"/>
        <v>-209.4818618187054</v>
      </c>
      <c r="X299" s="359">
        <f t="shared" ref="X299:X362" si="114">-SUM(R299:V299)*0.1%*1.16</f>
        <v>-8063.070317474079</v>
      </c>
      <c r="Y299" s="356">
        <f t="shared" si="98"/>
        <v>6942859.617160181</v>
      </c>
      <c r="AA299" s="357">
        <f>+Bono!J299</f>
        <v>281604.6815622472</v>
      </c>
      <c r="AC299" s="378">
        <f t="shared" si="99"/>
        <v>23</v>
      </c>
      <c r="AD299" s="356">
        <f t="shared" si="100"/>
        <v>7655037.487358028</v>
      </c>
    </row>
    <row r="300" spans="1:30" x14ac:dyDescent="0.25">
      <c r="A300" s="356">
        <f t="shared" si="101"/>
        <v>23.083333333333332</v>
      </c>
      <c r="B300" s="356">
        <f t="shared" si="102"/>
        <v>277</v>
      </c>
      <c r="C300" s="357">
        <f t="shared" si="107"/>
        <v>23</v>
      </c>
      <c r="D300" s="357">
        <f t="shared" si="108"/>
        <v>1</v>
      </c>
      <c r="E300" s="357">
        <f t="shared" si="109"/>
        <v>52</v>
      </c>
      <c r="F300" s="356">
        <f t="shared" si="103"/>
        <v>430573.18863560073</v>
      </c>
      <c r="H300" s="356">
        <f t="shared" si="96"/>
        <v>3433.451071101151</v>
      </c>
      <c r="I300" s="356">
        <v>0</v>
      </c>
      <c r="J300" s="356">
        <v>0</v>
      </c>
      <c r="K300" s="356">
        <f t="shared" si="104"/>
        <v>-503.44770205977414</v>
      </c>
      <c r="L300" s="356">
        <f t="shared" si="97"/>
        <v>433503.1920046421</v>
      </c>
      <c r="N300" s="356">
        <f t="shared" si="105"/>
        <v>277</v>
      </c>
      <c r="O300" s="357">
        <f t="shared" si="110"/>
        <v>23</v>
      </c>
      <c r="P300" s="357">
        <f t="shared" si="111"/>
        <v>1</v>
      </c>
      <c r="Q300" s="357">
        <f t="shared" si="112"/>
        <v>23</v>
      </c>
      <c r="R300" s="356">
        <f t="shared" si="106"/>
        <v>6942859.617160181</v>
      </c>
      <c r="S300" s="356">
        <f>IF($G$17="si",S288*(1+$G$20),S288)</f>
        <v>10000</v>
      </c>
      <c r="U300" s="356">
        <f t="shared" si="113"/>
        <v>55443.07896968935</v>
      </c>
      <c r="V300" s="359">
        <f>V299*(1+$G$18)</f>
        <v>-217.86113629145362</v>
      </c>
      <c r="X300" s="359">
        <f t="shared" si="114"/>
        <v>-8129.378408592551</v>
      </c>
      <c r="Y300" s="356">
        <f t="shared" si="98"/>
        <v>6999955.456584986</v>
      </c>
      <c r="AA300" s="357">
        <f>+Bono!J300</f>
        <v>283350.6632520545</v>
      </c>
      <c r="AC300" s="378">
        <f t="shared" si="99"/>
        <v>23.083333333333332</v>
      </c>
      <c r="AD300" s="356">
        <f t="shared" si="100"/>
        <v>7716809.311841683</v>
      </c>
    </row>
    <row r="301" spans="1:30" x14ac:dyDescent="0.25">
      <c r="A301" s="356">
        <f t="shared" si="101"/>
        <v>23.166666666666668</v>
      </c>
      <c r="B301" s="356">
        <f t="shared" si="102"/>
        <v>278</v>
      </c>
      <c r="C301" s="357">
        <f t="shared" si="107"/>
        <v>23</v>
      </c>
      <c r="D301" s="357">
        <f t="shared" si="108"/>
        <v>2</v>
      </c>
      <c r="E301" s="357">
        <f t="shared" si="109"/>
        <v>52</v>
      </c>
      <c r="F301" s="356">
        <f t="shared" si="103"/>
        <v>433503.1920046421</v>
      </c>
      <c r="H301" s="356">
        <f t="shared" si="96"/>
        <v>3456.815329423048</v>
      </c>
      <c r="I301" s="356">
        <v>0</v>
      </c>
      <c r="J301" s="356">
        <v>0</v>
      </c>
      <c r="K301" s="356">
        <f t="shared" si="104"/>
        <v>-506.87360850751554</v>
      </c>
      <c r="L301" s="356">
        <f t="shared" si="97"/>
        <v>436453.13372555765</v>
      </c>
      <c r="N301" s="356">
        <f t="shared" si="105"/>
        <v>278</v>
      </c>
      <c r="O301" s="357">
        <f t="shared" si="110"/>
        <v>23</v>
      </c>
      <c r="P301" s="357">
        <f t="shared" si="111"/>
        <v>2</v>
      </c>
      <c r="Q301" s="357">
        <f t="shared" si="112"/>
        <v>23</v>
      </c>
      <c r="R301" s="356">
        <f t="shared" si="106"/>
        <v>6999955.456584986</v>
      </c>
      <c r="S301" s="356">
        <f>IF($G$4="mensual",S300,0)</f>
        <v>10000</v>
      </c>
      <c r="U301" s="356">
        <f t="shared" si="113"/>
        <v>55898.36921116889</v>
      </c>
      <c r="V301" s="359">
        <f t="shared" si="95"/>
        <v>-217.86113629145362</v>
      </c>
      <c r="X301" s="359">
        <f t="shared" si="114"/>
        <v>-8196.13771900544</v>
      </c>
      <c r="Y301" s="356">
        <f t="shared" si="98"/>
        <v>7057439.826940859</v>
      </c>
      <c r="AA301" s="357">
        <f>+Bono!J301</f>
        <v>285107.4702308599</v>
      </c>
      <c r="AC301" s="378">
        <f t="shared" si="99"/>
        <v>23.166666666666668</v>
      </c>
      <c r="AD301" s="356">
        <f t="shared" si="100"/>
        <v>7779000.430897276</v>
      </c>
    </row>
    <row r="302" spans="1:30" x14ac:dyDescent="0.25">
      <c r="A302" s="356">
        <f t="shared" si="101"/>
        <v>23.25</v>
      </c>
      <c r="B302" s="356">
        <f t="shared" si="102"/>
        <v>279</v>
      </c>
      <c r="C302" s="357">
        <f t="shared" si="107"/>
        <v>23</v>
      </c>
      <c r="D302" s="357">
        <f t="shared" si="108"/>
        <v>3</v>
      </c>
      <c r="E302" s="357">
        <f t="shared" si="109"/>
        <v>52</v>
      </c>
      <c r="F302" s="356">
        <f t="shared" si="103"/>
        <v>436453.13372555765</v>
      </c>
      <c r="H302" s="356">
        <f t="shared" si="96"/>
        <v>3480.3385789627105</v>
      </c>
      <c r="I302" s="356">
        <v>0</v>
      </c>
      <c r="J302" s="360">
        <f>-SUM(F302:H302)*$J$21*1.16</f>
        <v>-4592.905450859193</v>
      </c>
      <c r="K302" s="356">
        <f t="shared" si="104"/>
        <v>-504.995057550247</v>
      </c>
      <c r="L302" s="356">
        <f t="shared" si="97"/>
        <v>434835.57179611095</v>
      </c>
      <c r="N302" s="356">
        <f t="shared" si="105"/>
        <v>279</v>
      </c>
      <c r="O302" s="357">
        <f t="shared" si="110"/>
        <v>23</v>
      </c>
      <c r="P302" s="357">
        <f t="shared" si="111"/>
        <v>3</v>
      </c>
      <c r="Q302" s="357">
        <f t="shared" si="112"/>
        <v>23</v>
      </c>
      <c r="R302" s="356">
        <f t="shared" si="106"/>
        <v>7057439.826940859</v>
      </c>
      <c r="S302" s="356">
        <f>IF($G$4="mensual",S301,0)</f>
        <v>10000</v>
      </c>
      <c r="U302" s="356">
        <f t="shared" si="113"/>
        <v>56356.757652853725</v>
      </c>
      <c r="V302" s="359">
        <f t="shared" si="95"/>
        <v>-217.86113629145362</v>
      </c>
      <c r="X302" s="359">
        <f t="shared" si="114"/>
        <v>-8263.351319210607</v>
      </c>
      <c r="Y302" s="356">
        <f t="shared" si="98"/>
        <v>7115315.372138211</v>
      </c>
      <c r="AA302" s="357">
        <f>+Bono!J302</f>
        <v>284290.70862917294</v>
      </c>
      <c r="AC302" s="378">
        <f t="shared" si="99"/>
        <v>23.25</v>
      </c>
      <c r="AD302" s="356">
        <f t="shared" si="100"/>
        <v>7834441.652563495</v>
      </c>
    </row>
    <row r="303" spans="1:30" x14ac:dyDescent="0.25">
      <c r="A303" s="356">
        <f t="shared" si="101"/>
        <v>23.333333333333332</v>
      </c>
      <c r="B303" s="356">
        <f t="shared" si="102"/>
        <v>280</v>
      </c>
      <c r="C303" s="357">
        <f t="shared" si="107"/>
        <v>23</v>
      </c>
      <c r="D303" s="357">
        <f t="shared" si="108"/>
        <v>4</v>
      </c>
      <c r="E303" s="357">
        <f t="shared" si="109"/>
        <v>52</v>
      </c>
      <c r="F303" s="356">
        <f t="shared" si="103"/>
        <v>434835.57179611095</v>
      </c>
      <c r="H303" s="356">
        <f t="shared" si="96"/>
        <v>3467.439912984854</v>
      </c>
      <c r="I303" s="356">
        <v>0</v>
      </c>
      <c r="J303" s="356">
        <v>0</v>
      </c>
      <c r="K303" s="356">
        <f t="shared" si="104"/>
        <v>-508.4314935825511</v>
      </c>
      <c r="L303" s="356">
        <f t="shared" si="97"/>
        <v>437794.58021551324</v>
      </c>
      <c r="N303" s="356">
        <f t="shared" si="105"/>
        <v>280</v>
      </c>
      <c r="O303" s="357">
        <f t="shared" si="110"/>
        <v>23</v>
      </c>
      <c r="P303" s="357">
        <f t="shared" si="111"/>
        <v>4</v>
      </c>
      <c r="Q303" s="357">
        <f t="shared" si="112"/>
        <v>23</v>
      </c>
      <c r="R303" s="356">
        <f t="shared" si="106"/>
        <v>7115315.372138211</v>
      </c>
      <c r="S303" s="356">
        <f>IF($G$4="mensual",S300,IF($G$4="trimestral",S300,0))</f>
        <v>10000</v>
      </c>
      <c r="U303" s="356">
        <f t="shared" si="113"/>
        <v>56818.265377656775</v>
      </c>
      <c r="V303" s="359">
        <f t="shared" si="95"/>
        <v>-217.86113629145362</v>
      </c>
      <c r="X303" s="359">
        <f t="shared" si="114"/>
        <v>-8331.022300600309</v>
      </c>
      <c r="Y303" s="356">
        <f t="shared" si="98"/>
        <v>7173584.754078976</v>
      </c>
      <c r="AA303" s="357">
        <f>+Bono!J303</f>
        <v>286053.343998355</v>
      </c>
      <c r="AC303" s="378">
        <f t="shared" si="99"/>
        <v>23.333333333333332</v>
      </c>
      <c r="AD303" s="356">
        <f t="shared" si="100"/>
        <v>7897432.678292844</v>
      </c>
    </row>
    <row r="304" spans="1:30" x14ac:dyDescent="0.25">
      <c r="A304" s="356">
        <f t="shared" si="101"/>
        <v>23.416666666666668</v>
      </c>
      <c r="B304" s="356">
        <f t="shared" si="102"/>
        <v>281</v>
      </c>
      <c r="C304" s="357">
        <f t="shared" si="107"/>
        <v>23</v>
      </c>
      <c r="D304" s="357">
        <f t="shared" si="108"/>
        <v>5</v>
      </c>
      <c r="E304" s="357">
        <f t="shared" si="109"/>
        <v>52</v>
      </c>
      <c r="F304" s="356">
        <f t="shared" si="103"/>
        <v>437794.58021551324</v>
      </c>
      <c r="H304" s="356">
        <f t="shared" si="96"/>
        <v>3491.035461651476</v>
      </c>
      <c r="I304" s="356">
        <v>0</v>
      </c>
      <c r="J304" s="356">
        <v>0</v>
      </c>
      <c r="K304" s="356">
        <f t="shared" si="104"/>
        <v>-511.891314185511</v>
      </c>
      <c r="L304" s="356">
        <f t="shared" si="97"/>
        <v>440773.7243629792</v>
      </c>
      <c r="N304" s="356">
        <f t="shared" si="105"/>
        <v>281</v>
      </c>
      <c r="O304" s="357">
        <f t="shared" si="110"/>
        <v>23</v>
      </c>
      <c r="P304" s="357">
        <f t="shared" si="111"/>
        <v>5</v>
      </c>
      <c r="Q304" s="357">
        <f t="shared" si="112"/>
        <v>23</v>
      </c>
      <c r="R304" s="356">
        <f t="shared" si="106"/>
        <v>7173584.754078976</v>
      </c>
      <c r="S304" s="356">
        <f>IF($G$4="mensual",S303,0)</f>
        <v>10000</v>
      </c>
      <c r="U304" s="356">
        <f t="shared" si="113"/>
        <v>57282.91361195787</v>
      </c>
      <c r="V304" s="359">
        <f t="shared" si="95"/>
        <v>-217.86113629145362</v>
      </c>
      <c r="X304" s="359">
        <f t="shared" si="114"/>
        <v>-8399.153775603385</v>
      </c>
      <c r="Y304" s="356">
        <f t="shared" si="98"/>
        <v>7232250.652779039</v>
      </c>
      <c r="AA304" s="357">
        <f>+Bono!J304</f>
        <v>287826.907911279</v>
      </c>
      <c r="AC304" s="378">
        <f t="shared" si="99"/>
        <v>23.416666666666668</v>
      </c>
      <c r="AD304" s="356">
        <f t="shared" si="100"/>
        <v>7960851.285053298</v>
      </c>
    </row>
    <row r="305" spans="1:30" x14ac:dyDescent="0.25">
      <c r="A305" s="356">
        <f t="shared" si="101"/>
        <v>23.5</v>
      </c>
      <c r="B305" s="356">
        <f t="shared" si="102"/>
        <v>282</v>
      </c>
      <c r="C305" s="357">
        <f t="shared" si="107"/>
        <v>23</v>
      </c>
      <c r="D305" s="357">
        <f t="shared" si="108"/>
        <v>6</v>
      </c>
      <c r="E305" s="357">
        <f t="shared" si="109"/>
        <v>52</v>
      </c>
      <c r="F305" s="356">
        <f t="shared" si="103"/>
        <v>440773.7243629792</v>
      </c>
      <c r="H305" s="356">
        <f t="shared" si="96"/>
        <v>3514.7915754413166</v>
      </c>
      <c r="I305" s="356">
        <v>0</v>
      </c>
      <c r="J305" s="360">
        <f>-SUM(F305:H305)*$J$21*1.16</f>
        <v>-4638.372106397111</v>
      </c>
      <c r="K305" s="356">
        <f t="shared" si="104"/>
        <v>-509.9941668451471</v>
      </c>
      <c r="L305" s="356">
        <f t="shared" si="97"/>
        <v>439140.1496651782</v>
      </c>
      <c r="N305" s="356">
        <f t="shared" si="105"/>
        <v>282</v>
      </c>
      <c r="O305" s="357">
        <f t="shared" si="110"/>
        <v>23</v>
      </c>
      <c r="P305" s="357">
        <f t="shared" si="111"/>
        <v>6</v>
      </c>
      <c r="Q305" s="357">
        <f t="shared" si="112"/>
        <v>23</v>
      </c>
      <c r="R305" s="356">
        <f t="shared" si="106"/>
        <v>7232250.652779039</v>
      </c>
      <c r="S305" s="356">
        <f>IF($G$4="mensual",S304,0)</f>
        <v>10000</v>
      </c>
      <c r="U305" s="356">
        <f t="shared" si="113"/>
        <v>57750.723726580014</v>
      </c>
      <c r="V305" s="359">
        <f t="shared" si="95"/>
        <v>-217.86113629145362</v>
      </c>
      <c r="X305" s="359">
        <f t="shared" si="114"/>
        <v>-8467.748877828419</v>
      </c>
      <c r="Y305" s="356">
        <f t="shared" si="98"/>
        <v>7291315.7664915</v>
      </c>
      <c r="AA305" s="357">
        <f>+Bono!J305</f>
        <v>287002.3558007227</v>
      </c>
      <c r="AC305" s="378">
        <f t="shared" si="99"/>
        <v>23.5</v>
      </c>
      <c r="AD305" s="356">
        <f t="shared" si="100"/>
        <v>8017458.2719574</v>
      </c>
    </row>
    <row r="306" spans="1:30" x14ac:dyDescent="0.25">
      <c r="A306" s="356">
        <f t="shared" si="101"/>
        <v>23.583333333333332</v>
      </c>
      <c r="B306" s="356">
        <f t="shared" si="102"/>
        <v>283</v>
      </c>
      <c r="C306" s="357">
        <f t="shared" si="107"/>
        <v>23</v>
      </c>
      <c r="D306" s="357">
        <f t="shared" si="108"/>
        <v>7</v>
      </c>
      <c r="E306" s="357">
        <f t="shared" si="109"/>
        <v>52</v>
      </c>
      <c r="F306" s="356">
        <f t="shared" si="103"/>
        <v>439140.1496651782</v>
      </c>
      <c r="H306" s="356">
        <f t="shared" si="96"/>
        <v>3501.765221399947</v>
      </c>
      <c r="I306" s="356">
        <v>0</v>
      </c>
      <c r="J306" s="356">
        <v>0</v>
      </c>
      <c r="K306" s="356">
        <f t="shared" si="104"/>
        <v>-513.4646212684306</v>
      </c>
      <c r="L306" s="356">
        <f t="shared" si="97"/>
        <v>442128.4502653097</v>
      </c>
      <c r="N306" s="356">
        <f t="shared" si="105"/>
        <v>283</v>
      </c>
      <c r="O306" s="357">
        <f t="shared" si="110"/>
        <v>23</v>
      </c>
      <c r="P306" s="357">
        <f t="shared" si="111"/>
        <v>7</v>
      </c>
      <c r="Q306" s="357">
        <f t="shared" si="112"/>
        <v>23</v>
      </c>
      <c r="R306" s="356">
        <f t="shared" si="106"/>
        <v>7291315.7664915</v>
      </c>
      <c r="S306" s="356">
        <f>+IF($G$4="mensual",S300,IF($G$4="trimestral",S300,IF($G$4="semestral",S300,0)))</f>
        <v>10000</v>
      </c>
      <c r="U306" s="356">
        <f t="shared" si="113"/>
        <v>58221.71723777235</v>
      </c>
      <c r="V306" s="359">
        <f t="shared" si="95"/>
        <v>-217.86113629145362</v>
      </c>
      <c r="X306" s="359">
        <f t="shared" si="114"/>
        <v>-8536.810762207859</v>
      </c>
      <c r="Y306" s="356">
        <f t="shared" si="98"/>
        <v>7350782.811830773</v>
      </c>
      <c r="AA306" s="357">
        <f>+Bono!J306</f>
        <v>288781.80369689997</v>
      </c>
      <c r="AC306" s="378">
        <f t="shared" si="99"/>
        <v>23.583333333333332</v>
      </c>
      <c r="AD306" s="356">
        <f t="shared" si="100"/>
        <v>8081693.0657929825</v>
      </c>
    </row>
    <row r="307" spans="1:30" x14ac:dyDescent="0.25">
      <c r="A307" s="356">
        <f t="shared" si="101"/>
        <v>23.666666666666668</v>
      </c>
      <c r="B307" s="356">
        <f t="shared" si="102"/>
        <v>284</v>
      </c>
      <c r="C307" s="357">
        <f t="shared" si="107"/>
        <v>23</v>
      </c>
      <c r="D307" s="357">
        <f t="shared" si="108"/>
        <v>8</v>
      </c>
      <c r="E307" s="357">
        <f t="shared" si="109"/>
        <v>52</v>
      </c>
      <c r="F307" s="356">
        <f t="shared" si="103"/>
        <v>442128.4502653097</v>
      </c>
      <c r="H307" s="356">
        <f t="shared" si="96"/>
        <v>3525.5943500291733</v>
      </c>
      <c r="I307" s="356">
        <v>0</v>
      </c>
      <c r="J307" s="356">
        <v>0</v>
      </c>
      <c r="K307" s="356">
        <f t="shared" si="104"/>
        <v>-516.9586917537931</v>
      </c>
      <c r="L307" s="356">
        <f t="shared" si="97"/>
        <v>445137.0859235851</v>
      </c>
      <c r="N307" s="356">
        <f t="shared" si="105"/>
        <v>284</v>
      </c>
      <c r="O307" s="357">
        <f t="shared" si="110"/>
        <v>23</v>
      </c>
      <c r="P307" s="357">
        <f t="shared" si="111"/>
        <v>8</v>
      </c>
      <c r="Q307" s="357">
        <f t="shared" si="112"/>
        <v>23</v>
      </c>
      <c r="R307" s="356">
        <f t="shared" si="106"/>
        <v>7350782.811830773</v>
      </c>
      <c r="S307" s="356">
        <f>IF($G$4="mensual",S306,0)</f>
        <v>10000</v>
      </c>
      <c r="U307" s="356">
        <f t="shared" si="113"/>
        <v>58695.915808199694</v>
      </c>
      <c r="V307" s="359">
        <f t="shared" si="95"/>
        <v>-217.86113629145362</v>
      </c>
      <c r="X307" s="359">
        <f t="shared" si="114"/>
        <v>-8606.34260514311</v>
      </c>
      <c r="Y307" s="356">
        <f t="shared" si="98"/>
        <v>7410654.523897539</v>
      </c>
      <c r="AA307" s="357">
        <f>+Bono!J307</f>
        <v>290572.28437643667</v>
      </c>
      <c r="AC307" s="378">
        <f t="shared" si="99"/>
        <v>23.666666666666668</v>
      </c>
      <c r="AD307" s="356">
        <f t="shared" si="100"/>
        <v>8146363.894197561</v>
      </c>
    </row>
    <row r="308" spans="1:30" x14ac:dyDescent="0.25">
      <c r="A308" s="356">
        <f t="shared" si="101"/>
        <v>23.75</v>
      </c>
      <c r="B308" s="356">
        <f t="shared" si="102"/>
        <v>285</v>
      </c>
      <c r="C308" s="357">
        <f t="shared" si="107"/>
        <v>23</v>
      </c>
      <c r="D308" s="357">
        <f t="shared" si="108"/>
        <v>9</v>
      </c>
      <c r="E308" s="357">
        <f t="shared" si="109"/>
        <v>52</v>
      </c>
      <c r="F308" s="356">
        <f t="shared" si="103"/>
        <v>445137.0859235851</v>
      </c>
      <c r="H308" s="356">
        <f t="shared" si="96"/>
        <v>3549.5856332676685</v>
      </c>
      <c r="I308" s="356">
        <v>0</v>
      </c>
      <c r="J308" s="360">
        <f>-SUM(F308:H308)*$J$21*1.16</f>
        <v>-4684.288851053543</v>
      </c>
      <c r="K308" s="356">
        <f t="shared" si="104"/>
        <v>-515.042763938727</v>
      </c>
      <c r="L308" s="356">
        <f t="shared" si="97"/>
        <v>443487.33994186047</v>
      </c>
      <c r="N308" s="356">
        <f t="shared" si="105"/>
        <v>285</v>
      </c>
      <c r="O308" s="357">
        <f t="shared" si="110"/>
        <v>23</v>
      </c>
      <c r="P308" s="357">
        <f t="shared" si="111"/>
        <v>9</v>
      </c>
      <c r="Q308" s="357">
        <f t="shared" si="112"/>
        <v>23</v>
      </c>
      <c r="R308" s="356">
        <f t="shared" si="106"/>
        <v>7410654.523897539</v>
      </c>
      <c r="S308" s="356">
        <f>IF($G$4="mensual",S307,0)</f>
        <v>10000</v>
      </c>
      <c r="U308" s="356">
        <f t="shared" si="113"/>
        <v>59173.34124793898</v>
      </c>
      <c r="V308" s="359">
        <f t="shared" si="95"/>
        <v>-217.86113629145362</v>
      </c>
      <c r="X308" s="359">
        <f t="shared" si="114"/>
        <v>-8676.347604650655</v>
      </c>
      <c r="Y308" s="356">
        <f t="shared" si="98"/>
        <v>7470933.656404535</v>
      </c>
      <c r="AA308" s="357">
        <f>+Bono!J308</f>
        <v>289739.8674488796</v>
      </c>
      <c r="AC308" s="378">
        <f t="shared" si="99"/>
        <v>23.75</v>
      </c>
      <c r="AD308" s="356">
        <f t="shared" si="100"/>
        <v>8204160.863795275</v>
      </c>
    </row>
    <row r="309" spans="1:30" x14ac:dyDescent="0.25">
      <c r="A309" s="356">
        <f t="shared" si="101"/>
        <v>23.833333333333332</v>
      </c>
      <c r="B309" s="356">
        <f t="shared" si="102"/>
        <v>286</v>
      </c>
      <c r="C309" s="357">
        <f t="shared" si="107"/>
        <v>23</v>
      </c>
      <c r="D309" s="357">
        <f t="shared" si="108"/>
        <v>10</v>
      </c>
      <c r="E309" s="357">
        <f t="shared" si="109"/>
        <v>52</v>
      </c>
      <c r="F309" s="356">
        <f t="shared" si="103"/>
        <v>443487.33994186047</v>
      </c>
      <c r="H309" s="356">
        <f t="shared" si="96"/>
        <v>3536.430327137377</v>
      </c>
      <c r="I309" s="356">
        <v>0</v>
      </c>
      <c r="J309" s="356">
        <v>0</v>
      </c>
      <c r="K309" s="356">
        <f t="shared" si="104"/>
        <v>-518.5475735120375</v>
      </c>
      <c r="L309" s="356">
        <f t="shared" si="97"/>
        <v>446505.2226954858</v>
      </c>
      <c r="N309" s="356">
        <f t="shared" si="105"/>
        <v>286</v>
      </c>
      <c r="O309" s="357">
        <f t="shared" si="110"/>
        <v>23</v>
      </c>
      <c r="P309" s="357">
        <f t="shared" si="111"/>
        <v>10</v>
      </c>
      <c r="Q309" s="357">
        <f t="shared" si="112"/>
        <v>23</v>
      </c>
      <c r="R309" s="356">
        <f t="shared" si="106"/>
        <v>7470933.656404535</v>
      </c>
      <c r="S309" s="356">
        <f>IF($G$4="mensual",S300,IF($G$4="trimestral",S300,0))</f>
        <v>10000</v>
      </c>
      <c r="U309" s="356">
        <f t="shared" si="113"/>
        <v>59654.015515482264</v>
      </c>
      <c r="V309" s="359">
        <f t="shared" si="95"/>
        <v>-217.86113629145362</v>
      </c>
      <c r="X309" s="359">
        <f t="shared" si="114"/>
        <v>-8746.828980509123</v>
      </c>
      <c r="Y309" s="356">
        <f t="shared" si="98"/>
        <v>7531622.981803217</v>
      </c>
      <c r="AA309" s="357">
        <f>+Bono!J309</f>
        <v>291536.2882348071</v>
      </c>
      <c r="AC309" s="378">
        <f t="shared" si="99"/>
        <v>23.833333333333332</v>
      </c>
      <c r="AD309" s="356">
        <f t="shared" si="100"/>
        <v>8269664.492733509</v>
      </c>
    </row>
    <row r="310" spans="1:30" x14ac:dyDescent="0.25">
      <c r="A310" s="356">
        <f t="shared" si="101"/>
        <v>23.916666666666668</v>
      </c>
      <c r="B310" s="356">
        <f t="shared" si="102"/>
        <v>287</v>
      </c>
      <c r="C310" s="357">
        <f t="shared" si="107"/>
        <v>23</v>
      </c>
      <c r="D310" s="357">
        <f t="shared" si="108"/>
        <v>11</v>
      </c>
      <c r="E310" s="357">
        <f t="shared" si="109"/>
        <v>52</v>
      </c>
      <c r="F310" s="356">
        <f t="shared" si="103"/>
        <v>446505.2226954858</v>
      </c>
      <c r="H310" s="356">
        <f t="shared" si="96"/>
        <v>3560.495348012752</v>
      </c>
      <c r="I310" s="356">
        <v>0</v>
      </c>
      <c r="J310" s="356">
        <v>0</v>
      </c>
      <c r="K310" s="356">
        <f t="shared" si="104"/>
        <v>-522.0762329304583</v>
      </c>
      <c r="L310" s="356">
        <f t="shared" si="97"/>
        <v>449543.6418105681</v>
      </c>
      <c r="N310" s="356">
        <f t="shared" si="105"/>
        <v>287</v>
      </c>
      <c r="O310" s="357">
        <f t="shared" si="110"/>
        <v>23</v>
      </c>
      <c r="P310" s="357">
        <f t="shared" si="111"/>
        <v>11</v>
      </c>
      <c r="Q310" s="357">
        <f t="shared" si="112"/>
        <v>23</v>
      </c>
      <c r="R310" s="356">
        <f t="shared" si="106"/>
        <v>7531622.981803217</v>
      </c>
      <c r="S310" s="356">
        <f>IF($G$17="si",S298*(1+$G$20),S298)</f>
        <v>10000</v>
      </c>
      <c r="U310" s="356">
        <f t="shared" si="113"/>
        <v>60137.96071874679</v>
      </c>
      <c r="V310" s="359">
        <f t="shared" si="95"/>
        <v>-217.86113629145362</v>
      </c>
      <c r="X310" s="359">
        <f t="shared" si="114"/>
        <v>-8817.78997440738</v>
      </c>
      <c r="Y310" s="356">
        <f t="shared" si="98"/>
        <v>7592725.291411266</v>
      </c>
      <c r="AA310" s="357">
        <f>+Bono!J310</f>
        <v>293343.8470379793</v>
      </c>
      <c r="AC310" s="378">
        <f t="shared" si="99"/>
        <v>23.916666666666668</v>
      </c>
      <c r="AD310" s="356">
        <f t="shared" si="100"/>
        <v>8335612.780259813</v>
      </c>
    </row>
    <row r="311" spans="1:30" x14ac:dyDescent="0.25">
      <c r="A311" s="356">
        <f t="shared" si="101"/>
        <v>24</v>
      </c>
      <c r="B311" s="356">
        <f t="shared" si="102"/>
        <v>288</v>
      </c>
      <c r="C311" s="357">
        <f t="shared" si="107"/>
        <v>23</v>
      </c>
      <c r="D311" s="357">
        <f t="shared" si="108"/>
        <v>12</v>
      </c>
      <c r="E311" s="357">
        <f t="shared" si="109"/>
        <v>52</v>
      </c>
      <c r="F311" s="356">
        <f t="shared" si="103"/>
        <v>449543.6418105681</v>
      </c>
      <c r="H311" s="356">
        <f t="shared" si="96"/>
        <v>3584.7241287182837</v>
      </c>
      <c r="I311" s="356">
        <v>0</v>
      </c>
      <c r="J311" s="360">
        <f>-SUM(F311:H311)*$J$21*1.16</f>
        <v>-4730.660140406149</v>
      </c>
      <c r="K311" s="356">
        <f t="shared" si="104"/>
        <v>-520.1413387267011</v>
      </c>
      <c r="L311" s="356">
        <f t="shared" si="97"/>
        <v>447877.5644601535</v>
      </c>
      <c r="N311" s="356">
        <f t="shared" si="105"/>
        <v>288</v>
      </c>
      <c r="O311" s="357">
        <f t="shared" si="110"/>
        <v>23</v>
      </c>
      <c r="P311" s="357">
        <f t="shared" si="111"/>
        <v>12</v>
      </c>
      <c r="Q311" s="357">
        <f t="shared" si="112"/>
        <v>23</v>
      </c>
      <c r="R311" s="356">
        <f t="shared" si="106"/>
        <v>7592725.291411266</v>
      </c>
      <c r="S311" s="356">
        <f>IF($G$4="mensual",S310,0)</f>
        <v>10000</v>
      </c>
      <c r="U311" s="356">
        <f t="shared" si="113"/>
        <v>60625.199116091724</v>
      </c>
      <c r="V311" s="359">
        <f t="shared" si="95"/>
        <v>-217.86113629145362</v>
      </c>
      <c r="X311" s="359">
        <f t="shared" si="114"/>
        <v>-8889.233850093637</v>
      </c>
      <c r="Y311" s="356">
        <f t="shared" si="98"/>
        <v>7654243.395540973</v>
      </c>
      <c r="AA311" s="357">
        <f>+Bono!J311</f>
        <v>292503.4902765176</v>
      </c>
      <c r="AC311" s="378">
        <f t="shared" si="99"/>
        <v>24</v>
      </c>
      <c r="AD311" s="356">
        <f t="shared" si="100"/>
        <v>8394624.450277643</v>
      </c>
    </row>
    <row r="312" spans="1:30" x14ac:dyDescent="0.25">
      <c r="A312" s="356">
        <f t="shared" si="101"/>
        <v>24.083333333333332</v>
      </c>
      <c r="B312" s="356">
        <f t="shared" si="102"/>
        <v>289</v>
      </c>
      <c r="C312" s="357">
        <f t="shared" si="107"/>
        <v>24</v>
      </c>
      <c r="D312" s="357">
        <f t="shared" si="108"/>
        <v>1</v>
      </c>
      <c r="E312" s="357">
        <f t="shared" si="109"/>
        <v>53</v>
      </c>
      <c r="F312" s="356">
        <f t="shared" si="103"/>
        <v>447877.5644601535</v>
      </c>
      <c r="H312" s="356">
        <f t="shared" si="96"/>
        <v>3571.438593960662</v>
      </c>
      <c r="I312" s="356">
        <v>0</v>
      </c>
      <c r="J312" s="356">
        <v>0</v>
      </c>
      <c r="K312" s="356">
        <f t="shared" si="104"/>
        <v>-523.6808435427724</v>
      </c>
      <c r="L312" s="356">
        <f t="shared" si="97"/>
        <v>450925.3222105714</v>
      </c>
      <c r="N312" s="356">
        <f t="shared" si="105"/>
        <v>289</v>
      </c>
      <c r="O312" s="357">
        <f t="shared" si="110"/>
        <v>24</v>
      </c>
      <c r="P312" s="357">
        <f t="shared" si="111"/>
        <v>1</v>
      </c>
      <c r="Q312" s="357">
        <f t="shared" si="112"/>
        <v>24</v>
      </c>
      <c r="R312" s="356">
        <f t="shared" si="106"/>
        <v>7654243.395540973</v>
      </c>
      <c r="S312" s="356">
        <f>IF($G$17="si",S300*(1+$G$20),S300)</f>
        <v>10000</v>
      </c>
      <c r="U312" s="356">
        <f t="shared" si="113"/>
        <v>61115.75311734194</v>
      </c>
      <c r="V312" s="359">
        <f>V311*(1+$G$18)</f>
        <v>-226.57558174311177</v>
      </c>
      <c r="X312" s="359">
        <f t="shared" si="114"/>
        <v>-8961.153784768821</v>
      </c>
      <c r="Y312" s="356">
        <f t="shared" si="98"/>
        <v>7716171.419291803</v>
      </c>
      <c r="AA312" s="357">
        <f>+Bono!J312</f>
        <v>294317.04584453686</v>
      </c>
      <c r="AC312" s="378">
        <f t="shared" si="99"/>
        <v>24.083333333333332</v>
      </c>
      <c r="AD312" s="356">
        <f t="shared" si="100"/>
        <v>8461413.78734691</v>
      </c>
    </row>
    <row r="313" spans="1:30" x14ac:dyDescent="0.25">
      <c r="A313" s="356">
        <f t="shared" si="101"/>
        <v>24.166666666666668</v>
      </c>
      <c r="B313" s="356">
        <f t="shared" si="102"/>
        <v>290</v>
      </c>
      <c r="C313" s="357">
        <f t="shared" si="107"/>
        <v>24</v>
      </c>
      <c r="D313" s="357">
        <f t="shared" si="108"/>
        <v>2</v>
      </c>
      <c r="E313" s="357">
        <f t="shared" si="109"/>
        <v>53</v>
      </c>
      <c r="F313" s="356">
        <f t="shared" si="103"/>
        <v>450925.3222105714</v>
      </c>
      <c r="H313" s="356">
        <f t="shared" si="96"/>
        <v>3595.741842255774</v>
      </c>
      <c r="I313" s="356">
        <v>0</v>
      </c>
      <c r="J313" s="356">
        <v>0</v>
      </c>
      <c r="K313" s="356">
        <f t="shared" si="104"/>
        <v>-527.2444343012794</v>
      </c>
      <c r="L313" s="356">
        <f t="shared" si="97"/>
        <v>453993.81961852586</v>
      </c>
      <c r="N313" s="356">
        <f t="shared" si="105"/>
        <v>290</v>
      </c>
      <c r="O313" s="357">
        <f t="shared" si="110"/>
        <v>24</v>
      </c>
      <c r="P313" s="357">
        <f t="shared" si="111"/>
        <v>2</v>
      </c>
      <c r="Q313" s="357">
        <f t="shared" si="112"/>
        <v>24</v>
      </c>
      <c r="R313" s="356">
        <f t="shared" si="106"/>
        <v>7716171.419291803</v>
      </c>
      <c r="S313" s="356">
        <f>IF($G$4="mensual",S312,0)</f>
        <v>10000</v>
      </c>
      <c r="U313" s="356">
        <f t="shared" si="113"/>
        <v>61609.57587521554</v>
      </c>
      <c r="V313" s="359">
        <f t="shared" si="95"/>
        <v>-226.57558174311177</v>
      </c>
      <c r="X313" s="359">
        <f t="shared" si="114"/>
        <v>-9033.563126718918</v>
      </c>
      <c r="Y313" s="356">
        <f t="shared" si="98"/>
        <v>7778520.856458556</v>
      </c>
      <c r="AA313" s="357">
        <f>+Bono!J313</f>
        <v>296141.8456674373</v>
      </c>
      <c r="AC313" s="378">
        <f t="shared" si="99"/>
        <v>24.166666666666668</v>
      </c>
      <c r="AD313" s="356">
        <f t="shared" si="100"/>
        <v>8528656.52174452</v>
      </c>
    </row>
    <row r="314" spans="1:30" x14ac:dyDescent="0.25">
      <c r="A314" s="356">
        <f t="shared" si="101"/>
        <v>24.25</v>
      </c>
      <c r="B314" s="356">
        <f t="shared" si="102"/>
        <v>291</v>
      </c>
      <c r="C314" s="357">
        <f t="shared" si="107"/>
        <v>24</v>
      </c>
      <c r="D314" s="357">
        <f t="shared" si="108"/>
        <v>3</v>
      </c>
      <c r="E314" s="357">
        <f t="shared" si="109"/>
        <v>53</v>
      </c>
      <c r="F314" s="356">
        <f t="shared" si="103"/>
        <v>453993.81961852586</v>
      </c>
      <c r="H314" s="356">
        <f t="shared" si="96"/>
        <v>3620.21047149253</v>
      </c>
      <c r="I314" s="356">
        <v>0</v>
      </c>
      <c r="J314" s="360">
        <f>-SUM(F314:H314)*$J$21*1.16</f>
        <v>-4777.490474139792</v>
      </c>
      <c r="K314" s="356">
        <f t="shared" si="104"/>
        <v>-525.2903859544192</v>
      </c>
      <c r="L314" s="356">
        <f t="shared" si="97"/>
        <v>452311.2492299242</v>
      </c>
      <c r="N314" s="356">
        <f t="shared" si="105"/>
        <v>291</v>
      </c>
      <c r="O314" s="357">
        <f t="shared" si="110"/>
        <v>24</v>
      </c>
      <c r="P314" s="357">
        <f t="shared" si="111"/>
        <v>3</v>
      </c>
      <c r="Q314" s="357">
        <f t="shared" si="112"/>
        <v>24</v>
      </c>
      <c r="R314" s="356">
        <f t="shared" si="106"/>
        <v>7778520.856458556</v>
      </c>
      <c r="S314" s="356">
        <f>IF($G$4="mensual",S313,0)</f>
        <v>10000</v>
      </c>
      <c r="U314" s="356">
        <f t="shared" si="113"/>
        <v>62106.759042846345</v>
      </c>
      <c r="V314" s="359">
        <f t="shared" si="95"/>
        <v>-226.57558174311177</v>
      </c>
      <c r="X314" s="359">
        <f t="shared" si="114"/>
        <v>-9106.465206306804</v>
      </c>
      <c r="Y314" s="356">
        <f t="shared" si="98"/>
        <v>7841294.574713352</v>
      </c>
      <c r="AA314" s="357">
        <f>+Bono!J314</f>
        <v>295293.47333963396</v>
      </c>
      <c r="AC314" s="378">
        <f t="shared" si="99"/>
        <v>24.25</v>
      </c>
      <c r="AD314" s="356">
        <f t="shared" si="100"/>
        <v>8588899.29728291</v>
      </c>
    </row>
    <row r="315" spans="1:30" x14ac:dyDescent="0.25">
      <c r="A315" s="356">
        <f t="shared" si="101"/>
        <v>24.333333333333332</v>
      </c>
      <c r="B315" s="356">
        <f t="shared" si="102"/>
        <v>292</v>
      </c>
      <c r="C315" s="357">
        <f t="shared" si="107"/>
        <v>24</v>
      </c>
      <c r="D315" s="357">
        <f t="shared" si="108"/>
        <v>4</v>
      </c>
      <c r="E315" s="357">
        <f t="shared" si="109"/>
        <v>53</v>
      </c>
      <c r="F315" s="356">
        <f t="shared" si="103"/>
        <v>452311.2492299242</v>
      </c>
      <c r="H315" s="356">
        <f t="shared" si="96"/>
        <v>3606.793418932305</v>
      </c>
      <c r="I315" s="356">
        <v>0</v>
      </c>
      <c r="J315" s="356">
        <v>0</v>
      </c>
      <c r="K315" s="356">
        <f t="shared" si="104"/>
        <v>-528.8649294726735</v>
      </c>
      <c r="L315" s="356">
        <f t="shared" si="97"/>
        <v>455389.1777193838</v>
      </c>
      <c r="N315" s="356">
        <f t="shared" si="105"/>
        <v>292</v>
      </c>
      <c r="O315" s="357">
        <f t="shared" si="110"/>
        <v>24</v>
      </c>
      <c r="P315" s="357">
        <f t="shared" si="111"/>
        <v>4</v>
      </c>
      <c r="Q315" s="357">
        <f t="shared" si="112"/>
        <v>24</v>
      </c>
      <c r="R315" s="356">
        <f t="shared" si="106"/>
        <v>7841294.574713352</v>
      </c>
      <c r="S315" s="356">
        <f>IF($G$4="mensual",S312,IF($G$4="trimestral",S312,0))</f>
        <v>10000</v>
      </c>
      <c r="U315" s="356">
        <f t="shared" si="113"/>
        <v>62607.32548745453</v>
      </c>
      <c r="V315" s="359">
        <f t="shared" si="95"/>
        <v>-226.57558174311177</v>
      </c>
      <c r="X315" s="359">
        <f t="shared" si="114"/>
        <v>-9179.863376558113</v>
      </c>
      <c r="Y315" s="356">
        <f t="shared" si="98"/>
        <v>7904495.461242505</v>
      </c>
      <c r="AA315" s="357">
        <f>+Bono!J315</f>
        <v>297124.3271262626</v>
      </c>
      <c r="AC315" s="378">
        <f t="shared" si="99"/>
        <v>24.333333333333332</v>
      </c>
      <c r="AD315" s="356">
        <f t="shared" si="100"/>
        <v>8657008.966088152</v>
      </c>
    </row>
    <row r="316" spans="1:30" x14ac:dyDescent="0.25">
      <c r="A316" s="356">
        <f t="shared" si="101"/>
        <v>24.416666666666668</v>
      </c>
      <c r="B316" s="356">
        <f t="shared" si="102"/>
        <v>293</v>
      </c>
      <c r="C316" s="357">
        <f t="shared" si="107"/>
        <v>24</v>
      </c>
      <c r="D316" s="357">
        <f t="shared" si="108"/>
        <v>5</v>
      </c>
      <c r="E316" s="357">
        <f t="shared" si="109"/>
        <v>53</v>
      </c>
      <c r="F316" s="356">
        <f t="shared" si="103"/>
        <v>455389.1777193838</v>
      </c>
      <c r="H316" s="356">
        <f t="shared" si="96"/>
        <v>3631.3372529373796</v>
      </c>
      <c r="I316" s="356">
        <v>0</v>
      </c>
      <c r="J316" s="356">
        <v>0</v>
      </c>
      <c r="K316" s="356">
        <f t="shared" si="104"/>
        <v>-532.4637973678925</v>
      </c>
      <c r="L316" s="356">
        <f t="shared" si="97"/>
        <v>458488.0511749533</v>
      </c>
      <c r="N316" s="356">
        <f t="shared" si="105"/>
        <v>293</v>
      </c>
      <c r="O316" s="357">
        <f t="shared" si="110"/>
        <v>24</v>
      </c>
      <c r="P316" s="357">
        <f t="shared" si="111"/>
        <v>5</v>
      </c>
      <c r="Q316" s="357">
        <f t="shared" si="112"/>
        <v>24</v>
      </c>
      <c r="R316" s="356">
        <f t="shared" si="106"/>
        <v>7904495.461242505</v>
      </c>
      <c r="S316" s="356">
        <f>IF($G$4="mensual",S315,0)</f>
        <v>10000</v>
      </c>
      <c r="U316" s="356">
        <f t="shared" si="113"/>
        <v>63111.29823186921</v>
      </c>
      <c r="V316" s="359">
        <f t="shared" si="95"/>
        <v>-226.57558174311177</v>
      </c>
      <c r="X316" s="359">
        <f t="shared" si="114"/>
        <v>-9253.761013315452</v>
      </c>
      <c r="Y316" s="356">
        <f t="shared" si="98"/>
        <v>7968126.422879316</v>
      </c>
      <c r="AA316" s="357">
        <f>+Bono!J316</f>
        <v>298966.53241873416</v>
      </c>
      <c r="AC316" s="378">
        <f t="shared" si="99"/>
        <v>24.416666666666668</v>
      </c>
      <c r="AD316" s="356">
        <f t="shared" si="100"/>
        <v>8725581.006473003</v>
      </c>
    </row>
    <row r="317" spans="1:30" x14ac:dyDescent="0.25">
      <c r="A317" s="356">
        <f t="shared" si="101"/>
        <v>24.5</v>
      </c>
      <c r="B317" s="356">
        <f t="shared" si="102"/>
        <v>294</v>
      </c>
      <c r="C317" s="357">
        <f t="shared" si="107"/>
        <v>24</v>
      </c>
      <c r="D317" s="357">
        <f t="shared" si="108"/>
        <v>6</v>
      </c>
      <c r="E317" s="357">
        <f t="shared" si="109"/>
        <v>53</v>
      </c>
      <c r="F317" s="356">
        <f t="shared" si="103"/>
        <v>458488.0511749533</v>
      </c>
      <c r="H317" s="356">
        <f t="shared" si="96"/>
        <v>3656.0481050434933</v>
      </c>
      <c r="I317" s="356">
        <v>0</v>
      </c>
      <c r="J317" s="360">
        <f>-SUM(F317:H317)*$J$21*1.16</f>
        <v>-4824.784396483166</v>
      </c>
      <c r="K317" s="356">
        <f t="shared" si="104"/>
        <v>-530.4904052648758</v>
      </c>
      <c r="L317" s="356">
        <f t="shared" si="97"/>
        <v>456788.8244782487</v>
      </c>
      <c r="N317" s="356">
        <f t="shared" si="105"/>
        <v>294</v>
      </c>
      <c r="O317" s="357">
        <f t="shared" si="110"/>
        <v>24</v>
      </c>
      <c r="P317" s="357">
        <f t="shared" si="111"/>
        <v>6</v>
      </c>
      <c r="Q317" s="357">
        <f t="shared" si="112"/>
        <v>24</v>
      </c>
      <c r="R317" s="356">
        <f t="shared" si="106"/>
        <v>7968126.422879316</v>
      </c>
      <c r="S317" s="356">
        <f>IF($G$4="mensual",S316,0)</f>
        <v>10000</v>
      </c>
      <c r="U317" s="356">
        <f t="shared" si="113"/>
        <v>63618.70045558732</v>
      </c>
      <c r="V317" s="359">
        <f t="shared" si="95"/>
        <v>-226.57558174311177</v>
      </c>
      <c r="X317" s="359">
        <f t="shared" si="114"/>
        <v>-9328.161515393665</v>
      </c>
      <c r="Y317" s="356">
        <f t="shared" si="98"/>
        <v>8032190.386237767</v>
      </c>
      <c r="AA317" s="357">
        <f>+Bono!J317</f>
        <v>298110.0680697944</v>
      </c>
      <c r="AC317" s="378">
        <f t="shared" si="99"/>
        <v>24.5</v>
      </c>
      <c r="AD317" s="356">
        <f t="shared" si="100"/>
        <v>8787089.27878581</v>
      </c>
    </row>
    <row r="318" spans="1:30" x14ac:dyDescent="0.25">
      <c r="A318" s="356">
        <f t="shared" si="101"/>
        <v>24.583333333333332</v>
      </c>
      <c r="B318" s="356">
        <f t="shared" si="102"/>
        <v>295</v>
      </c>
      <c r="C318" s="357">
        <f t="shared" si="107"/>
        <v>24</v>
      </c>
      <c r="D318" s="357">
        <f t="shared" si="108"/>
        <v>7</v>
      </c>
      <c r="E318" s="357">
        <f t="shared" si="109"/>
        <v>53</v>
      </c>
      <c r="F318" s="356">
        <f t="shared" si="103"/>
        <v>456788.8244782487</v>
      </c>
      <c r="H318" s="356">
        <f t="shared" si="96"/>
        <v>3642.4982327434286</v>
      </c>
      <c r="I318" s="356">
        <v>0</v>
      </c>
      <c r="J318" s="356">
        <v>0</v>
      </c>
      <c r="K318" s="356">
        <f t="shared" si="104"/>
        <v>-534.1003343447509</v>
      </c>
      <c r="L318" s="356">
        <f t="shared" si="97"/>
        <v>459897.2223766474</v>
      </c>
      <c r="N318" s="356">
        <f t="shared" si="105"/>
        <v>295</v>
      </c>
      <c r="O318" s="357">
        <f t="shared" si="110"/>
        <v>24</v>
      </c>
      <c r="P318" s="357">
        <f t="shared" si="111"/>
        <v>7</v>
      </c>
      <c r="Q318" s="357">
        <f t="shared" si="112"/>
        <v>24</v>
      </c>
      <c r="R318" s="356">
        <f t="shared" si="106"/>
        <v>8032190.386237767</v>
      </c>
      <c r="S318" s="356">
        <f>+IF($G$4="mensual",S312,IF($G$4="trimestral",S312,IF($G$4="semestral",S312,0)))</f>
        <v>10000</v>
      </c>
      <c r="U318" s="356">
        <f t="shared" si="113"/>
        <v>64129.555495839755</v>
      </c>
      <c r="V318" s="359">
        <f t="shared" si="95"/>
        <v>-226.57558174311177</v>
      </c>
      <c r="X318" s="359">
        <f t="shared" si="114"/>
        <v>-9403.06830473616</v>
      </c>
      <c r="Y318" s="356">
        <f t="shared" si="98"/>
        <v>8096690.297847127</v>
      </c>
      <c r="AA318" s="357">
        <f>+Bono!J318</f>
        <v>299958.38507045474</v>
      </c>
      <c r="AC318" s="378">
        <f t="shared" si="99"/>
        <v>24.583333333333332</v>
      </c>
      <c r="AD318" s="356">
        <f t="shared" si="100"/>
        <v>8856545.905294228</v>
      </c>
    </row>
    <row r="319" spans="1:30" x14ac:dyDescent="0.25">
      <c r="A319" s="356">
        <f t="shared" si="101"/>
        <v>24.666666666666668</v>
      </c>
      <c r="B319" s="356">
        <f t="shared" si="102"/>
        <v>296</v>
      </c>
      <c r="C319" s="357">
        <f t="shared" si="107"/>
        <v>24</v>
      </c>
      <c r="D319" s="357">
        <f t="shared" si="108"/>
        <v>8</v>
      </c>
      <c r="E319" s="357">
        <f t="shared" si="109"/>
        <v>53</v>
      </c>
      <c r="F319" s="356">
        <f t="shared" si="103"/>
        <v>459897.2223766474</v>
      </c>
      <c r="H319" s="356">
        <f t="shared" si="96"/>
        <v>3667.285034094169</v>
      </c>
      <c r="I319" s="356">
        <v>0</v>
      </c>
      <c r="J319" s="356">
        <v>0</v>
      </c>
      <c r="K319" s="356">
        <f t="shared" si="104"/>
        <v>-537.7348285964603</v>
      </c>
      <c r="L319" s="356">
        <f t="shared" si="97"/>
        <v>463026.7725821451</v>
      </c>
      <c r="N319" s="356">
        <f t="shared" si="105"/>
        <v>296</v>
      </c>
      <c r="O319" s="357">
        <f t="shared" si="110"/>
        <v>24</v>
      </c>
      <c r="P319" s="357">
        <f t="shared" si="111"/>
        <v>8</v>
      </c>
      <c r="Q319" s="357">
        <f t="shared" si="112"/>
        <v>24</v>
      </c>
      <c r="R319" s="356">
        <f t="shared" si="106"/>
        <v>8096690.297847127</v>
      </c>
      <c r="S319" s="356">
        <f>IF($G$4="mensual",S318,0)</f>
        <v>10000</v>
      </c>
      <c r="U319" s="356">
        <f t="shared" si="113"/>
        <v>64643.88684866467</v>
      </c>
      <c r="V319" s="359">
        <f t="shared" si="95"/>
        <v>-226.57558174311177</v>
      </c>
      <c r="X319" s="359">
        <f t="shared" si="114"/>
        <v>-9478.484826572296</v>
      </c>
      <c r="Y319" s="356">
        <f t="shared" si="98"/>
        <v>8161629.124287476</v>
      </c>
      <c r="AA319" s="357">
        <f>+Bono!J319</f>
        <v>301818.1618509107</v>
      </c>
      <c r="AC319" s="378">
        <f t="shared" si="99"/>
        <v>24.666666666666668</v>
      </c>
      <c r="AD319" s="356">
        <f t="shared" si="100"/>
        <v>8926474.058720533</v>
      </c>
    </row>
    <row r="320" spans="1:30" x14ac:dyDescent="0.25">
      <c r="A320" s="356">
        <f t="shared" si="101"/>
        <v>24.75</v>
      </c>
      <c r="B320" s="356">
        <f t="shared" si="102"/>
        <v>297</v>
      </c>
      <c r="C320" s="357">
        <f t="shared" si="107"/>
        <v>24</v>
      </c>
      <c r="D320" s="357">
        <f t="shared" si="108"/>
        <v>9</v>
      </c>
      <c r="E320" s="357">
        <f t="shared" si="109"/>
        <v>53</v>
      </c>
      <c r="F320" s="356">
        <f t="shared" si="103"/>
        <v>463026.7725821451</v>
      </c>
      <c r="H320" s="356">
        <f t="shared" si="96"/>
        <v>3692.2405069121123</v>
      </c>
      <c r="I320" s="356">
        <v>0</v>
      </c>
      <c r="J320" s="360">
        <f>-SUM(F320:H320)*$J$21*1.16</f>
        <v>-4872.546496649758</v>
      </c>
      <c r="K320" s="356">
        <f t="shared" si="104"/>
        <v>-535.7419012471927</v>
      </c>
      <c r="L320" s="356">
        <f t="shared" si="97"/>
        <v>461310.7246911603</v>
      </c>
      <c r="N320" s="356">
        <f t="shared" si="105"/>
        <v>297</v>
      </c>
      <c r="O320" s="357">
        <f t="shared" si="110"/>
        <v>24</v>
      </c>
      <c r="P320" s="357">
        <f t="shared" si="111"/>
        <v>9</v>
      </c>
      <c r="Q320" s="357">
        <f t="shared" si="112"/>
        <v>24</v>
      </c>
      <c r="R320" s="356">
        <f t="shared" si="106"/>
        <v>8161629.124287476</v>
      </c>
      <c r="S320" s="356">
        <f>IF($G$4="mensual",S319,0)</f>
        <v>10000</v>
      </c>
      <c r="U320" s="356">
        <f t="shared" si="113"/>
        <v>65161.71816998823</v>
      </c>
      <c r="V320" s="359">
        <f t="shared" si="95"/>
        <v>-226.57558174311177</v>
      </c>
      <c r="X320" s="359">
        <f t="shared" si="114"/>
        <v>-9554.414549575835</v>
      </c>
      <c r="Y320" s="356">
        <f t="shared" si="98"/>
        <v>8227009.852326144</v>
      </c>
      <c r="AA320" s="357">
        <f>+Bono!J320</f>
        <v>300953.5282967917</v>
      </c>
      <c r="AC320" s="378">
        <f t="shared" si="99"/>
        <v>24.75</v>
      </c>
      <c r="AD320" s="356">
        <f t="shared" si="100"/>
        <v>8989274.105314096</v>
      </c>
    </row>
    <row r="321" spans="1:30" x14ac:dyDescent="0.25">
      <c r="A321" s="356">
        <f t="shared" si="101"/>
        <v>24.833333333333332</v>
      </c>
      <c r="B321" s="356">
        <f t="shared" si="102"/>
        <v>298</v>
      </c>
      <c r="C321" s="357">
        <f t="shared" si="107"/>
        <v>24</v>
      </c>
      <c r="D321" s="357">
        <f t="shared" si="108"/>
        <v>10</v>
      </c>
      <c r="E321" s="357">
        <f t="shared" si="109"/>
        <v>53</v>
      </c>
      <c r="F321" s="356">
        <f t="shared" si="103"/>
        <v>461310.7246911603</v>
      </c>
      <c r="H321" s="356">
        <f t="shared" si="96"/>
        <v>3678.5565000466754</v>
      </c>
      <c r="I321" s="356">
        <v>0</v>
      </c>
      <c r="J321" s="356">
        <v>0</v>
      </c>
      <c r="K321" s="356">
        <f t="shared" si="104"/>
        <v>-539.3875661818</v>
      </c>
      <c r="L321" s="356">
        <f t="shared" si="97"/>
        <v>464449.89362502523</v>
      </c>
      <c r="N321" s="356">
        <f t="shared" si="105"/>
        <v>298</v>
      </c>
      <c r="O321" s="357">
        <f t="shared" si="110"/>
        <v>24</v>
      </c>
      <c r="P321" s="357">
        <f t="shared" si="111"/>
        <v>10</v>
      </c>
      <c r="Q321" s="357">
        <f t="shared" si="112"/>
        <v>24</v>
      </c>
      <c r="R321" s="356">
        <f t="shared" si="106"/>
        <v>8227009.852326144</v>
      </c>
      <c r="S321" s="356">
        <f>IF($G$4="mensual",S312,IF($G$4="trimestral",S312,0))</f>
        <v>10000</v>
      </c>
      <c r="U321" s="356">
        <f t="shared" si="113"/>
        <v>65683.07327671253</v>
      </c>
      <c r="V321" s="359">
        <f>V320</f>
        <v>-226.57558174311177</v>
      </c>
      <c r="X321" s="359">
        <f t="shared" si="114"/>
        <v>-9630.860966024491</v>
      </c>
      <c r="Y321" s="356">
        <f t="shared" si="98"/>
        <v>8292835.489055089</v>
      </c>
      <c r="AA321" s="357">
        <f>+Bono!J321</f>
        <v>302819.47508068045</v>
      </c>
      <c r="AC321" s="378">
        <f t="shared" si="99"/>
        <v>24.833333333333332</v>
      </c>
      <c r="AD321" s="356">
        <f t="shared" si="100"/>
        <v>9060104.857760794</v>
      </c>
    </row>
    <row r="322" spans="1:30" x14ac:dyDescent="0.25">
      <c r="A322" s="356">
        <f t="shared" si="101"/>
        <v>24.916666666666668</v>
      </c>
      <c r="B322" s="356">
        <f t="shared" si="102"/>
        <v>299</v>
      </c>
      <c r="C322" s="357">
        <f t="shared" si="107"/>
        <v>24</v>
      </c>
      <c r="D322" s="357">
        <f t="shared" si="108"/>
        <v>11</v>
      </c>
      <c r="E322" s="357">
        <f t="shared" si="109"/>
        <v>53</v>
      </c>
      <c r="F322" s="356">
        <f t="shared" si="103"/>
        <v>464449.89362502523</v>
      </c>
      <c r="H322" s="356">
        <f t="shared" si="96"/>
        <v>3703.588673955366</v>
      </c>
      <c r="I322" s="356">
        <v>0</v>
      </c>
      <c r="J322" s="356">
        <v>0</v>
      </c>
      <c r="K322" s="356">
        <f t="shared" si="104"/>
        <v>-543.0580394668174</v>
      </c>
      <c r="L322" s="356">
        <f t="shared" si="97"/>
        <v>467610.4242595138</v>
      </c>
      <c r="N322" s="356">
        <f t="shared" si="105"/>
        <v>299</v>
      </c>
      <c r="O322" s="357">
        <f t="shared" si="110"/>
        <v>24</v>
      </c>
      <c r="P322" s="357">
        <f t="shared" si="111"/>
        <v>11</v>
      </c>
      <c r="Q322" s="357">
        <f t="shared" si="112"/>
        <v>24</v>
      </c>
      <c r="R322" s="356">
        <f t="shared" si="106"/>
        <v>8292835.489055089</v>
      </c>
      <c r="S322" s="356">
        <f>IF($G$17="si",S310*(1+$G$20),S310)</f>
        <v>10000</v>
      </c>
      <c r="U322" s="356">
        <f t="shared" si="113"/>
        <v>66207.97614781115</v>
      </c>
      <c r="V322" s="359">
        <f>V321</f>
        <v>-226.57558174311177</v>
      </c>
      <c r="X322" s="359">
        <f t="shared" si="114"/>
        <v>-9707.827591960542</v>
      </c>
      <c r="Y322" s="356">
        <f t="shared" si="98"/>
        <v>8359109.062029196</v>
      </c>
      <c r="AA322" s="357">
        <f>+Bono!J322</f>
        <v>304696.99095106573</v>
      </c>
      <c r="AC322" s="378">
        <f t="shared" si="99"/>
        <v>24.916666666666668</v>
      </c>
      <c r="AD322" s="356">
        <f t="shared" si="100"/>
        <v>9131416.477239775</v>
      </c>
    </row>
    <row r="323" spans="1:30" x14ac:dyDescent="0.25">
      <c r="A323" s="356">
        <f t="shared" si="101"/>
        <v>25</v>
      </c>
      <c r="B323" s="356">
        <f t="shared" si="102"/>
        <v>300</v>
      </c>
      <c r="C323" s="357">
        <f t="shared" si="107"/>
        <v>24</v>
      </c>
      <c r="D323" s="357">
        <f t="shared" si="108"/>
        <v>12</v>
      </c>
      <c r="E323" s="357">
        <f t="shared" si="109"/>
        <v>53</v>
      </c>
      <c r="F323" s="356">
        <f t="shared" si="103"/>
        <v>467610.4242595138</v>
      </c>
      <c r="H323" s="356">
        <f t="shared" si="96"/>
        <v>3728.7911890646305</v>
      </c>
      <c r="I323" s="356">
        <v>0</v>
      </c>
      <c r="J323" s="360">
        <f>-SUM(F323:H323)*$J$21*1.16</f>
        <v>-4920.781409283159</v>
      </c>
      <c r="K323" s="356">
        <f t="shared" si="104"/>
        <v>-541.0453834855825</v>
      </c>
      <c r="L323" s="356">
        <f t="shared" si="97"/>
        <v>465877.3886558097</v>
      </c>
      <c r="N323" s="356">
        <f t="shared" si="105"/>
        <v>300</v>
      </c>
      <c r="O323" s="357">
        <f t="shared" si="110"/>
        <v>24</v>
      </c>
      <c r="P323" s="357">
        <f t="shared" si="111"/>
        <v>12</v>
      </c>
      <c r="Q323" s="357">
        <f t="shared" si="112"/>
        <v>24</v>
      </c>
      <c r="R323" s="356">
        <f t="shared" si="106"/>
        <v>8359109.062029196</v>
      </c>
      <c r="S323" s="356">
        <f>IF($G$4="mensual",S322,0)</f>
        <v>10000</v>
      </c>
      <c r="U323" s="356">
        <f t="shared" si="113"/>
        <v>66736.45092543187</v>
      </c>
      <c r="V323" s="359">
        <f>V322</f>
        <v>-226.57558174311177</v>
      </c>
      <c r="X323" s="359">
        <f t="shared" si="114"/>
        <v>-9785.317967352548</v>
      </c>
      <c r="Y323" s="356">
        <f t="shared" si="98"/>
        <v>8425833.619405532</v>
      </c>
      <c r="AA323" s="357">
        <f>+Bono!J323</f>
        <v>303824.110271521</v>
      </c>
      <c r="AC323" s="378">
        <f t="shared" si="99"/>
        <v>25</v>
      </c>
      <c r="AD323" s="356">
        <f t="shared" si="100"/>
        <v>9195535.118332863</v>
      </c>
    </row>
    <row r="324" spans="1:30" x14ac:dyDescent="0.25">
      <c r="A324" s="356">
        <f t="shared" si="101"/>
        <v>25.083333333333332</v>
      </c>
      <c r="B324" s="356">
        <f t="shared" si="102"/>
        <v>301</v>
      </c>
      <c r="C324" s="357">
        <f t="shared" si="107"/>
        <v>25</v>
      </c>
      <c r="D324" s="357">
        <f t="shared" si="108"/>
        <v>1</v>
      </c>
      <c r="E324" s="357">
        <f t="shared" si="109"/>
        <v>54</v>
      </c>
      <c r="F324" s="356">
        <f t="shared" si="103"/>
        <v>465877.3886558097</v>
      </c>
      <c r="H324" s="356">
        <f t="shared" si="96"/>
        <v>3714.9717197924037</v>
      </c>
      <c r="I324" s="356">
        <v>0</v>
      </c>
      <c r="J324" s="356">
        <v>0</v>
      </c>
      <c r="K324" s="356">
        <f t="shared" si="104"/>
        <v>-544.7271380356984</v>
      </c>
      <c r="L324" s="356">
        <f t="shared" si="97"/>
        <v>469047.6332375664</v>
      </c>
      <c r="N324" s="356">
        <f t="shared" si="105"/>
        <v>301</v>
      </c>
      <c r="O324" s="357">
        <f t="shared" si="110"/>
        <v>25</v>
      </c>
      <c r="P324" s="357">
        <f t="shared" si="111"/>
        <v>1</v>
      </c>
      <c r="Q324" s="357">
        <f t="shared" si="112"/>
        <v>25</v>
      </c>
      <c r="R324" s="356">
        <f t="shared" si="106"/>
        <v>8425833.619405532</v>
      </c>
      <c r="S324" s="356">
        <f>IF($G$17="si",S312*(1+$G$20),S312)</f>
        <v>10000</v>
      </c>
      <c r="U324" s="356">
        <f t="shared" si="113"/>
        <v>67268.52191600723</v>
      </c>
      <c r="V324" s="359">
        <f>V323*(1+$G$18)</f>
        <v>-235.63860501283625</v>
      </c>
      <c r="X324" s="359">
        <f t="shared" si="114"/>
        <v>-9863.325143151169</v>
      </c>
      <c r="Y324" s="356">
        <f t="shared" si="98"/>
        <v>8493003.177573375</v>
      </c>
      <c r="AA324" s="357">
        <f>+Bono!J324</f>
        <v>305707.85499662</v>
      </c>
      <c r="AC324" s="378">
        <f t="shared" si="99"/>
        <v>25.083333333333332</v>
      </c>
      <c r="AD324" s="356">
        <f t="shared" si="100"/>
        <v>9267758.665807562</v>
      </c>
    </row>
    <row r="325" spans="1:30" x14ac:dyDescent="0.25">
      <c r="A325" s="356">
        <f t="shared" si="101"/>
        <v>25.166666666666668</v>
      </c>
      <c r="B325" s="356">
        <f t="shared" si="102"/>
        <v>302</v>
      </c>
      <c r="C325" s="357">
        <f t="shared" si="107"/>
        <v>25</v>
      </c>
      <c r="D325" s="357">
        <f t="shared" si="108"/>
        <v>2</v>
      </c>
      <c r="E325" s="357">
        <f t="shared" si="109"/>
        <v>54</v>
      </c>
      <c r="F325" s="356">
        <f t="shared" si="103"/>
        <v>469047.6332375664</v>
      </c>
      <c r="H325" s="356">
        <f t="shared" si="96"/>
        <v>3740.251695281303</v>
      </c>
      <c r="I325" s="356">
        <v>0</v>
      </c>
      <c r="J325" s="356">
        <v>0</v>
      </c>
      <c r="K325" s="356">
        <f t="shared" si="104"/>
        <v>-548.4339465221033</v>
      </c>
      <c r="L325" s="356">
        <f t="shared" si="97"/>
        <v>472239.45098632557</v>
      </c>
      <c r="N325" s="356">
        <f t="shared" si="105"/>
        <v>302</v>
      </c>
      <c r="O325" s="357">
        <f t="shared" si="110"/>
        <v>25</v>
      </c>
      <c r="P325" s="357">
        <f t="shared" si="111"/>
        <v>2</v>
      </c>
      <c r="Q325" s="357">
        <f t="shared" si="112"/>
        <v>25</v>
      </c>
      <c r="R325" s="356">
        <f t="shared" si="106"/>
        <v>8493003.177573375</v>
      </c>
      <c r="S325" s="356">
        <f>IF($G$4="mensual",S324,0)</f>
        <v>10000</v>
      </c>
      <c r="U325" s="356">
        <f t="shared" si="113"/>
        <v>67804.14140538503</v>
      </c>
      <c r="V325" s="359">
        <f t="shared" ref="V325:V388" si="115">V324</f>
        <v>-235.63860501283625</v>
      </c>
      <c r="X325" s="359">
        <f t="shared" si="114"/>
        <v>-9941.863149233546</v>
      </c>
      <c r="Y325" s="356">
        <f t="shared" si="98"/>
        <v>8560629.817224514</v>
      </c>
      <c r="AA325" s="357">
        <f>+Bono!J325</f>
        <v>307603.2791575154</v>
      </c>
      <c r="AC325" s="378">
        <f t="shared" si="99"/>
        <v>25.166666666666668</v>
      </c>
      <c r="AD325" s="356">
        <f t="shared" si="100"/>
        <v>9340472.547368355</v>
      </c>
    </row>
    <row r="326" spans="1:30" x14ac:dyDescent="0.25">
      <c r="A326" s="356">
        <f t="shared" si="101"/>
        <v>25.25</v>
      </c>
      <c r="B326" s="356">
        <f t="shared" si="102"/>
        <v>303</v>
      </c>
      <c r="C326" s="357">
        <f t="shared" si="107"/>
        <v>25</v>
      </c>
      <c r="D326" s="357">
        <f t="shared" si="108"/>
        <v>3</v>
      </c>
      <c r="E326" s="357">
        <f t="shared" si="109"/>
        <v>54</v>
      </c>
      <c r="F326" s="356">
        <f t="shared" si="103"/>
        <v>472239.45098632557</v>
      </c>
      <c r="H326" s="356">
        <f t="shared" si="96"/>
        <v>3765.703698233376</v>
      </c>
      <c r="I326" s="356">
        <v>0</v>
      </c>
      <c r="J326" s="360">
        <f>-SUM(F326:H326)*$J$21*1.16</f>
        <v>-4969.493814906796</v>
      </c>
      <c r="K326" s="356">
        <f t="shared" si="104"/>
        <v>-546.4013666087965</v>
      </c>
      <c r="L326" s="356">
        <f t="shared" si="97"/>
        <v>470489.2595030433</v>
      </c>
      <c r="N326" s="356">
        <f t="shared" si="105"/>
        <v>303</v>
      </c>
      <c r="O326" s="357">
        <f t="shared" si="110"/>
        <v>25</v>
      </c>
      <c r="P326" s="357">
        <f t="shared" si="111"/>
        <v>3</v>
      </c>
      <c r="Q326" s="357">
        <f t="shared" si="112"/>
        <v>25</v>
      </c>
      <c r="R326" s="356">
        <f t="shared" si="106"/>
        <v>8560629.817224514</v>
      </c>
      <c r="S326" s="356">
        <f>IF($G$4="mensual",S325,0)</f>
        <v>10000</v>
      </c>
      <c r="U326" s="356">
        <f t="shared" si="113"/>
        <v>68343.40572669808</v>
      </c>
      <c r="V326" s="359">
        <f t="shared" si="115"/>
        <v>-235.63860501283625</v>
      </c>
      <c r="X326" s="359">
        <f t="shared" si="114"/>
        <v>-10020.935597841588</v>
      </c>
      <c r="Y326" s="356">
        <f t="shared" si="98"/>
        <v>8628716.648748357</v>
      </c>
      <c r="AA326" s="357">
        <f>+Bono!J326</f>
        <v>306722.0726890724</v>
      </c>
      <c r="AC326" s="378">
        <f t="shared" si="99"/>
        <v>25.25</v>
      </c>
      <c r="AD326" s="356">
        <f t="shared" si="100"/>
        <v>9405927.980940474</v>
      </c>
    </row>
    <row r="327" spans="1:30" x14ac:dyDescent="0.25">
      <c r="A327" s="356">
        <f t="shared" si="101"/>
        <v>25.333333333333332</v>
      </c>
      <c r="B327" s="356">
        <f t="shared" si="102"/>
        <v>304</v>
      </c>
      <c r="C327" s="357">
        <f t="shared" si="107"/>
        <v>25</v>
      </c>
      <c r="D327" s="357">
        <f t="shared" si="108"/>
        <v>4</v>
      </c>
      <c r="E327" s="357">
        <f t="shared" si="109"/>
        <v>54</v>
      </c>
      <c r="F327" s="356">
        <f t="shared" si="103"/>
        <v>470489.2595030433</v>
      </c>
      <c r="H327" s="356">
        <f t="shared" si="96"/>
        <v>3751.7474255682123</v>
      </c>
      <c r="I327" s="356">
        <v>0</v>
      </c>
      <c r="J327" s="356">
        <v>0</v>
      </c>
      <c r="K327" s="356">
        <f t="shared" si="104"/>
        <v>-550.1195680371894</v>
      </c>
      <c r="L327" s="356">
        <f t="shared" si="97"/>
        <v>473690.8873605743</v>
      </c>
      <c r="N327" s="356">
        <f t="shared" si="105"/>
        <v>304</v>
      </c>
      <c r="O327" s="357">
        <f t="shared" si="110"/>
        <v>25</v>
      </c>
      <c r="P327" s="357">
        <f t="shared" si="111"/>
        <v>4</v>
      </c>
      <c r="Q327" s="357">
        <f t="shared" si="112"/>
        <v>25</v>
      </c>
      <c r="R327" s="356">
        <f t="shared" si="106"/>
        <v>8628716.648748357</v>
      </c>
      <c r="S327" s="356">
        <f>IF($G$4="mensual",S324,IF($G$4="trimestral",S324,0))</f>
        <v>10000</v>
      </c>
      <c r="U327" s="356">
        <f t="shared" si="113"/>
        <v>68886.33968262831</v>
      </c>
      <c r="V327" s="359">
        <f t="shared" si="115"/>
        <v>-235.63860501283625</v>
      </c>
      <c r="X327" s="359">
        <f t="shared" si="114"/>
        <v>-10100.546125798124</v>
      </c>
      <c r="Y327" s="356">
        <f t="shared" si="98"/>
        <v>8697266.803700173</v>
      </c>
      <c r="AA327" s="357">
        <f>+Bono!J327</f>
        <v>308623.785117303</v>
      </c>
      <c r="AC327" s="378">
        <f t="shared" si="99"/>
        <v>25.333333333333332</v>
      </c>
      <c r="AD327" s="356">
        <f t="shared" si="100"/>
        <v>9479581.476178052</v>
      </c>
    </row>
    <row r="328" spans="1:30" x14ac:dyDescent="0.25">
      <c r="A328" s="356">
        <f t="shared" si="101"/>
        <v>25.416666666666668</v>
      </c>
      <c r="B328" s="356">
        <f t="shared" si="102"/>
        <v>305</v>
      </c>
      <c r="C328" s="357">
        <f t="shared" si="107"/>
        <v>25</v>
      </c>
      <c r="D328" s="357">
        <f t="shared" si="108"/>
        <v>5</v>
      </c>
      <c r="E328" s="357">
        <f t="shared" si="109"/>
        <v>54</v>
      </c>
      <c r="F328" s="356">
        <f t="shared" si="103"/>
        <v>473690.8873605743</v>
      </c>
      <c r="H328" s="356">
        <f t="shared" si="96"/>
        <v>3777.277655705255</v>
      </c>
      <c r="I328" s="356">
        <v>0</v>
      </c>
      <c r="J328" s="356">
        <v>0</v>
      </c>
      <c r="K328" s="356">
        <f t="shared" si="104"/>
        <v>-553.8630714188843</v>
      </c>
      <c r="L328" s="356">
        <f t="shared" si="97"/>
        <v>476914.30194486066</v>
      </c>
      <c r="N328" s="356">
        <f t="shared" si="105"/>
        <v>305</v>
      </c>
      <c r="O328" s="357">
        <f t="shared" si="110"/>
        <v>25</v>
      </c>
      <c r="P328" s="357">
        <f t="shared" si="111"/>
        <v>5</v>
      </c>
      <c r="Q328" s="357">
        <f t="shared" si="112"/>
        <v>25</v>
      </c>
      <c r="R328" s="356">
        <f t="shared" si="106"/>
        <v>8697266.803700173</v>
      </c>
      <c r="S328" s="356">
        <f>IF($G$4="mensual",S327,0)</f>
        <v>10000</v>
      </c>
      <c r="U328" s="356">
        <f t="shared" si="113"/>
        <v>69432.9682446372</v>
      </c>
      <c r="V328" s="359">
        <f t="shared" si="115"/>
        <v>-235.63860501283625</v>
      </c>
      <c r="X328" s="359">
        <f t="shared" si="114"/>
        <v>-10180.698394674162</v>
      </c>
      <c r="Y328" s="356">
        <f t="shared" si="98"/>
        <v>8766283.434945121</v>
      </c>
      <c r="AA328" s="357">
        <f>+Bono!J328</f>
        <v>310537.2883831736</v>
      </c>
      <c r="AC328" s="378">
        <f t="shared" si="99"/>
        <v>25.416666666666668</v>
      </c>
      <c r="AD328" s="356">
        <f t="shared" si="100"/>
        <v>9553735.025273155</v>
      </c>
    </row>
    <row r="329" spans="1:30" x14ac:dyDescent="0.25">
      <c r="A329" s="356">
        <f t="shared" si="101"/>
        <v>25.5</v>
      </c>
      <c r="B329" s="356">
        <f t="shared" si="102"/>
        <v>306</v>
      </c>
      <c r="C329" s="357">
        <f t="shared" si="107"/>
        <v>25</v>
      </c>
      <c r="D329" s="357">
        <f t="shared" si="108"/>
        <v>6</v>
      </c>
      <c r="E329" s="357">
        <f t="shared" si="109"/>
        <v>54</v>
      </c>
      <c r="F329" s="356">
        <f t="shared" si="103"/>
        <v>476914.30194486066</v>
      </c>
      <c r="H329" s="356">
        <f t="shared" si="96"/>
        <v>3802.9816162609304</v>
      </c>
      <c r="I329" s="356">
        <v>0</v>
      </c>
      <c r="J329" s="360">
        <f>-SUM(F329:H329)*$J$21*1.16</f>
        <v>-5018.6884403781105</v>
      </c>
      <c r="K329" s="356">
        <f t="shared" si="104"/>
        <v>-551.8103703400624</v>
      </c>
      <c r="L329" s="356">
        <f t="shared" si="97"/>
        <v>475146.7847504034</v>
      </c>
      <c r="N329" s="356">
        <f t="shared" si="105"/>
        <v>306</v>
      </c>
      <c r="O329" s="357">
        <f t="shared" si="110"/>
        <v>25</v>
      </c>
      <c r="P329" s="357">
        <f t="shared" si="111"/>
        <v>6</v>
      </c>
      <c r="Q329" s="357">
        <f t="shared" si="112"/>
        <v>25</v>
      </c>
      <c r="R329" s="356">
        <f t="shared" si="106"/>
        <v>8766283.434945121</v>
      </c>
      <c r="S329" s="356">
        <f>IF($G$4="mensual",S328,0)</f>
        <v>10000</v>
      </c>
      <c r="U329" s="356">
        <f t="shared" si="113"/>
        <v>69983.3165541143</v>
      </c>
      <c r="V329" s="359">
        <f t="shared" si="115"/>
        <v>-235.63860501283625</v>
      </c>
      <c r="X329" s="359">
        <f t="shared" si="114"/>
        <v>-10261.396090957298</v>
      </c>
      <c r="Y329" s="356">
        <f t="shared" si="98"/>
        <v>8835769.716803266</v>
      </c>
      <c r="AA329" s="357">
        <f>+Bono!J329</f>
        <v>309647.6767120448</v>
      </c>
      <c r="AC329" s="378">
        <f t="shared" si="99"/>
        <v>25.5</v>
      </c>
      <c r="AD329" s="356">
        <f t="shared" si="100"/>
        <v>9620564.178265715</v>
      </c>
    </row>
    <row r="330" spans="1:30" x14ac:dyDescent="0.25">
      <c r="A330" s="356">
        <f t="shared" si="101"/>
        <v>25.583333333333332</v>
      </c>
      <c r="B330" s="356">
        <f t="shared" si="102"/>
        <v>307</v>
      </c>
      <c r="C330" s="357">
        <f t="shared" si="107"/>
        <v>25</v>
      </c>
      <c r="D330" s="357">
        <f t="shared" si="108"/>
        <v>7</v>
      </c>
      <c r="E330" s="357">
        <f t="shared" si="109"/>
        <v>54</v>
      </c>
      <c r="F330" s="356">
        <f t="shared" si="103"/>
        <v>475146.7847504034</v>
      </c>
      <c r="H330" s="356">
        <f t="shared" si="96"/>
        <v>3788.8871859418264</v>
      </c>
      <c r="I330" s="356">
        <v>0</v>
      </c>
      <c r="J330" s="356">
        <v>0</v>
      </c>
      <c r="K330" s="356">
        <f t="shared" si="104"/>
        <v>-555.5653794461604</v>
      </c>
      <c r="L330" s="356">
        <f t="shared" si="97"/>
        <v>478380.1065568991</v>
      </c>
      <c r="N330" s="356">
        <f t="shared" si="105"/>
        <v>307</v>
      </c>
      <c r="O330" s="357">
        <f t="shared" si="110"/>
        <v>25</v>
      </c>
      <c r="P330" s="357">
        <f t="shared" si="111"/>
        <v>7</v>
      </c>
      <c r="Q330" s="357">
        <f t="shared" si="112"/>
        <v>25</v>
      </c>
      <c r="R330" s="356">
        <f t="shared" si="106"/>
        <v>8835769.716803266</v>
      </c>
      <c r="S330" s="356">
        <f>+IF($G$4="mensual",S324,IF($G$4="trimestral",S324,IF($G$4="semestral",S324,0)))</f>
        <v>10000</v>
      </c>
      <c r="U330" s="356">
        <f t="shared" si="113"/>
        <v>70537.40992353352</v>
      </c>
      <c r="V330" s="359">
        <f t="shared" si="115"/>
        <v>-235.63860501283625</v>
      </c>
      <c r="X330" s="359">
        <f t="shared" si="114"/>
        <v>-10342.64292622127</v>
      </c>
      <c r="Y330" s="356">
        <f t="shared" si="98"/>
        <v>8905728.845195564</v>
      </c>
      <c r="AA330" s="357">
        <f>+Bono!J330</f>
        <v>311567.5282245669</v>
      </c>
      <c r="AC330" s="378">
        <f t="shared" si="99"/>
        <v>25.583333333333332</v>
      </c>
      <c r="AD330" s="356">
        <f t="shared" si="100"/>
        <v>9695676.47997703</v>
      </c>
    </row>
    <row r="331" spans="1:30" x14ac:dyDescent="0.25">
      <c r="A331" s="356">
        <f t="shared" si="101"/>
        <v>25.666666666666668</v>
      </c>
      <c r="B331" s="356">
        <f t="shared" si="102"/>
        <v>308</v>
      </c>
      <c r="C331" s="357">
        <f t="shared" si="107"/>
        <v>25</v>
      </c>
      <c r="D331" s="357">
        <f t="shared" si="108"/>
        <v>8</v>
      </c>
      <c r="E331" s="357">
        <f t="shared" si="109"/>
        <v>54</v>
      </c>
      <c r="F331" s="356">
        <f t="shared" si="103"/>
        <v>478380.1065568991</v>
      </c>
      <c r="H331" s="356">
        <f t="shared" si="96"/>
        <v>3814.6701480786596</v>
      </c>
      <c r="I331" s="356">
        <v>0</v>
      </c>
      <c r="J331" s="356">
        <v>0</v>
      </c>
      <c r="K331" s="356">
        <f t="shared" si="104"/>
        <v>-559.3459409777741</v>
      </c>
      <c r="L331" s="356">
        <f t="shared" si="97"/>
        <v>481635.43076399993</v>
      </c>
      <c r="N331" s="356">
        <f t="shared" si="105"/>
        <v>308</v>
      </c>
      <c r="O331" s="357">
        <f t="shared" si="110"/>
        <v>25</v>
      </c>
      <c r="P331" s="357">
        <f t="shared" si="111"/>
        <v>8</v>
      </c>
      <c r="Q331" s="357">
        <f t="shared" si="112"/>
        <v>25</v>
      </c>
      <c r="R331" s="356">
        <f t="shared" si="106"/>
        <v>8905728.845195564</v>
      </c>
      <c r="S331" s="356">
        <f>IF($G$4="mensual",S330,0)</f>
        <v>10000</v>
      </c>
      <c r="U331" s="356">
        <f t="shared" si="113"/>
        <v>71095.27383761741</v>
      </c>
      <c r="V331" s="359">
        <f t="shared" si="115"/>
        <v>-235.63860501283625</v>
      </c>
      <c r="X331" s="359">
        <f t="shared" si="114"/>
        <v>-10424.442637296674</v>
      </c>
      <c r="Y331" s="356">
        <f t="shared" si="98"/>
        <v>8976164.03779087</v>
      </c>
      <c r="AA331" s="357">
        <f>+Bono!J331</f>
        <v>313499.28303915565</v>
      </c>
      <c r="AC331" s="378">
        <f t="shared" si="99"/>
        <v>25.666666666666668</v>
      </c>
      <c r="AD331" s="356">
        <f t="shared" si="100"/>
        <v>9771298.751594026</v>
      </c>
    </row>
    <row r="332" spans="1:30" x14ac:dyDescent="0.25">
      <c r="A332" s="356">
        <f t="shared" si="101"/>
        <v>25.75</v>
      </c>
      <c r="B332" s="356">
        <f t="shared" si="102"/>
        <v>309</v>
      </c>
      <c r="C332" s="357">
        <f t="shared" si="107"/>
        <v>25</v>
      </c>
      <c r="D332" s="357">
        <f t="shared" si="108"/>
        <v>9</v>
      </c>
      <c r="E332" s="357">
        <f t="shared" si="109"/>
        <v>54</v>
      </c>
      <c r="F332" s="356">
        <f t="shared" si="103"/>
        <v>481635.43076399993</v>
      </c>
      <c r="H332" s="356">
        <f t="shared" si="96"/>
        <v>3840.6285604476916</v>
      </c>
      <c r="I332" s="356">
        <v>0</v>
      </c>
      <c r="J332" s="360">
        <f>-SUM(F332:H332)*$J$21*1.16</f>
        <v>-5068.370059347234</v>
      </c>
      <c r="K332" s="356">
        <f t="shared" si="104"/>
        <v>-557.2729195475165</v>
      </c>
      <c r="L332" s="356">
        <f t="shared" si="97"/>
        <v>479850.4163455529</v>
      </c>
      <c r="N332" s="356">
        <f t="shared" si="105"/>
        <v>309</v>
      </c>
      <c r="O332" s="357">
        <f t="shared" si="110"/>
        <v>25</v>
      </c>
      <c r="P332" s="357">
        <f t="shared" si="111"/>
        <v>9</v>
      </c>
      <c r="Q332" s="357">
        <f t="shared" si="112"/>
        <v>25</v>
      </c>
      <c r="R332" s="356">
        <f t="shared" si="106"/>
        <v>8976164.03779087</v>
      </c>
      <c r="S332" s="356">
        <f>IF($G$4="mensual",S331,0)</f>
        <v>10000</v>
      </c>
      <c r="U332" s="356">
        <f t="shared" si="113"/>
        <v>71656.93395450927</v>
      </c>
      <c r="V332" s="359">
        <f t="shared" si="115"/>
        <v>-235.63860501283625</v>
      </c>
      <c r="X332" s="359">
        <f t="shared" si="114"/>
        <v>-10506.798986442825</v>
      </c>
      <c r="Y332" s="356">
        <f t="shared" si="98"/>
        <v>9047078.534153923</v>
      </c>
      <c r="AA332" s="357">
        <f>+Bono!J332</f>
        <v>312601.1859940819</v>
      </c>
      <c r="AC332" s="378">
        <f t="shared" si="99"/>
        <v>25.75</v>
      </c>
      <c r="AD332" s="356">
        <f t="shared" si="100"/>
        <v>9839530.136493558</v>
      </c>
    </row>
    <row r="333" spans="1:30" x14ac:dyDescent="0.25">
      <c r="A333" s="356">
        <f t="shared" si="101"/>
        <v>25.833333333333332</v>
      </c>
      <c r="B333" s="356">
        <f t="shared" si="102"/>
        <v>310</v>
      </c>
      <c r="C333" s="357">
        <f t="shared" si="107"/>
        <v>25</v>
      </c>
      <c r="D333" s="357">
        <f t="shared" si="108"/>
        <v>10</v>
      </c>
      <c r="E333" s="357">
        <f t="shared" si="109"/>
        <v>54</v>
      </c>
      <c r="F333" s="356">
        <f t="shared" si="103"/>
        <v>479850.4163455529</v>
      </c>
      <c r="H333" s="356">
        <f t="shared" si="96"/>
        <v>3826.394604807377</v>
      </c>
      <c r="I333" s="356">
        <v>0</v>
      </c>
      <c r="J333" s="356">
        <v>0</v>
      </c>
      <c r="K333" s="356">
        <f t="shared" si="104"/>
        <v>-561.0651007024179</v>
      </c>
      <c r="L333" s="356">
        <f t="shared" si="97"/>
        <v>483115.74584965786</v>
      </c>
      <c r="N333" s="356">
        <f t="shared" si="105"/>
        <v>310</v>
      </c>
      <c r="O333" s="357">
        <f t="shared" si="110"/>
        <v>25</v>
      </c>
      <c r="P333" s="357">
        <f t="shared" si="111"/>
        <v>10</v>
      </c>
      <c r="Q333" s="357">
        <f t="shared" si="112"/>
        <v>25</v>
      </c>
      <c r="R333" s="356">
        <f t="shared" si="106"/>
        <v>9047078.534153923</v>
      </c>
      <c r="S333" s="356">
        <f>IF($G$4="mensual",S324,IF($G$4="trimestral",S324,0))</f>
        <v>10000</v>
      </c>
      <c r="U333" s="356">
        <f t="shared" si="113"/>
        <v>72222.41610695324</v>
      </c>
      <c r="V333" s="359">
        <f t="shared" si="115"/>
        <v>-235.63860501283625</v>
      </c>
      <c r="X333" s="359">
        <f t="shared" si="114"/>
        <v>-10589.7157615208</v>
      </c>
      <c r="Y333" s="356">
        <f t="shared" si="98"/>
        <v>9118475.595894342</v>
      </c>
      <c r="AA333" s="357">
        <f>+Bono!J333</f>
        <v>314539.3496067385</v>
      </c>
      <c r="AC333" s="378">
        <f t="shared" si="99"/>
        <v>25.833333333333332</v>
      </c>
      <c r="AD333" s="356">
        <f t="shared" si="100"/>
        <v>9916130.69135074</v>
      </c>
    </row>
    <row r="334" spans="1:30" x14ac:dyDescent="0.25">
      <c r="A334" s="356">
        <f t="shared" si="101"/>
        <v>25.916666666666668</v>
      </c>
      <c r="B334" s="356">
        <f t="shared" si="102"/>
        <v>311</v>
      </c>
      <c r="C334" s="357">
        <f t="shared" si="107"/>
        <v>25</v>
      </c>
      <c r="D334" s="357">
        <f t="shared" si="108"/>
        <v>11</v>
      </c>
      <c r="E334" s="357">
        <f t="shared" si="109"/>
        <v>54</v>
      </c>
      <c r="F334" s="356">
        <f t="shared" si="103"/>
        <v>483115.74584965786</v>
      </c>
      <c r="H334" s="356">
        <f t="shared" si="96"/>
        <v>3852.4328008197526</v>
      </c>
      <c r="I334" s="356">
        <v>0</v>
      </c>
      <c r="J334" s="356">
        <v>0</v>
      </c>
      <c r="K334" s="356">
        <f t="shared" si="104"/>
        <v>-564.883087234554</v>
      </c>
      <c r="L334" s="356">
        <f t="shared" si="97"/>
        <v>486403.29556324304</v>
      </c>
      <c r="N334" s="356">
        <f t="shared" si="105"/>
        <v>311</v>
      </c>
      <c r="O334" s="357">
        <f t="shared" si="110"/>
        <v>25</v>
      </c>
      <c r="P334" s="357">
        <f t="shared" si="111"/>
        <v>11</v>
      </c>
      <c r="Q334" s="357">
        <f t="shared" si="112"/>
        <v>25</v>
      </c>
      <c r="R334" s="356">
        <f t="shared" si="106"/>
        <v>9118475.595894342</v>
      </c>
      <c r="S334" s="356">
        <f>IF($G$17="si",S322*(1+$G$20),S322)</f>
        <v>10000</v>
      </c>
      <c r="U334" s="356">
        <f t="shared" si="113"/>
        <v>72791.74630348246</v>
      </c>
      <c r="V334" s="359">
        <f t="shared" si="115"/>
        <v>-235.63860501283625</v>
      </c>
      <c r="X334" s="359">
        <f t="shared" si="114"/>
        <v>-10673.19677616766</v>
      </c>
      <c r="Y334" s="356">
        <f t="shared" si="98"/>
        <v>9190358.506816642</v>
      </c>
      <c r="AA334" s="357">
        <f>+Bono!J334</f>
        <v>316489.53005860664</v>
      </c>
      <c r="AC334" s="378">
        <f t="shared" si="99"/>
        <v>25.916666666666668</v>
      </c>
      <c r="AD334" s="356">
        <f t="shared" si="100"/>
        <v>9993251.332438493</v>
      </c>
    </row>
    <row r="335" spans="1:30" x14ac:dyDescent="0.25">
      <c r="A335" s="356">
        <f t="shared" si="101"/>
        <v>26</v>
      </c>
      <c r="B335" s="356">
        <f t="shared" si="102"/>
        <v>312</v>
      </c>
      <c r="C335" s="357">
        <f t="shared" si="107"/>
        <v>25</v>
      </c>
      <c r="D335" s="357">
        <f t="shared" si="108"/>
        <v>12</v>
      </c>
      <c r="E335" s="357">
        <f t="shared" si="109"/>
        <v>54</v>
      </c>
      <c r="F335" s="356">
        <f t="shared" si="103"/>
        <v>486403.29556324304</v>
      </c>
      <c r="H335" s="356">
        <f t="shared" si="96"/>
        <v>3878.6481839028834</v>
      </c>
      <c r="I335" s="356">
        <v>0</v>
      </c>
      <c r="J335" s="360">
        <f>-SUM(F335:H335)*$J$21*1.16</f>
        <v>-5118.543492720204</v>
      </c>
      <c r="K335" s="356">
        <f t="shared" si="104"/>
        <v>-562.7895442951337</v>
      </c>
      <c r="L335" s="356">
        <f t="shared" si="97"/>
        <v>484600.6107101306</v>
      </c>
      <c r="N335" s="356">
        <f t="shared" si="105"/>
        <v>312</v>
      </c>
      <c r="O335" s="357">
        <f t="shared" si="110"/>
        <v>25</v>
      </c>
      <c r="P335" s="357">
        <f t="shared" si="111"/>
        <v>12</v>
      </c>
      <c r="Q335" s="357">
        <f t="shared" si="112"/>
        <v>25</v>
      </c>
      <c r="R335" s="356">
        <f t="shared" si="106"/>
        <v>9190358.506816642</v>
      </c>
      <c r="S335" s="356">
        <f>IF($G$4="mensual",S334,0)</f>
        <v>10000</v>
      </c>
      <c r="U335" s="356">
        <f t="shared" si="113"/>
        <v>73364.95072961526</v>
      </c>
      <c r="V335" s="359">
        <f t="shared" si="115"/>
        <v>-235.63860501283625</v>
      </c>
      <c r="X335" s="359">
        <f t="shared" si="114"/>
        <v>-10757.245869971843</v>
      </c>
      <c r="Y335" s="356">
        <f t="shared" si="98"/>
        <v>9262730.573071273</v>
      </c>
      <c r="AA335" s="357">
        <f>+Bono!J335</f>
        <v>315582.8667036321</v>
      </c>
      <c r="AC335" s="378">
        <f t="shared" si="99"/>
        <v>26</v>
      </c>
      <c r="AD335" s="356">
        <f t="shared" si="100"/>
        <v>10062914.050485035</v>
      </c>
    </row>
    <row r="336" spans="1:30" x14ac:dyDescent="0.25">
      <c r="A336" s="356">
        <f t="shared" si="101"/>
        <v>26.083333333333332</v>
      </c>
      <c r="B336" s="356">
        <f t="shared" si="102"/>
        <v>313</v>
      </c>
      <c r="C336" s="357">
        <f t="shared" si="107"/>
        <v>26</v>
      </c>
      <c r="D336" s="357">
        <f t="shared" si="108"/>
        <v>1</v>
      </c>
      <c r="E336" s="357">
        <f t="shared" si="109"/>
        <v>55</v>
      </c>
      <c r="F336" s="356">
        <f t="shared" si="103"/>
        <v>484600.6107101306</v>
      </c>
      <c r="H336" s="356">
        <f t="shared" si="96"/>
        <v>3864.273321735107</v>
      </c>
      <c r="I336" s="356">
        <v>0</v>
      </c>
      <c r="J336" s="356">
        <v>0</v>
      </c>
      <c r="K336" s="356">
        <f t="shared" si="104"/>
        <v>-566.6192654769642</v>
      </c>
      <c r="L336" s="356">
        <f t="shared" si="97"/>
        <v>487898.26476638875</v>
      </c>
      <c r="N336" s="356">
        <f t="shared" si="105"/>
        <v>313</v>
      </c>
      <c r="O336" s="357">
        <f t="shared" si="110"/>
        <v>26</v>
      </c>
      <c r="P336" s="357">
        <f t="shared" si="111"/>
        <v>1</v>
      </c>
      <c r="Q336" s="357">
        <f t="shared" si="112"/>
        <v>26</v>
      </c>
      <c r="R336" s="356">
        <f t="shared" si="106"/>
        <v>9262730.573071273</v>
      </c>
      <c r="S336" s="356">
        <f>IF($G$17="si",S324*(1+$G$20),S324)</f>
        <v>10000</v>
      </c>
      <c r="U336" s="356">
        <f t="shared" si="113"/>
        <v>73942.05574905961</v>
      </c>
      <c r="V336" s="359">
        <f>V335*(1+$G$18)</f>
        <v>-245.0641492133497</v>
      </c>
      <c r="X336" s="359">
        <f t="shared" si="114"/>
        <v>-10841.855975018496</v>
      </c>
      <c r="Y336" s="356">
        <f t="shared" si="98"/>
        <v>9335585.708696099</v>
      </c>
      <c r="AA336" s="357">
        <f>+Bono!J336</f>
        <v>317539.5170825415</v>
      </c>
      <c r="AC336" s="378">
        <f t="shared" si="99"/>
        <v>26.083333333333332</v>
      </c>
      <c r="AD336" s="356">
        <f t="shared" si="100"/>
        <v>10141023.49054503</v>
      </c>
    </row>
    <row r="337" spans="1:30" x14ac:dyDescent="0.25">
      <c r="A337" s="356">
        <f t="shared" si="101"/>
        <v>26.166666666666668</v>
      </c>
      <c r="B337" s="356">
        <f t="shared" si="102"/>
        <v>314</v>
      </c>
      <c r="C337" s="357">
        <f t="shared" si="107"/>
        <v>26</v>
      </c>
      <c r="D337" s="357">
        <f t="shared" si="108"/>
        <v>2</v>
      </c>
      <c r="E337" s="357">
        <f t="shared" si="109"/>
        <v>55</v>
      </c>
      <c r="F337" s="356">
        <f t="shared" si="103"/>
        <v>487898.26476638875</v>
      </c>
      <c r="H337" s="356">
        <f t="shared" si="96"/>
        <v>3890.5692782656533</v>
      </c>
      <c r="I337" s="356">
        <v>0</v>
      </c>
      <c r="J337" s="356">
        <v>0</v>
      </c>
      <c r="K337" s="356">
        <f t="shared" si="104"/>
        <v>-570.475047491799</v>
      </c>
      <c r="L337" s="356">
        <f t="shared" si="97"/>
        <v>491218.3589971626</v>
      </c>
      <c r="N337" s="356">
        <f t="shared" si="105"/>
        <v>314</v>
      </c>
      <c r="O337" s="357">
        <f t="shared" si="110"/>
        <v>26</v>
      </c>
      <c r="P337" s="357">
        <f t="shared" si="111"/>
        <v>2</v>
      </c>
      <c r="Q337" s="357">
        <f t="shared" si="112"/>
        <v>26</v>
      </c>
      <c r="R337" s="356">
        <f t="shared" si="106"/>
        <v>9335585.708696099</v>
      </c>
      <c r="S337" s="356">
        <f>IF($G$4="mensual",S336,0)</f>
        <v>10000</v>
      </c>
      <c r="U337" s="356">
        <f t="shared" si="113"/>
        <v>74523.0128314988</v>
      </c>
      <c r="V337" s="359">
        <f t="shared" si="115"/>
        <v>-245.0641492133497</v>
      </c>
      <c r="X337" s="359">
        <f t="shared" si="114"/>
        <v>-10927.041842558923</v>
      </c>
      <c r="Y337" s="356">
        <f t="shared" si="98"/>
        <v>9408936.615535824</v>
      </c>
      <c r="AA337" s="357">
        <f>+Bono!J337</f>
        <v>319508.2989207575</v>
      </c>
      <c r="AC337" s="378">
        <f t="shared" si="99"/>
        <v>26.166666666666668</v>
      </c>
      <c r="AD337" s="356">
        <f t="shared" si="100"/>
        <v>10219663.273453744</v>
      </c>
    </row>
    <row r="338" spans="1:30" x14ac:dyDescent="0.25">
      <c r="A338" s="356">
        <f t="shared" si="101"/>
        <v>26.25</v>
      </c>
      <c r="B338" s="356">
        <f t="shared" si="102"/>
        <v>315</v>
      </c>
      <c r="C338" s="357">
        <f t="shared" si="107"/>
        <v>26</v>
      </c>
      <c r="D338" s="357">
        <f t="shared" si="108"/>
        <v>3</v>
      </c>
      <c r="E338" s="357">
        <f t="shared" si="109"/>
        <v>55</v>
      </c>
      <c r="F338" s="356">
        <f t="shared" si="103"/>
        <v>491218.3589971626</v>
      </c>
      <c r="H338" s="356">
        <f t="shared" si="96"/>
        <v>3917.0441758990373</v>
      </c>
      <c r="I338" s="356">
        <v>0</v>
      </c>
      <c r="J338" s="360">
        <f>-SUM(F338:H338)*$J$21*1.16</f>
        <v>-5169.213609126764</v>
      </c>
      <c r="K338" s="356">
        <f t="shared" si="104"/>
        <v>-568.3607798941645</v>
      </c>
      <c r="L338" s="356">
        <f t="shared" si="97"/>
        <v>489397.82878404076</v>
      </c>
      <c r="N338" s="356">
        <f t="shared" si="105"/>
        <v>315</v>
      </c>
      <c r="O338" s="357">
        <f t="shared" si="110"/>
        <v>26</v>
      </c>
      <c r="P338" s="357">
        <f t="shared" si="111"/>
        <v>3</v>
      </c>
      <c r="Q338" s="357">
        <f t="shared" si="112"/>
        <v>26</v>
      </c>
      <c r="R338" s="356">
        <f t="shared" si="106"/>
        <v>9408936.615535824</v>
      </c>
      <c r="S338" s="356">
        <f>IF($G$4="mensual",S337,0)</f>
        <v>10000</v>
      </c>
      <c r="U338" s="356">
        <f t="shared" si="113"/>
        <v>75107.9232632262</v>
      </c>
      <c r="V338" s="359">
        <f t="shared" si="115"/>
        <v>-245.0641492133497</v>
      </c>
      <c r="X338" s="359">
        <f t="shared" si="114"/>
        <v>-11012.807390593809</v>
      </c>
      <c r="Y338" s="356">
        <f t="shared" si="98"/>
        <v>9482786.667259242</v>
      </c>
      <c r="AA338" s="357">
        <f>+Bono!J338</f>
        <v>318592.98754793557</v>
      </c>
      <c r="AC338" s="378">
        <f t="shared" si="99"/>
        <v>26.25</v>
      </c>
      <c r="AD338" s="356">
        <f t="shared" si="100"/>
        <v>10290777.48359122</v>
      </c>
    </row>
    <row r="339" spans="1:30" x14ac:dyDescent="0.25">
      <c r="A339" s="356">
        <f t="shared" si="101"/>
        <v>26.333333333333332</v>
      </c>
      <c r="B339" s="356">
        <f t="shared" si="102"/>
        <v>316</v>
      </c>
      <c r="C339" s="357">
        <f t="shared" si="107"/>
        <v>26</v>
      </c>
      <c r="D339" s="357">
        <f t="shared" si="108"/>
        <v>4</v>
      </c>
      <c r="E339" s="357">
        <f t="shared" si="109"/>
        <v>55</v>
      </c>
      <c r="F339" s="356">
        <f t="shared" si="103"/>
        <v>489397.82878404076</v>
      </c>
      <c r="H339" s="356">
        <f t="shared" si="96"/>
        <v>3902.527012324542</v>
      </c>
      <c r="I339" s="356">
        <v>0</v>
      </c>
      <c r="J339" s="356">
        <v>0</v>
      </c>
      <c r="K339" s="356">
        <f t="shared" si="104"/>
        <v>-572.2284127237837</v>
      </c>
      <c r="L339" s="356">
        <f t="shared" si="97"/>
        <v>492728.1273836415</v>
      </c>
      <c r="N339" s="356">
        <f t="shared" si="105"/>
        <v>316</v>
      </c>
      <c r="O339" s="357">
        <f t="shared" si="110"/>
        <v>26</v>
      </c>
      <c r="P339" s="357">
        <f t="shared" si="111"/>
        <v>4</v>
      </c>
      <c r="Q339" s="357">
        <f t="shared" si="112"/>
        <v>26</v>
      </c>
      <c r="R339" s="356">
        <f t="shared" si="106"/>
        <v>9482786.667259242</v>
      </c>
      <c r="S339" s="356">
        <f>IF($G$4="mensual",S336,IF($G$4="trimestral",S336,0))</f>
        <v>10000</v>
      </c>
      <c r="U339" s="356">
        <f t="shared" si="113"/>
        <v>75696.81394635055</v>
      </c>
      <c r="V339" s="359">
        <f t="shared" si="115"/>
        <v>-245.0641492133497</v>
      </c>
      <c r="X339" s="359">
        <f t="shared" si="114"/>
        <v>-11099.1565637854</v>
      </c>
      <c r="Y339" s="356">
        <f t="shared" si="98"/>
        <v>9557139.260492595</v>
      </c>
      <c r="AA339" s="357">
        <f>+Bono!J339</f>
        <v>320568.301025232</v>
      </c>
      <c r="AC339" s="378">
        <f t="shared" si="99"/>
        <v>26.333333333333332</v>
      </c>
      <c r="AD339" s="356">
        <f t="shared" si="100"/>
        <v>10370435.68890147</v>
      </c>
    </row>
    <row r="340" spans="1:30" x14ac:dyDescent="0.25">
      <c r="A340" s="356">
        <f t="shared" si="101"/>
        <v>26.416666666666668</v>
      </c>
      <c r="B340" s="356">
        <f t="shared" si="102"/>
        <v>317</v>
      </c>
      <c r="C340" s="357">
        <f t="shared" si="107"/>
        <v>26</v>
      </c>
      <c r="D340" s="357">
        <f t="shared" si="108"/>
        <v>5</v>
      </c>
      <c r="E340" s="357">
        <f t="shared" si="109"/>
        <v>55</v>
      </c>
      <c r="F340" s="356">
        <f t="shared" si="103"/>
        <v>492728.1273836415</v>
      </c>
      <c r="H340" s="356">
        <f t="shared" si="96"/>
        <v>3929.0832810279394</v>
      </c>
      <c r="I340" s="356">
        <v>0</v>
      </c>
      <c r="J340" s="356">
        <v>0</v>
      </c>
      <c r="K340" s="356">
        <f t="shared" si="104"/>
        <v>-576.1223643710166</v>
      </c>
      <c r="L340" s="356">
        <f t="shared" si="97"/>
        <v>496081.08830029843</v>
      </c>
      <c r="N340" s="356">
        <f t="shared" si="105"/>
        <v>317</v>
      </c>
      <c r="O340" s="357">
        <f t="shared" si="110"/>
        <v>26</v>
      </c>
      <c r="P340" s="357">
        <f t="shared" si="111"/>
        <v>5</v>
      </c>
      <c r="Q340" s="357">
        <f t="shared" si="112"/>
        <v>26</v>
      </c>
      <c r="R340" s="356">
        <f t="shared" si="106"/>
        <v>9557139.260492595</v>
      </c>
      <c r="S340" s="356">
        <f>IF($G$4="mensual",S339,0)</f>
        <v>10000</v>
      </c>
      <c r="U340" s="356">
        <f t="shared" si="113"/>
        <v>76289.71196604647</v>
      </c>
      <c r="V340" s="359">
        <f t="shared" si="115"/>
        <v>-245.0641492133497</v>
      </c>
      <c r="X340" s="359">
        <f t="shared" si="114"/>
        <v>-11186.093333638935</v>
      </c>
      <c r="Y340" s="356">
        <f t="shared" si="98"/>
        <v>9631997.814975789</v>
      </c>
      <c r="AA340" s="357">
        <f>+Bono!J340</f>
        <v>322555.8616752099</v>
      </c>
      <c r="AC340" s="378">
        <f t="shared" si="99"/>
        <v>26.416666666666668</v>
      </c>
      <c r="AD340" s="356">
        <f t="shared" si="100"/>
        <v>10450634.764951298</v>
      </c>
    </row>
    <row r="341" spans="1:30" x14ac:dyDescent="0.25">
      <c r="A341" s="356">
        <f t="shared" si="101"/>
        <v>26.5</v>
      </c>
      <c r="B341" s="356">
        <f t="shared" si="102"/>
        <v>318</v>
      </c>
      <c r="C341" s="357">
        <f t="shared" si="107"/>
        <v>26</v>
      </c>
      <c r="D341" s="357">
        <f t="shared" si="108"/>
        <v>6</v>
      </c>
      <c r="E341" s="357">
        <f t="shared" si="109"/>
        <v>55</v>
      </c>
      <c r="F341" s="356">
        <f t="shared" si="103"/>
        <v>496081.08830029843</v>
      </c>
      <c r="H341" s="356">
        <f t="shared" si="96"/>
        <v>3955.8202622299877</v>
      </c>
      <c r="I341" s="356">
        <v>0</v>
      </c>
      <c r="J341" s="360">
        <f>-SUM(F341:H341)*$J$21*1.16</f>
        <v>-5220.385325392797</v>
      </c>
      <c r="K341" s="356">
        <f t="shared" si="104"/>
        <v>-573.9871669550773</v>
      </c>
      <c r="L341" s="356">
        <f t="shared" si="97"/>
        <v>494242.53607018053</v>
      </c>
      <c r="N341" s="356">
        <f t="shared" si="105"/>
        <v>318</v>
      </c>
      <c r="O341" s="357">
        <f t="shared" si="110"/>
        <v>26</v>
      </c>
      <c r="P341" s="357">
        <f t="shared" si="111"/>
        <v>6</v>
      </c>
      <c r="Q341" s="357">
        <f t="shared" si="112"/>
        <v>26</v>
      </c>
      <c r="R341" s="356">
        <f t="shared" si="106"/>
        <v>9631997.814975789</v>
      </c>
      <c r="S341" s="356">
        <f>IF($G$4="mensual",S340,0)</f>
        <v>10000</v>
      </c>
      <c r="U341" s="356">
        <f t="shared" si="113"/>
        <v>76886.6445918002</v>
      </c>
      <c r="V341" s="359">
        <f t="shared" si="115"/>
        <v>-245.0641492133497</v>
      </c>
      <c r="X341" s="359">
        <f t="shared" si="114"/>
        <v>-11273.621698685316</v>
      </c>
      <c r="Y341" s="356">
        <f t="shared" si="98"/>
        <v>9707365.77371969</v>
      </c>
      <c r="AA341" s="357">
        <f>+Bono!J341</f>
        <v>321631.81979724</v>
      </c>
      <c r="AC341" s="378">
        <f t="shared" si="99"/>
        <v>26.5</v>
      </c>
      <c r="AD341" s="356">
        <f t="shared" si="100"/>
        <v>10523240.129587112</v>
      </c>
    </row>
    <row r="342" spans="1:30" x14ac:dyDescent="0.25">
      <c r="A342" s="356">
        <f t="shared" si="101"/>
        <v>26.583333333333332</v>
      </c>
      <c r="B342" s="356">
        <f t="shared" si="102"/>
        <v>319</v>
      </c>
      <c r="C342" s="357">
        <f t="shared" si="107"/>
        <v>26</v>
      </c>
      <c r="D342" s="357">
        <f t="shared" si="108"/>
        <v>7</v>
      </c>
      <c r="E342" s="357">
        <f t="shared" si="109"/>
        <v>55</v>
      </c>
      <c r="F342" s="356">
        <f t="shared" si="103"/>
        <v>494242.53607018053</v>
      </c>
      <c r="H342" s="356">
        <f t="shared" si="96"/>
        <v>3941.1593885611537</v>
      </c>
      <c r="I342" s="356">
        <v>0</v>
      </c>
      <c r="J342" s="356">
        <v>0</v>
      </c>
      <c r="K342" s="356">
        <f t="shared" si="104"/>
        <v>-577.8930867321403</v>
      </c>
      <c r="L342" s="356">
        <f t="shared" si="97"/>
        <v>497605.80237200955</v>
      </c>
      <c r="N342" s="356">
        <f t="shared" si="105"/>
        <v>319</v>
      </c>
      <c r="O342" s="357">
        <f t="shared" si="110"/>
        <v>26</v>
      </c>
      <c r="P342" s="357">
        <f t="shared" si="111"/>
        <v>7</v>
      </c>
      <c r="Q342" s="357">
        <f t="shared" si="112"/>
        <v>26</v>
      </c>
      <c r="R342" s="356">
        <f t="shared" si="106"/>
        <v>9707365.77371969</v>
      </c>
      <c r="S342" s="356">
        <f>+IF($G$4="mensual",S336,IF($G$4="trimestral",S336,IF($G$4="semestral",S336,0)))</f>
        <v>10000</v>
      </c>
      <c r="U342" s="356">
        <f t="shared" si="113"/>
        <v>77487.63927866389</v>
      </c>
      <c r="V342" s="359">
        <f t="shared" si="115"/>
        <v>-245.0641492133497</v>
      </c>
      <c r="X342" s="359">
        <f t="shared" si="114"/>
        <v>-11361.745684665002</v>
      </c>
      <c r="Y342" s="356">
        <f t="shared" si="98"/>
        <v>9783246.603164475</v>
      </c>
      <c r="AA342" s="357">
        <f>+Bono!J342</f>
        <v>323625.9743869649</v>
      </c>
      <c r="AC342" s="378">
        <f t="shared" si="99"/>
        <v>26.583333333333332</v>
      </c>
      <c r="AD342" s="356">
        <f t="shared" si="100"/>
        <v>10604478.37992345</v>
      </c>
    </row>
    <row r="343" spans="1:30" x14ac:dyDescent="0.25">
      <c r="A343" s="356">
        <f t="shared" si="101"/>
        <v>26.666666666666668</v>
      </c>
      <c r="B343" s="356">
        <f t="shared" si="102"/>
        <v>320</v>
      </c>
      <c r="C343" s="357">
        <f t="shared" si="107"/>
        <v>26</v>
      </c>
      <c r="D343" s="357">
        <f t="shared" si="108"/>
        <v>8</v>
      </c>
      <c r="E343" s="357">
        <f t="shared" si="109"/>
        <v>55</v>
      </c>
      <c r="F343" s="356">
        <f t="shared" si="103"/>
        <v>497605.80237200955</v>
      </c>
      <c r="H343" s="356">
        <f t="shared" si="96"/>
        <v>3967.978546351738</v>
      </c>
      <c r="I343" s="356">
        <v>0</v>
      </c>
      <c r="J343" s="356">
        <v>0</v>
      </c>
      <c r="K343" s="356">
        <f t="shared" si="104"/>
        <v>-581.8255858652991</v>
      </c>
      <c r="L343" s="356">
        <f t="shared" si="97"/>
        <v>500991.95533249597</v>
      </c>
      <c r="N343" s="356">
        <f t="shared" si="105"/>
        <v>320</v>
      </c>
      <c r="O343" s="357">
        <f t="shared" si="110"/>
        <v>26</v>
      </c>
      <c r="P343" s="357">
        <f t="shared" si="111"/>
        <v>8</v>
      </c>
      <c r="Q343" s="357">
        <f t="shared" si="112"/>
        <v>26</v>
      </c>
      <c r="R343" s="356">
        <f t="shared" si="106"/>
        <v>9783246.603164475</v>
      </c>
      <c r="S343" s="356">
        <f>IF($G$4="mensual",S342,0)</f>
        <v>10000</v>
      </c>
      <c r="U343" s="356">
        <f t="shared" si="113"/>
        <v>78092.7236685183</v>
      </c>
      <c r="V343" s="359">
        <f t="shared" si="115"/>
        <v>-245.0641492133497</v>
      </c>
      <c r="X343" s="359">
        <f t="shared" si="114"/>
        <v>-11450.469344713183</v>
      </c>
      <c r="Y343" s="356">
        <f t="shared" si="98"/>
        <v>9859643.793339066</v>
      </c>
      <c r="AA343" s="357">
        <f>+Bono!J343</f>
        <v>325632.4929664537</v>
      </c>
      <c r="AC343" s="378">
        <f t="shared" si="99"/>
        <v>26.666666666666668</v>
      </c>
      <c r="AD343" s="356">
        <f t="shared" si="100"/>
        <v>10686268.241638016</v>
      </c>
    </row>
    <row r="344" spans="1:30" x14ac:dyDescent="0.25">
      <c r="A344" s="356">
        <f t="shared" si="101"/>
        <v>26.75</v>
      </c>
      <c r="B344" s="356">
        <f t="shared" si="102"/>
        <v>321</v>
      </c>
      <c r="C344" s="357">
        <f t="shared" si="107"/>
        <v>26</v>
      </c>
      <c r="D344" s="357">
        <f t="shared" si="108"/>
        <v>9</v>
      </c>
      <c r="E344" s="357">
        <f t="shared" si="109"/>
        <v>55</v>
      </c>
      <c r="F344" s="356">
        <f t="shared" si="103"/>
        <v>500991.95533249597</v>
      </c>
      <c r="H344" s="356">
        <f t="shared" ref="H344:H407" si="116">SUM(F344:G344)*$G$8</f>
        <v>3994.980205572405</v>
      </c>
      <c r="I344" s="356">
        <v>0</v>
      </c>
      <c r="J344" s="360">
        <f>-SUM(F344:H344)*$J$21*1.16</f>
        <v>-5272.063607017433</v>
      </c>
      <c r="K344" s="356">
        <f t="shared" si="104"/>
        <v>-579.669251440019</v>
      </c>
      <c r="L344" s="356">
        <f t="shared" ref="L344:L407" si="117">SUM(F344:K344)</f>
        <v>499135.20267961087</v>
      </c>
      <c r="N344" s="356">
        <f t="shared" si="105"/>
        <v>321</v>
      </c>
      <c r="O344" s="357">
        <f t="shared" si="110"/>
        <v>26</v>
      </c>
      <c r="P344" s="357">
        <f t="shared" si="111"/>
        <v>9</v>
      </c>
      <c r="Q344" s="357">
        <f t="shared" si="112"/>
        <v>26</v>
      </c>
      <c r="R344" s="356">
        <f t="shared" si="106"/>
        <v>9859643.793339066</v>
      </c>
      <c r="S344" s="356">
        <f>IF($G$4="mensual",S343,0)</f>
        <v>10000</v>
      </c>
      <c r="U344" s="356">
        <f t="shared" si="113"/>
        <v>78701.92559134416</v>
      </c>
      <c r="V344" s="359">
        <f t="shared" si="115"/>
        <v>-245.0641492133497</v>
      </c>
      <c r="X344" s="359">
        <f t="shared" si="114"/>
        <v>-11539.796759546187</v>
      </c>
      <c r="Y344" s="356">
        <f t="shared" ref="Y344:Y407" si="118">SUM(R344:X344)</f>
        <v>9936560.85802165</v>
      </c>
      <c r="AA344" s="357">
        <f>+Bono!J344</f>
        <v>324699.63730924757</v>
      </c>
      <c r="AC344" s="378">
        <f t="shared" ref="AC344:AC407" si="119">+B344/12</f>
        <v>26.75</v>
      </c>
      <c r="AD344" s="356">
        <f t="shared" ref="AD344:AD407" si="120">+AA344+Y344+L344</f>
        <v>10760395.69801051</v>
      </c>
    </row>
    <row r="345" spans="1:30" x14ac:dyDescent="0.25">
      <c r="A345" s="356">
        <f t="shared" ref="A345:A408" si="121">+B345/12</f>
        <v>26.833333333333332</v>
      </c>
      <c r="B345" s="356">
        <f t="shared" ref="B345:B408" si="122">+B344+1</f>
        <v>322</v>
      </c>
      <c r="C345" s="357">
        <f t="shared" si="107"/>
        <v>26</v>
      </c>
      <c r="D345" s="357">
        <f t="shared" si="108"/>
        <v>10</v>
      </c>
      <c r="E345" s="357">
        <f t="shared" si="109"/>
        <v>55</v>
      </c>
      <c r="F345" s="356">
        <f t="shared" ref="F345:F408" si="123">L344</f>
        <v>499135.20267961087</v>
      </c>
      <c r="H345" s="356">
        <f t="shared" si="116"/>
        <v>3980.1741991765593</v>
      </c>
      <c r="I345" s="356">
        <v>0</v>
      </c>
      <c r="J345" s="356">
        <v>0</v>
      </c>
      <c r="K345" s="356">
        <f t="shared" ref="K345:K408" si="124">-SUM(F345:J345)*0.1%*1.16</f>
        <v>-583.6138371793934</v>
      </c>
      <c r="L345" s="356">
        <f t="shared" si="117"/>
        <v>502531.76304160804</v>
      </c>
      <c r="N345" s="356">
        <f t="shared" ref="N345:N408" si="125">+N344+1</f>
        <v>322</v>
      </c>
      <c r="O345" s="357">
        <f t="shared" si="110"/>
        <v>26</v>
      </c>
      <c r="P345" s="357">
        <f t="shared" si="111"/>
        <v>10</v>
      </c>
      <c r="Q345" s="357">
        <f t="shared" si="112"/>
        <v>26</v>
      </c>
      <c r="R345" s="356">
        <f t="shared" ref="R345:R408" si="126">Y344</f>
        <v>9936560.85802165</v>
      </c>
      <c r="S345" s="356">
        <f>IF($G$4="mensual",S336,IF($G$4="trimestral",S336,0))</f>
        <v>10000</v>
      </c>
      <c r="U345" s="356">
        <f t="shared" si="113"/>
        <v>79315.27306650215</v>
      </c>
      <c r="V345" s="359">
        <f t="shared" si="115"/>
        <v>-245.0641492133497</v>
      </c>
      <c r="X345" s="359">
        <f t="shared" si="114"/>
        <v>-11629.732037649168</v>
      </c>
      <c r="Y345" s="356">
        <f t="shared" si="118"/>
        <v>10014001.33490129</v>
      </c>
      <c r="AA345" s="357">
        <f>+Bono!J345</f>
        <v>326712.8127233917</v>
      </c>
      <c r="AC345" s="378">
        <f t="shared" si="119"/>
        <v>26.833333333333332</v>
      </c>
      <c r="AD345" s="356">
        <f t="shared" si="120"/>
        <v>10843245.91066629</v>
      </c>
    </row>
    <row r="346" spans="1:30" x14ac:dyDescent="0.25">
      <c r="A346" s="356">
        <f t="shared" si="121"/>
        <v>26.916666666666668</v>
      </c>
      <c r="B346" s="356">
        <f t="shared" si="122"/>
        <v>323</v>
      </c>
      <c r="C346" s="357">
        <f t="shared" si="107"/>
        <v>26</v>
      </c>
      <c r="D346" s="357">
        <f t="shared" si="108"/>
        <v>11</v>
      </c>
      <c r="E346" s="357">
        <f t="shared" si="109"/>
        <v>55</v>
      </c>
      <c r="F346" s="356">
        <f t="shared" si="123"/>
        <v>502531.76304160804</v>
      </c>
      <c r="H346" s="356">
        <f t="shared" si="116"/>
        <v>4007.2588484783732</v>
      </c>
      <c r="I346" s="356">
        <v>0</v>
      </c>
      <c r="J346" s="356">
        <v>0</v>
      </c>
      <c r="K346" s="356">
        <f t="shared" si="124"/>
        <v>-587.5852653925002</v>
      </c>
      <c r="L346" s="356">
        <f t="shared" si="117"/>
        <v>505951.4366246939</v>
      </c>
      <c r="N346" s="356">
        <f t="shared" si="125"/>
        <v>323</v>
      </c>
      <c r="O346" s="357">
        <f t="shared" si="110"/>
        <v>26</v>
      </c>
      <c r="P346" s="357">
        <f t="shared" si="111"/>
        <v>11</v>
      </c>
      <c r="Q346" s="357">
        <f t="shared" si="112"/>
        <v>26</v>
      </c>
      <c r="R346" s="356">
        <f t="shared" si="126"/>
        <v>10014001.33490129</v>
      </c>
      <c r="S346" s="356">
        <f>IF($G$17="si",S334*(1+$G$20),S334)</f>
        <v>10000</v>
      </c>
      <c r="U346" s="356">
        <f t="shared" si="113"/>
        <v>79932.79430402168</v>
      </c>
      <c r="V346" s="359">
        <f t="shared" si="115"/>
        <v>-245.0641492133497</v>
      </c>
      <c r="X346" s="359">
        <f t="shared" si="114"/>
        <v>-11720.279315465074</v>
      </c>
      <c r="Y346" s="356">
        <f t="shared" si="118"/>
        <v>10091968.785740634</v>
      </c>
      <c r="AA346" s="357">
        <f>+Bono!J346</f>
        <v>328738.47005861736</v>
      </c>
      <c r="AC346" s="378">
        <f t="shared" si="119"/>
        <v>26.916666666666668</v>
      </c>
      <c r="AD346" s="356">
        <f t="shared" si="120"/>
        <v>10926658.692423947</v>
      </c>
    </row>
    <row r="347" spans="1:30" x14ac:dyDescent="0.25">
      <c r="A347" s="356">
        <f t="shared" si="121"/>
        <v>27</v>
      </c>
      <c r="B347" s="356">
        <f t="shared" si="122"/>
        <v>324</v>
      </c>
      <c r="C347" s="357">
        <f t="shared" si="107"/>
        <v>26</v>
      </c>
      <c r="D347" s="357">
        <f t="shared" si="108"/>
        <v>12</v>
      </c>
      <c r="E347" s="357">
        <f t="shared" si="109"/>
        <v>55</v>
      </c>
      <c r="F347" s="356">
        <f t="shared" si="123"/>
        <v>505951.4366246939</v>
      </c>
      <c r="H347" s="356">
        <f t="shared" si="116"/>
        <v>4034.5278058509125</v>
      </c>
      <c r="I347" s="356">
        <v>0</v>
      </c>
      <c r="J347" s="360">
        <f>-SUM(F347:H347)*$J$21*1.16</f>
        <v>-5324.253468654889</v>
      </c>
      <c r="K347" s="356">
        <f t="shared" si="124"/>
        <v>-585.4075847157923</v>
      </c>
      <c r="L347" s="356">
        <f t="shared" si="117"/>
        <v>504076.30337717413</v>
      </c>
      <c r="N347" s="356">
        <f t="shared" si="125"/>
        <v>324</v>
      </c>
      <c r="O347" s="357">
        <f t="shared" si="110"/>
        <v>26</v>
      </c>
      <c r="P347" s="357">
        <f t="shared" si="111"/>
        <v>12</v>
      </c>
      <c r="Q347" s="357">
        <f t="shared" si="112"/>
        <v>26</v>
      </c>
      <c r="R347" s="356">
        <f t="shared" si="126"/>
        <v>10091968.785740634</v>
      </c>
      <c r="S347" s="356">
        <f>IF($G$4="mensual",S346,0)</f>
        <v>10000</v>
      </c>
      <c r="U347" s="356">
        <f t="shared" si="113"/>
        <v>80554.51770589827</v>
      </c>
      <c r="V347" s="359">
        <f t="shared" si="115"/>
        <v>-245.0641492133497</v>
      </c>
      <c r="X347" s="359">
        <f t="shared" si="114"/>
        <v>-11811.44275758489</v>
      </c>
      <c r="Y347" s="356">
        <f t="shared" si="118"/>
        <v>10170466.796539735</v>
      </c>
      <c r="AA347" s="357">
        <f>+Bono!J347</f>
        <v>327796.71655379416</v>
      </c>
      <c r="AC347" s="378">
        <f t="shared" si="119"/>
        <v>27</v>
      </c>
      <c r="AD347" s="356">
        <f t="shared" si="120"/>
        <v>11002339.816470703</v>
      </c>
    </row>
    <row r="348" spans="1:30" x14ac:dyDescent="0.25">
      <c r="A348" s="356">
        <f t="shared" si="121"/>
        <v>27.083333333333332</v>
      </c>
      <c r="B348" s="356">
        <f t="shared" si="122"/>
        <v>325</v>
      </c>
      <c r="C348" s="357">
        <f t="shared" si="107"/>
        <v>27</v>
      </c>
      <c r="D348" s="357">
        <f t="shared" si="108"/>
        <v>1</v>
      </c>
      <c r="E348" s="357">
        <f t="shared" si="109"/>
        <v>56</v>
      </c>
      <c r="F348" s="356">
        <f t="shared" si="123"/>
        <v>504076.30337717413</v>
      </c>
      <c r="H348" s="356">
        <f t="shared" si="116"/>
        <v>4019.5752300122836</v>
      </c>
      <c r="I348" s="356">
        <v>0</v>
      </c>
      <c r="J348" s="356">
        <v>0</v>
      </c>
      <c r="K348" s="356">
        <f t="shared" si="124"/>
        <v>-589.3912191843363</v>
      </c>
      <c r="L348" s="356">
        <f t="shared" si="117"/>
        <v>507506.4873880021</v>
      </c>
      <c r="N348" s="356">
        <f t="shared" si="125"/>
        <v>325</v>
      </c>
      <c r="O348" s="357">
        <f t="shared" si="110"/>
        <v>27</v>
      </c>
      <c r="P348" s="357">
        <f t="shared" si="111"/>
        <v>1</v>
      </c>
      <c r="Q348" s="357">
        <f t="shared" si="112"/>
        <v>27</v>
      </c>
      <c r="R348" s="356">
        <f t="shared" si="126"/>
        <v>10170466.796539735</v>
      </c>
      <c r="S348" s="356">
        <f>IF($G$17="si",S336*(1+$G$20),S336)</f>
        <v>10000</v>
      </c>
      <c r="U348" s="356">
        <f t="shared" si="113"/>
        <v>81180.47186739989</v>
      </c>
      <c r="V348" s="359">
        <f>V347*(1+$G$18)</f>
        <v>-254.8667151818837</v>
      </c>
      <c r="X348" s="359">
        <f t="shared" si="114"/>
        <v>-11903.215185962665</v>
      </c>
      <c r="Y348" s="356">
        <f t="shared" si="118"/>
        <v>10249489.18650599</v>
      </c>
      <c r="AA348" s="357">
        <f>+Bono!J348</f>
        <v>329829.09421849344</v>
      </c>
      <c r="AC348" s="378">
        <f t="shared" si="119"/>
        <v>27.083333333333332</v>
      </c>
      <c r="AD348" s="356">
        <f t="shared" si="120"/>
        <v>11086824.768112486</v>
      </c>
    </row>
    <row r="349" spans="1:30" x14ac:dyDescent="0.25">
      <c r="A349" s="356">
        <f t="shared" si="121"/>
        <v>27.166666666666668</v>
      </c>
      <c r="B349" s="356">
        <f t="shared" si="122"/>
        <v>326</v>
      </c>
      <c r="C349" s="357">
        <f t="shared" si="107"/>
        <v>27</v>
      </c>
      <c r="D349" s="357">
        <f t="shared" si="108"/>
        <v>2</v>
      </c>
      <c r="E349" s="357">
        <f t="shared" si="109"/>
        <v>56</v>
      </c>
      <c r="F349" s="356">
        <f t="shared" si="123"/>
        <v>507506.4873880021</v>
      </c>
      <c r="H349" s="356">
        <f t="shared" si="116"/>
        <v>4046.927999011606</v>
      </c>
      <c r="I349" s="356">
        <v>0</v>
      </c>
      <c r="J349" s="356">
        <v>0</v>
      </c>
      <c r="K349" s="356">
        <f t="shared" si="124"/>
        <v>-593.4019618489359</v>
      </c>
      <c r="L349" s="356">
        <f t="shared" si="117"/>
        <v>510960.01342516474</v>
      </c>
      <c r="N349" s="356">
        <f t="shared" si="125"/>
        <v>326</v>
      </c>
      <c r="O349" s="357">
        <f t="shared" si="110"/>
        <v>27</v>
      </c>
      <c r="P349" s="357">
        <f t="shared" si="111"/>
        <v>2</v>
      </c>
      <c r="Q349" s="357">
        <f t="shared" si="112"/>
        <v>27</v>
      </c>
      <c r="R349" s="356">
        <f t="shared" si="126"/>
        <v>10249489.18650599</v>
      </c>
      <c r="S349" s="356">
        <f>IF($G$4="mensual",S348,0)</f>
        <v>10000</v>
      </c>
      <c r="U349" s="356">
        <f t="shared" si="113"/>
        <v>81810.6075020184</v>
      </c>
      <c r="V349" s="359">
        <f t="shared" si="115"/>
        <v>-254.8667151818837</v>
      </c>
      <c r="X349" s="359">
        <f t="shared" si="114"/>
        <v>-11995.612115659678</v>
      </c>
      <c r="Y349" s="356">
        <f t="shared" si="118"/>
        <v>10329049.315177169</v>
      </c>
      <c r="AA349" s="357">
        <f>+Bono!J349</f>
        <v>331874.072860455</v>
      </c>
      <c r="AC349" s="378">
        <f t="shared" si="119"/>
        <v>27.166666666666668</v>
      </c>
      <c r="AD349" s="356">
        <f t="shared" si="120"/>
        <v>11171883.401462788</v>
      </c>
    </row>
    <row r="350" spans="1:30" x14ac:dyDescent="0.25">
      <c r="A350" s="356">
        <f t="shared" si="121"/>
        <v>27.25</v>
      </c>
      <c r="B350" s="356">
        <f t="shared" si="122"/>
        <v>327</v>
      </c>
      <c r="C350" s="357">
        <f t="shared" si="107"/>
        <v>27</v>
      </c>
      <c r="D350" s="357">
        <f t="shared" si="108"/>
        <v>3</v>
      </c>
      <c r="E350" s="357">
        <f t="shared" si="109"/>
        <v>56</v>
      </c>
      <c r="F350" s="356">
        <f t="shared" si="123"/>
        <v>510960.01342516474</v>
      </c>
      <c r="H350" s="356">
        <f t="shared" si="116"/>
        <v>4074.466900606816</v>
      </c>
      <c r="I350" s="356">
        <v>0</v>
      </c>
      <c r="J350" s="360">
        <f>-SUM(F350:H350)*$J$21*1.16</f>
        <v>-5376.959974601055</v>
      </c>
      <c r="K350" s="356">
        <f t="shared" si="124"/>
        <v>-591.2027236073577</v>
      </c>
      <c r="L350" s="356">
        <f t="shared" si="117"/>
        <v>509066.31762756314</v>
      </c>
      <c r="N350" s="356">
        <f t="shared" si="125"/>
        <v>327</v>
      </c>
      <c r="O350" s="357">
        <f t="shared" si="110"/>
        <v>27</v>
      </c>
      <c r="P350" s="357">
        <f t="shared" si="111"/>
        <v>3</v>
      </c>
      <c r="Q350" s="357">
        <f t="shared" si="112"/>
        <v>27</v>
      </c>
      <c r="R350" s="356">
        <f t="shared" si="126"/>
        <v>10329049.315177169</v>
      </c>
      <c r="S350" s="356">
        <f>IF($G$4="mensual",S349,0)</f>
        <v>10000</v>
      </c>
      <c r="U350" s="356">
        <f t="shared" si="113"/>
        <v>82445.03114058403</v>
      </c>
      <c r="V350" s="359">
        <f t="shared" si="115"/>
        <v>-254.8667151818837</v>
      </c>
      <c r="X350" s="359">
        <f t="shared" si="114"/>
        <v>-12088.637796338982</v>
      </c>
      <c r="Y350" s="356">
        <f t="shared" si="118"/>
        <v>10409150.841806233</v>
      </c>
      <c r="AA350" s="357">
        <f>+Bono!J350</f>
        <v>330923.33663776534</v>
      </c>
      <c r="AC350" s="378">
        <f t="shared" si="119"/>
        <v>27.25</v>
      </c>
      <c r="AD350" s="356">
        <f t="shared" si="120"/>
        <v>11249140.496071562</v>
      </c>
    </row>
    <row r="351" spans="1:30" x14ac:dyDescent="0.25">
      <c r="A351" s="356">
        <f t="shared" si="121"/>
        <v>27.333333333333332</v>
      </c>
      <c r="B351" s="356">
        <f t="shared" si="122"/>
        <v>328</v>
      </c>
      <c r="C351" s="357">
        <f t="shared" si="107"/>
        <v>27</v>
      </c>
      <c r="D351" s="357">
        <f t="shared" si="108"/>
        <v>4</v>
      </c>
      <c r="E351" s="357">
        <f t="shared" si="109"/>
        <v>56</v>
      </c>
      <c r="F351" s="356">
        <f t="shared" si="123"/>
        <v>509066.31762756314</v>
      </c>
      <c r="H351" s="356">
        <f t="shared" si="116"/>
        <v>4059.366304387116</v>
      </c>
      <c r="I351" s="356">
        <v>0</v>
      </c>
      <c r="J351" s="356">
        <v>0</v>
      </c>
      <c r="K351" s="356">
        <f t="shared" si="124"/>
        <v>-595.2257933610622</v>
      </c>
      <c r="L351" s="356">
        <f t="shared" si="117"/>
        <v>512530.45813858917</v>
      </c>
      <c r="N351" s="356">
        <f t="shared" si="125"/>
        <v>328</v>
      </c>
      <c r="O351" s="357">
        <f t="shared" si="110"/>
        <v>27</v>
      </c>
      <c r="P351" s="357">
        <f t="shared" si="111"/>
        <v>4</v>
      </c>
      <c r="Q351" s="357">
        <f t="shared" si="112"/>
        <v>27</v>
      </c>
      <c r="R351" s="356">
        <f t="shared" si="126"/>
        <v>10409150.841806233</v>
      </c>
      <c r="S351" s="356">
        <f>IF($G$4="mensual",S348,IF($G$4="trimestral",S348,0))</f>
        <v>10000</v>
      </c>
      <c r="U351" s="356">
        <f t="shared" si="113"/>
        <v>83083.77196249377</v>
      </c>
      <c r="V351" s="359">
        <f t="shared" si="115"/>
        <v>-254.8667151818837</v>
      </c>
      <c r="X351" s="359">
        <f t="shared" si="114"/>
        <v>-12182.296506582112</v>
      </c>
      <c r="Y351" s="356">
        <f t="shared" si="118"/>
        <v>10489797.450546963</v>
      </c>
      <c r="AA351" s="357">
        <f>+Bono!J351</f>
        <v>332975.0997096507</v>
      </c>
      <c r="AC351" s="378">
        <f t="shared" si="119"/>
        <v>27.333333333333332</v>
      </c>
      <c r="AD351" s="356">
        <f t="shared" si="120"/>
        <v>11335303.008395202</v>
      </c>
    </row>
    <row r="352" spans="1:30" x14ac:dyDescent="0.25">
      <c r="A352" s="356">
        <f t="shared" si="121"/>
        <v>27.416666666666668</v>
      </c>
      <c r="B352" s="356">
        <f t="shared" si="122"/>
        <v>329</v>
      </c>
      <c r="C352" s="357">
        <f t="shared" si="107"/>
        <v>27</v>
      </c>
      <c r="D352" s="357">
        <f t="shared" si="108"/>
        <v>5</v>
      </c>
      <c r="E352" s="357">
        <f t="shared" si="109"/>
        <v>56</v>
      </c>
      <c r="F352" s="356">
        <f t="shared" si="123"/>
        <v>512530.45813858917</v>
      </c>
      <c r="H352" s="356">
        <f t="shared" si="116"/>
        <v>4086.989847287492</v>
      </c>
      <c r="I352" s="356">
        <v>0</v>
      </c>
      <c r="J352" s="356">
        <v>0</v>
      </c>
      <c r="K352" s="356">
        <f t="shared" si="124"/>
        <v>-599.2762396636168</v>
      </c>
      <c r="L352" s="356">
        <f t="shared" si="117"/>
        <v>516018.17174621305</v>
      </c>
      <c r="N352" s="356">
        <f t="shared" si="125"/>
        <v>329</v>
      </c>
      <c r="O352" s="357">
        <f t="shared" si="110"/>
        <v>27</v>
      </c>
      <c r="P352" s="357">
        <f t="shared" si="111"/>
        <v>5</v>
      </c>
      <c r="Q352" s="357">
        <f t="shared" si="112"/>
        <v>27</v>
      </c>
      <c r="R352" s="356">
        <f t="shared" si="126"/>
        <v>10489797.450546963</v>
      </c>
      <c r="S352" s="356">
        <f>IF($G$4="mensual",S351,0)</f>
        <v>10000</v>
      </c>
      <c r="U352" s="356">
        <f t="shared" si="113"/>
        <v>83726.85934570721</v>
      </c>
      <c r="V352" s="359">
        <f t="shared" si="115"/>
        <v>-254.8667151818837</v>
      </c>
      <c r="X352" s="359">
        <f t="shared" si="114"/>
        <v>-12276.592554085886</v>
      </c>
      <c r="Y352" s="356">
        <f t="shared" si="118"/>
        <v>10570992.850623405</v>
      </c>
      <c r="AA352" s="357">
        <f>+Bono!J352</f>
        <v>335039.58395057154</v>
      </c>
      <c r="AC352" s="378">
        <f t="shared" si="119"/>
        <v>27.416666666666668</v>
      </c>
      <c r="AD352" s="356">
        <f t="shared" si="120"/>
        <v>11422050.60632019</v>
      </c>
    </row>
    <row r="353" spans="1:30" x14ac:dyDescent="0.25">
      <c r="A353" s="356">
        <f t="shared" si="121"/>
        <v>27.5</v>
      </c>
      <c r="B353" s="356">
        <f t="shared" si="122"/>
        <v>330</v>
      </c>
      <c r="C353" s="357">
        <f t="shared" si="107"/>
        <v>27</v>
      </c>
      <c r="D353" s="357">
        <f t="shared" si="108"/>
        <v>6</v>
      </c>
      <c r="E353" s="357">
        <f t="shared" si="109"/>
        <v>56</v>
      </c>
      <c r="F353" s="356">
        <f t="shared" si="123"/>
        <v>516018.17174621305</v>
      </c>
      <c r="H353" s="356">
        <f t="shared" si="116"/>
        <v>4114.801365370484</v>
      </c>
      <c r="I353" s="356">
        <v>0</v>
      </c>
      <c r="J353" s="360">
        <f>-SUM(F353:H353)*$J$21*1.16</f>
        <v>-5430.188239284932</v>
      </c>
      <c r="K353" s="356">
        <f t="shared" si="124"/>
        <v>-597.0552304518664</v>
      </c>
      <c r="L353" s="356">
        <f t="shared" si="117"/>
        <v>514105.72964184673</v>
      </c>
      <c r="N353" s="356">
        <f t="shared" si="125"/>
        <v>330</v>
      </c>
      <c r="O353" s="357">
        <f t="shared" si="110"/>
        <v>27</v>
      </c>
      <c r="P353" s="357">
        <f t="shared" si="111"/>
        <v>6</v>
      </c>
      <c r="Q353" s="357">
        <f t="shared" si="112"/>
        <v>27</v>
      </c>
      <c r="R353" s="356">
        <f t="shared" si="126"/>
        <v>10570992.850623405</v>
      </c>
      <c r="S353" s="356">
        <f>IF($G$4="mensual",S352,0)</f>
        <v>10000</v>
      </c>
      <c r="U353" s="356">
        <f t="shared" si="113"/>
        <v>84374.32286809778</v>
      </c>
      <c r="V353" s="359">
        <f t="shared" si="115"/>
        <v>-254.8667151818837</v>
      </c>
      <c r="X353" s="359">
        <f t="shared" si="114"/>
        <v>-12371.53027586053</v>
      </c>
      <c r="Y353" s="356">
        <f t="shared" si="118"/>
        <v>10652740.77650046</v>
      </c>
      <c r="AA353" s="357">
        <f>+Bono!J353</f>
        <v>334079.7793302492</v>
      </c>
      <c r="AC353" s="378">
        <f t="shared" si="119"/>
        <v>27.5</v>
      </c>
      <c r="AD353" s="356">
        <f t="shared" si="120"/>
        <v>11500926.285472557</v>
      </c>
    </row>
    <row r="354" spans="1:30" x14ac:dyDescent="0.25">
      <c r="A354" s="356">
        <f t="shared" si="121"/>
        <v>27.583333333333332</v>
      </c>
      <c r="B354" s="356">
        <f t="shared" si="122"/>
        <v>331</v>
      </c>
      <c r="C354" s="357">
        <f t="shared" si="107"/>
        <v>27</v>
      </c>
      <c r="D354" s="357">
        <f t="shared" si="108"/>
        <v>7</v>
      </c>
      <c r="E354" s="357">
        <f t="shared" si="109"/>
        <v>56</v>
      </c>
      <c r="F354" s="356">
        <f t="shared" si="123"/>
        <v>514105.72964184673</v>
      </c>
      <c r="H354" s="356">
        <f t="shared" si="116"/>
        <v>4099.5512834681185</v>
      </c>
      <c r="I354" s="356">
        <v>0</v>
      </c>
      <c r="J354" s="356">
        <v>0</v>
      </c>
      <c r="K354" s="356">
        <f t="shared" si="124"/>
        <v>-601.1181258733652</v>
      </c>
      <c r="L354" s="356">
        <f t="shared" si="117"/>
        <v>517604.1627994415</v>
      </c>
      <c r="N354" s="356">
        <f t="shared" si="125"/>
        <v>331</v>
      </c>
      <c r="O354" s="357">
        <f t="shared" si="110"/>
        <v>27</v>
      </c>
      <c r="P354" s="357">
        <f t="shared" si="111"/>
        <v>7</v>
      </c>
      <c r="Q354" s="357">
        <f t="shared" si="112"/>
        <v>27</v>
      </c>
      <c r="R354" s="356">
        <f t="shared" si="126"/>
        <v>10652740.77650046</v>
      </c>
      <c r="S354" s="356">
        <f>+IF($G$4="mensual",S348,IF($G$4="trimestral",S348,IF($G$4="semestral",S348,0)))</f>
        <v>10000</v>
      </c>
      <c r="U354" s="356">
        <f t="shared" si="113"/>
        <v>85026.19230881303</v>
      </c>
      <c r="V354" s="359">
        <f t="shared" si="115"/>
        <v>-254.8667151818837</v>
      </c>
      <c r="X354" s="359">
        <f t="shared" si="114"/>
        <v>-12467.114038429145</v>
      </c>
      <c r="Y354" s="356">
        <f t="shared" si="118"/>
        <v>10735044.988055663</v>
      </c>
      <c r="AA354" s="357">
        <f>+Bono!J354</f>
        <v>336151.1127129526</v>
      </c>
      <c r="AC354" s="378">
        <f t="shared" si="119"/>
        <v>27.583333333333332</v>
      </c>
      <c r="AD354" s="356">
        <f t="shared" si="120"/>
        <v>11588800.263568059</v>
      </c>
    </row>
    <row r="355" spans="1:30" x14ac:dyDescent="0.25">
      <c r="A355" s="356">
        <f t="shared" si="121"/>
        <v>27.666666666666668</v>
      </c>
      <c r="B355" s="356">
        <f t="shared" si="122"/>
        <v>332</v>
      </c>
      <c r="C355" s="357">
        <f t="shared" si="107"/>
        <v>27</v>
      </c>
      <c r="D355" s="357">
        <f t="shared" si="108"/>
        <v>8</v>
      </c>
      <c r="E355" s="357">
        <f t="shared" si="109"/>
        <v>56</v>
      </c>
      <c r="F355" s="356">
        <f t="shared" si="123"/>
        <v>517604.1627994415</v>
      </c>
      <c r="H355" s="356">
        <f t="shared" si="116"/>
        <v>4127.448280747913</v>
      </c>
      <c r="I355" s="356">
        <v>0</v>
      </c>
      <c r="J355" s="356">
        <v>0</v>
      </c>
      <c r="K355" s="356">
        <f t="shared" si="124"/>
        <v>-605.2086688530196</v>
      </c>
      <c r="L355" s="356">
        <f t="shared" si="117"/>
        <v>521126.40241133637</v>
      </c>
      <c r="N355" s="356">
        <f t="shared" si="125"/>
        <v>332</v>
      </c>
      <c r="O355" s="357">
        <f t="shared" si="110"/>
        <v>27</v>
      </c>
      <c r="P355" s="357">
        <f t="shared" si="111"/>
        <v>8</v>
      </c>
      <c r="Q355" s="357">
        <f t="shared" si="112"/>
        <v>27</v>
      </c>
      <c r="R355" s="356">
        <f t="shared" si="126"/>
        <v>10735044.988055663</v>
      </c>
      <c r="S355" s="356">
        <f>IF($G$4="mensual",S354,0)</f>
        <v>10000</v>
      </c>
      <c r="U355" s="356">
        <f t="shared" si="113"/>
        <v>85682.49764964443</v>
      </c>
      <c r="V355" s="359">
        <f t="shared" si="115"/>
        <v>-254.8667151818837</v>
      </c>
      <c r="X355" s="359">
        <f t="shared" si="114"/>
        <v>-12563.348238028544</v>
      </c>
      <c r="Y355" s="356">
        <f t="shared" si="118"/>
        <v>10817909.270752097</v>
      </c>
      <c r="AA355" s="357">
        <f>+Bono!J355</f>
        <v>338235.28860288864</v>
      </c>
      <c r="AC355" s="378">
        <f t="shared" si="119"/>
        <v>27.666666666666668</v>
      </c>
      <c r="AD355" s="356">
        <f t="shared" si="120"/>
        <v>11677270.961766321</v>
      </c>
    </row>
    <row r="356" spans="1:30" x14ac:dyDescent="0.25">
      <c r="A356" s="356">
        <f t="shared" si="121"/>
        <v>27.75</v>
      </c>
      <c r="B356" s="356">
        <f t="shared" si="122"/>
        <v>333</v>
      </c>
      <c r="C356" s="357">
        <f t="shared" ref="C356:C419" si="127">C344+1</f>
        <v>27</v>
      </c>
      <c r="D356" s="357">
        <f t="shared" ref="D356:D419" si="128">D344</f>
        <v>9</v>
      </c>
      <c r="E356" s="357">
        <f t="shared" ref="E356:E419" si="129">E344+1</f>
        <v>56</v>
      </c>
      <c r="F356" s="356">
        <f t="shared" si="123"/>
        <v>521126.40241133637</v>
      </c>
      <c r="H356" s="356">
        <f t="shared" si="116"/>
        <v>4155.53511403741</v>
      </c>
      <c r="I356" s="356">
        <v>0</v>
      </c>
      <c r="J356" s="360">
        <f>-SUM(F356:H356)*$J$21*1.16</f>
        <v>-5483.9434277649025</v>
      </c>
      <c r="K356" s="356">
        <f t="shared" si="124"/>
        <v>-602.9656731532261</v>
      </c>
      <c r="L356" s="356">
        <f t="shared" si="117"/>
        <v>519195.0284244556</v>
      </c>
      <c r="N356" s="356">
        <f t="shared" si="125"/>
        <v>333</v>
      </c>
      <c r="O356" s="357">
        <f t="shared" ref="O356:O419" si="130">O344+1</f>
        <v>27</v>
      </c>
      <c r="P356" s="357">
        <f t="shared" ref="P356:P419" si="131">P344</f>
        <v>9</v>
      </c>
      <c r="Q356" s="357">
        <f t="shared" ref="Q356:Q419" si="132">Q344+1</f>
        <v>27</v>
      </c>
      <c r="R356" s="356">
        <f t="shared" si="126"/>
        <v>10817909.270752097</v>
      </c>
      <c r="S356" s="356">
        <f>IF($G$4="mensual",S355,0)</f>
        <v>10000</v>
      </c>
      <c r="U356" s="356">
        <f t="shared" ref="U356:U419" si="133">SUM(R356:T356)*$G$8</f>
        <v>86343.26907640617</v>
      </c>
      <c r="V356" s="359">
        <f t="shared" si="115"/>
        <v>-254.8667151818837</v>
      </c>
      <c r="X356" s="359">
        <f t="shared" si="114"/>
        <v>-12660.237300811454</v>
      </c>
      <c r="Y356" s="356">
        <f t="shared" si="118"/>
        <v>10901337.43581251</v>
      </c>
      <c r="AA356" s="357">
        <f>+Bono!J356</f>
        <v>337266.32908792875</v>
      </c>
      <c r="AC356" s="378">
        <f t="shared" si="119"/>
        <v>27.75</v>
      </c>
      <c r="AD356" s="356">
        <f t="shared" si="120"/>
        <v>11757798.793324893</v>
      </c>
    </row>
    <row r="357" spans="1:30" x14ac:dyDescent="0.25">
      <c r="A357" s="356">
        <f t="shared" si="121"/>
        <v>27.833333333333332</v>
      </c>
      <c r="B357" s="356">
        <f t="shared" si="122"/>
        <v>334</v>
      </c>
      <c r="C357" s="357">
        <f t="shared" si="127"/>
        <v>27</v>
      </c>
      <c r="D357" s="357">
        <f t="shared" si="128"/>
        <v>10</v>
      </c>
      <c r="E357" s="357">
        <f t="shared" si="129"/>
        <v>56</v>
      </c>
      <c r="F357" s="356">
        <f t="shared" si="123"/>
        <v>519195.0284244556</v>
      </c>
      <c r="H357" s="356">
        <f t="shared" si="116"/>
        <v>4140.134066645291</v>
      </c>
      <c r="I357" s="356">
        <v>0</v>
      </c>
      <c r="J357" s="356">
        <v>0</v>
      </c>
      <c r="K357" s="356">
        <f t="shared" si="124"/>
        <v>-607.0687884896771</v>
      </c>
      <c r="L357" s="356">
        <f t="shared" si="117"/>
        <v>522728.0937026112</v>
      </c>
      <c r="N357" s="356">
        <f t="shared" si="125"/>
        <v>334</v>
      </c>
      <c r="O357" s="357">
        <f t="shared" si="130"/>
        <v>27</v>
      </c>
      <c r="P357" s="357">
        <f t="shared" si="131"/>
        <v>10</v>
      </c>
      <c r="Q357" s="357">
        <f t="shared" si="132"/>
        <v>27</v>
      </c>
      <c r="R357" s="356">
        <f t="shared" si="126"/>
        <v>10901337.43581251</v>
      </c>
      <c r="S357" s="356">
        <f>IF($G$4="mensual",S348,IF($G$4="trimestral",S348,0))</f>
        <v>10000</v>
      </c>
      <c r="U357" s="356">
        <f t="shared" si="133"/>
        <v>87008.53698032367</v>
      </c>
      <c r="V357" s="359">
        <f t="shared" si="115"/>
        <v>-254.8667151818837</v>
      </c>
      <c r="X357" s="359">
        <f t="shared" si="114"/>
        <v>-12757.785683050077</v>
      </c>
      <c r="Y357" s="356">
        <f t="shared" si="118"/>
        <v>10985333.320394602</v>
      </c>
      <c r="AA357" s="357">
        <f>+Bono!J357</f>
        <v>339357.4194487467</v>
      </c>
      <c r="AC357" s="378">
        <f t="shared" si="119"/>
        <v>27.833333333333332</v>
      </c>
      <c r="AD357" s="356">
        <f t="shared" si="120"/>
        <v>11847418.833545959</v>
      </c>
    </row>
    <row r="358" spans="1:30" x14ac:dyDescent="0.25">
      <c r="A358" s="356">
        <f t="shared" si="121"/>
        <v>27.916666666666668</v>
      </c>
      <c r="B358" s="356">
        <f t="shared" si="122"/>
        <v>335</v>
      </c>
      <c r="C358" s="357">
        <f t="shared" si="127"/>
        <v>27</v>
      </c>
      <c r="D358" s="357">
        <f t="shared" si="128"/>
        <v>11</v>
      </c>
      <c r="E358" s="357">
        <f t="shared" si="129"/>
        <v>56</v>
      </c>
      <c r="F358" s="356">
        <f t="shared" si="123"/>
        <v>522728.0937026112</v>
      </c>
      <c r="H358" s="356">
        <f t="shared" si="116"/>
        <v>4168.307225317787</v>
      </c>
      <c r="I358" s="356">
        <v>0</v>
      </c>
      <c r="J358" s="356">
        <v>0</v>
      </c>
      <c r="K358" s="356">
        <f t="shared" si="124"/>
        <v>-611.1998250763976</v>
      </c>
      <c r="L358" s="356">
        <f t="shared" si="117"/>
        <v>526285.2011028526</v>
      </c>
      <c r="N358" s="356">
        <f t="shared" si="125"/>
        <v>335</v>
      </c>
      <c r="O358" s="357">
        <f t="shared" si="130"/>
        <v>27</v>
      </c>
      <c r="P358" s="357">
        <f t="shared" si="131"/>
        <v>11</v>
      </c>
      <c r="Q358" s="357">
        <f t="shared" si="132"/>
        <v>27</v>
      </c>
      <c r="R358" s="356">
        <f t="shared" si="126"/>
        <v>10985333.320394602</v>
      </c>
      <c r="S358" s="356">
        <f>IF($G$17="si",S346*(1+$G$20),S346)</f>
        <v>10000</v>
      </c>
      <c r="U358" s="356">
        <f t="shared" si="133"/>
        <v>87678.33195943126</v>
      </c>
      <c r="V358" s="359">
        <f t="shared" si="115"/>
        <v>-254.8667151818837</v>
      </c>
      <c r="X358" s="359">
        <f t="shared" si="114"/>
        <v>-12855.997871341067</v>
      </c>
      <c r="Y358" s="356">
        <f t="shared" si="118"/>
        <v>11069900.78776751</v>
      </c>
      <c r="AA358" s="357">
        <f>+Bono!J358</f>
        <v>341461.4748123532</v>
      </c>
      <c r="AC358" s="378">
        <f t="shared" si="119"/>
        <v>27.916666666666668</v>
      </c>
      <c r="AD358" s="356">
        <f t="shared" si="120"/>
        <v>11937647.463682717</v>
      </c>
    </row>
    <row r="359" spans="1:30" x14ac:dyDescent="0.25">
      <c r="A359" s="356">
        <f t="shared" si="121"/>
        <v>28</v>
      </c>
      <c r="B359" s="356">
        <f t="shared" si="122"/>
        <v>336</v>
      </c>
      <c r="C359" s="357">
        <f t="shared" si="127"/>
        <v>27</v>
      </c>
      <c r="D359" s="357">
        <f t="shared" si="128"/>
        <v>12</v>
      </c>
      <c r="E359" s="357">
        <f t="shared" si="129"/>
        <v>56</v>
      </c>
      <c r="F359" s="356">
        <f t="shared" si="123"/>
        <v>526285.2011028526</v>
      </c>
      <c r="H359" s="356">
        <f t="shared" si="116"/>
        <v>4196.672099248005</v>
      </c>
      <c r="I359" s="356">
        <v>0</v>
      </c>
      <c r="J359" s="360">
        <f>-SUM(F359:H359)*$J$21*1.16</f>
        <v>-5538.23075622993</v>
      </c>
      <c r="K359" s="356">
        <f t="shared" si="124"/>
        <v>-608.9346252372098</v>
      </c>
      <c r="L359" s="356">
        <f t="shared" si="117"/>
        <v>524334.7078206334</v>
      </c>
      <c r="N359" s="356">
        <f t="shared" si="125"/>
        <v>336</v>
      </c>
      <c r="O359" s="357">
        <f t="shared" si="130"/>
        <v>27</v>
      </c>
      <c r="P359" s="357">
        <f t="shared" si="131"/>
        <v>12</v>
      </c>
      <c r="Q359" s="357">
        <f t="shared" si="132"/>
        <v>27</v>
      </c>
      <c r="R359" s="356">
        <f t="shared" si="126"/>
        <v>11069900.78776751</v>
      </c>
      <c r="S359" s="356">
        <f>IF($G$4="mensual",S358,0)</f>
        <v>10000</v>
      </c>
      <c r="U359" s="356">
        <f t="shared" si="133"/>
        <v>88352.68481997958</v>
      </c>
      <c r="V359" s="359">
        <f t="shared" si="115"/>
        <v>-254.8667151818837</v>
      </c>
      <c r="X359" s="359">
        <f t="shared" si="114"/>
        <v>-12954.878382811878</v>
      </c>
      <c r="Y359" s="356">
        <f t="shared" si="118"/>
        <v>11155043.727489498</v>
      </c>
      <c r="AA359" s="357">
        <f>+Bono!J359</f>
        <v>340483.2730807174</v>
      </c>
      <c r="AC359" s="378">
        <f t="shared" si="119"/>
        <v>28</v>
      </c>
      <c r="AD359" s="356">
        <f t="shared" si="120"/>
        <v>12019861.708390849</v>
      </c>
    </row>
    <row r="360" spans="1:30" x14ac:dyDescent="0.25">
      <c r="A360" s="356">
        <f t="shared" si="121"/>
        <v>28.083333333333332</v>
      </c>
      <c r="B360" s="356">
        <f t="shared" si="122"/>
        <v>337</v>
      </c>
      <c r="C360" s="357">
        <f t="shared" si="127"/>
        <v>28</v>
      </c>
      <c r="D360" s="357">
        <f t="shared" si="128"/>
        <v>1</v>
      </c>
      <c r="E360" s="357">
        <f t="shared" si="129"/>
        <v>57</v>
      </c>
      <c r="F360" s="356">
        <f t="shared" si="123"/>
        <v>524334.7078206334</v>
      </c>
      <c r="H360" s="356">
        <f t="shared" si="116"/>
        <v>4181.118591909956</v>
      </c>
      <c r="I360" s="356">
        <v>0</v>
      </c>
      <c r="J360" s="356">
        <v>0</v>
      </c>
      <c r="K360" s="356">
        <f t="shared" si="124"/>
        <v>-613.0783586385504</v>
      </c>
      <c r="L360" s="356">
        <f t="shared" si="117"/>
        <v>527902.7480539049</v>
      </c>
      <c r="N360" s="356">
        <f t="shared" si="125"/>
        <v>337</v>
      </c>
      <c r="O360" s="357">
        <f t="shared" si="130"/>
        <v>28</v>
      </c>
      <c r="P360" s="357">
        <f t="shared" si="131"/>
        <v>1</v>
      </c>
      <c r="Q360" s="357">
        <f t="shared" si="132"/>
        <v>28</v>
      </c>
      <c r="R360" s="356">
        <f t="shared" si="126"/>
        <v>11155043.727489498</v>
      </c>
      <c r="S360" s="356">
        <f>IF($G$17="si",S348*(1+$G$20),S348)</f>
        <v>10000</v>
      </c>
      <c r="U360" s="356">
        <f t="shared" si="133"/>
        <v>89031.62657785238</v>
      </c>
      <c r="V360" s="359">
        <f>V359*(1+$G$18)</f>
        <v>-265.06138378915904</v>
      </c>
      <c r="X360" s="359">
        <f t="shared" si="114"/>
        <v>-13054.419939512929</v>
      </c>
      <c r="Y360" s="356">
        <f t="shared" si="118"/>
        <v>11240755.872744048</v>
      </c>
      <c r="AA360" s="357">
        <f>+Bono!J360</f>
        <v>342594.30886743305</v>
      </c>
      <c r="AC360" s="378">
        <f t="shared" si="119"/>
        <v>28.083333333333332</v>
      </c>
      <c r="AD360" s="356">
        <f t="shared" si="120"/>
        <v>12111252.929665385</v>
      </c>
    </row>
    <row r="361" spans="1:30" x14ac:dyDescent="0.25">
      <c r="A361" s="356">
        <f t="shared" si="121"/>
        <v>28.166666666666668</v>
      </c>
      <c r="B361" s="356">
        <f t="shared" si="122"/>
        <v>338</v>
      </c>
      <c r="C361" s="357">
        <f t="shared" si="127"/>
        <v>28</v>
      </c>
      <c r="D361" s="357">
        <f t="shared" si="128"/>
        <v>2</v>
      </c>
      <c r="E361" s="357">
        <f t="shared" si="129"/>
        <v>57</v>
      </c>
      <c r="F361" s="356">
        <f t="shared" si="123"/>
        <v>527902.7480539049</v>
      </c>
      <c r="H361" s="356">
        <f t="shared" si="116"/>
        <v>4209.570645786041</v>
      </c>
      <c r="I361" s="356">
        <v>0</v>
      </c>
      <c r="J361" s="356">
        <v>0</v>
      </c>
      <c r="K361" s="356">
        <f t="shared" si="124"/>
        <v>-617.2502896916413</v>
      </c>
      <c r="L361" s="356">
        <f t="shared" si="117"/>
        <v>531495.0684099993</v>
      </c>
      <c r="N361" s="356">
        <f t="shared" si="125"/>
        <v>338</v>
      </c>
      <c r="O361" s="357">
        <f t="shared" si="130"/>
        <v>28</v>
      </c>
      <c r="P361" s="357">
        <f t="shared" si="131"/>
        <v>2</v>
      </c>
      <c r="Q361" s="357">
        <f t="shared" si="132"/>
        <v>28</v>
      </c>
      <c r="R361" s="356">
        <f t="shared" si="126"/>
        <v>11240755.872744048</v>
      </c>
      <c r="S361" s="356">
        <f>IF($G$4="mensual",S360,0)</f>
        <v>10000</v>
      </c>
      <c r="U361" s="356">
        <f t="shared" si="133"/>
        <v>89715.10726057476</v>
      </c>
      <c r="V361" s="359">
        <f t="shared" si="115"/>
        <v>-265.06138378915904</v>
      </c>
      <c r="X361" s="359">
        <f t="shared" si="114"/>
        <v>-13154.638865600165</v>
      </c>
      <c r="Y361" s="356">
        <f t="shared" si="118"/>
        <v>11327051.279755235</v>
      </c>
      <c r="AA361" s="357">
        <f>+Bono!J361</f>
        <v>344718.43332089134</v>
      </c>
      <c r="AC361" s="378">
        <f t="shared" si="119"/>
        <v>28.166666666666668</v>
      </c>
      <c r="AD361" s="356">
        <f t="shared" si="120"/>
        <v>12203264.781486126</v>
      </c>
    </row>
    <row r="362" spans="1:30" x14ac:dyDescent="0.25">
      <c r="A362" s="356">
        <f t="shared" si="121"/>
        <v>28.25</v>
      </c>
      <c r="B362" s="356">
        <f t="shared" si="122"/>
        <v>339</v>
      </c>
      <c r="C362" s="357">
        <f t="shared" si="127"/>
        <v>28</v>
      </c>
      <c r="D362" s="357">
        <f t="shared" si="128"/>
        <v>3</v>
      </c>
      <c r="E362" s="357">
        <f t="shared" si="129"/>
        <v>57</v>
      </c>
      <c r="F362" s="356">
        <f t="shared" si="123"/>
        <v>531495.0684099993</v>
      </c>
      <c r="H362" s="356">
        <f t="shared" si="116"/>
        <v>4238.216312771147</v>
      </c>
      <c r="I362" s="356">
        <v>0</v>
      </c>
      <c r="J362" s="360">
        <f>-SUM(F362:H362)*$J$21*1.16</f>
        <v>-5593.055492505724</v>
      </c>
      <c r="K362" s="356">
        <f t="shared" si="124"/>
        <v>-614.9626659071071</v>
      </c>
      <c r="L362" s="356">
        <f t="shared" si="117"/>
        <v>529525.2665643576</v>
      </c>
      <c r="N362" s="356">
        <f t="shared" si="125"/>
        <v>339</v>
      </c>
      <c r="O362" s="357">
        <f t="shared" si="130"/>
        <v>28</v>
      </c>
      <c r="P362" s="357">
        <f t="shared" si="131"/>
        <v>3</v>
      </c>
      <c r="Q362" s="357">
        <f t="shared" si="132"/>
        <v>28</v>
      </c>
      <c r="R362" s="356">
        <f t="shared" si="126"/>
        <v>11327051.279755235</v>
      </c>
      <c r="S362" s="356">
        <f>IF($G$4="mensual",S361,0)</f>
        <v>10000</v>
      </c>
      <c r="U362" s="356">
        <f t="shared" si="133"/>
        <v>90403.23895445137</v>
      </c>
      <c r="V362" s="359">
        <f t="shared" si="115"/>
        <v>-265.06138378915904</v>
      </c>
      <c r="X362" s="359">
        <f t="shared" si="114"/>
        <v>-13255.539770498039</v>
      </c>
      <c r="Y362" s="356">
        <f t="shared" si="118"/>
        <v>11413933.917555397</v>
      </c>
      <c r="AA362" s="357">
        <f>+Bono!J362</f>
        <v>343730.90121763846</v>
      </c>
      <c r="AC362" s="378">
        <f t="shared" si="119"/>
        <v>28.25</v>
      </c>
      <c r="AD362" s="356">
        <f t="shared" si="120"/>
        <v>12287190.085337393</v>
      </c>
    </row>
    <row r="363" spans="1:30" x14ac:dyDescent="0.25">
      <c r="A363" s="356">
        <f t="shared" si="121"/>
        <v>28.333333333333332</v>
      </c>
      <c r="B363" s="356">
        <f t="shared" si="122"/>
        <v>340</v>
      </c>
      <c r="C363" s="357">
        <f t="shared" si="127"/>
        <v>28</v>
      </c>
      <c r="D363" s="357">
        <f t="shared" si="128"/>
        <v>4</v>
      </c>
      <c r="E363" s="357">
        <f t="shared" si="129"/>
        <v>57</v>
      </c>
      <c r="F363" s="356">
        <f t="shared" si="123"/>
        <v>529525.2665643576</v>
      </c>
      <c r="H363" s="356">
        <f t="shared" si="116"/>
        <v>4222.508836236886</v>
      </c>
      <c r="I363" s="356">
        <v>0</v>
      </c>
      <c r="J363" s="356">
        <v>0</v>
      </c>
      <c r="K363" s="356">
        <f t="shared" si="124"/>
        <v>-619.1474194646896</v>
      </c>
      <c r="L363" s="356">
        <f t="shared" si="117"/>
        <v>533128.6279811298</v>
      </c>
      <c r="N363" s="356">
        <f t="shared" si="125"/>
        <v>340</v>
      </c>
      <c r="O363" s="357">
        <f t="shared" si="130"/>
        <v>28</v>
      </c>
      <c r="P363" s="357">
        <f t="shared" si="131"/>
        <v>4</v>
      </c>
      <c r="Q363" s="357">
        <f t="shared" si="132"/>
        <v>28</v>
      </c>
      <c r="R363" s="356">
        <f t="shared" si="126"/>
        <v>11413933.917555397</v>
      </c>
      <c r="S363" s="356">
        <f>IF($G$4="mensual",S360,IF($G$4="trimestral",S360,0))</f>
        <v>10000</v>
      </c>
      <c r="U363" s="356">
        <f t="shared" si="133"/>
        <v>91096.05330910346</v>
      </c>
      <c r="V363" s="359">
        <f t="shared" si="115"/>
        <v>-265.06138378915904</v>
      </c>
      <c r="X363" s="359">
        <f t="shared" ref="X363:X426" si="134">-SUM(R363:V363)*0.1%*1.16</f>
        <v>-13357.127294997625</v>
      </c>
      <c r="Y363" s="356">
        <f t="shared" si="118"/>
        <v>11501407.782185715</v>
      </c>
      <c r="AA363" s="357">
        <f>+Bono!J363</f>
        <v>345862.07267550455</v>
      </c>
      <c r="AC363" s="378">
        <f t="shared" si="119"/>
        <v>28.333333333333332</v>
      </c>
      <c r="AD363" s="356">
        <f t="shared" si="120"/>
        <v>12380398.482842349</v>
      </c>
    </row>
    <row r="364" spans="1:30" x14ac:dyDescent="0.25">
      <c r="A364" s="356">
        <f t="shared" si="121"/>
        <v>28.416666666666668</v>
      </c>
      <c r="B364" s="356">
        <f t="shared" si="122"/>
        <v>341</v>
      </c>
      <c r="C364" s="357">
        <f t="shared" si="127"/>
        <v>28</v>
      </c>
      <c r="D364" s="357">
        <f t="shared" si="128"/>
        <v>5</v>
      </c>
      <c r="E364" s="357">
        <f t="shared" si="129"/>
        <v>57</v>
      </c>
      <c r="F364" s="356">
        <f t="shared" si="123"/>
        <v>533128.6279811298</v>
      </c>
      <c r="H364" s="356">
        <f t="shared" si="116"/>
        <v>4251.242546190322</v>
      </c>
      <c r="I364" s="356">
        <v>0</v>
      </c>
      <c r="J364" s="356">
        <v>0</v>
      </c>
      <c r="K364" s="356">
        <f t="shared" si="124"/>
        <v>-623.3606498116912</v>
      </c>
      <c r="L364" s="356">
        <f t="shared" si="117"/>
        <v>536756.5098775084</v>
      </c>
      <c r="N364" s="356">
        <f t="shared" si="125"/>
        <v>341</v>
      </c>
      <c r="O364" s="357">
        <f t="shared" si="130"/>
        <v>28</v>
      </c>
      <c r="P364" s="357">
        <f t="shared" si="131"/>
        <v>5</v>
      </c>
      <c r="Q364" s="357">
        <f t="shared" si="132"/>
        <v>28</v>
      </c>
      <c r="R364" s="356">
        <f t="shared" si="126"/>
        <v>11501407.782185715</v>
      </c>
      <c r="S364" s="356">
        <f>IF($G$4="mensual",S363,0)</f>
        <v>10000</v>
      </c>
      <c r="U364" s="356">
        <f t="shared" si="133"/>
        <v>91793.58218952453</v>
      </c>
      <c r="V364" s="359">
        <f t="shared" si="115"/>
        <v>-265.06138378915904</v>
      </c>
      <c r="X364" s="359">
        <f t="shared" si="134"/>
        <v>-13459.40611147008</v>
      </c>
      <c r="Y364" s="356">
        <f t="shared" si="118"/>
        <v>11589476.89687998</v>
      </c>
      <c r="AA364" s="357">
        <f>+Bono!J364</f>
        <v>348006.45764361</v>
      </c>
      <c r="AC364" s="378">
        <f t="shared" si="119"/>
        <v>28.416666666666668</v>
      </c>
      <c r="AD364" s="356">
        <f t="shared" si="120"/>
        <v>12474239.864401098</v>
      </c>
    </row>
    <row r="365" spans="1:30" x14ac:dyDescent="0.25">
      <c r="A365" s="356">
        <f t="shared" si="121"/>
        <v>28.5</v>
      </c>
      <c r="B365" s="356">
        <f t="shared" si="122"/>
        <v>342</v>
      </c>
      <c r="C365" s="357">
        <f t="shared" si="127"/>
        <v>28</v>
      </c>
      <c r="D365" s="357">
        <f t="shared" si="128"/>
        <v>6</v>
      </c>
      <c r="E365" s="357">
        <f t="shared" si="129"/>
        <v>57</v>
      </c>
      <c r="F365" s="356">
        <f t="shared" si="123"/>
        <v>536756.5098775084</v>
      </c>
      <c r="H365" s="356">
        <f t="shared" si="116"/>
        <v>4280.171785891523</v>
      </c>
      <c r="I365" s="356">
        <v>0</v>
      </c>
      <c r="J365" s="360">
        <f>-SUM(F365:H365)*$J$21*1.16</f>
        <v>-5648.422956565895</v>
      </c>
      <c r="K365" s="356">
        <f t="shared" si="124"/>
        <v>-621.0503800999276</v>
      </c>
      <c r="L365" s="356">
        <f t="shared" si="117"/>
        <v>534767.2083267341</v>
      </c>
      <c r="N365" s="356">
        <f t="shared" si="125"/>
        <v>342</v>
      </c>
      <c r="O365" s="357">
        <f t="shared" si="130"/>
        <v>28</v>
      </c>
      <c r="P365" s="357">
        <f t="shared" si="131"/>
        <v>6</v>
      </c>
      <c r="Q365" s="357">
        <f t="shared" si="132"/>
        <v>28</v>
      </c>
      <c r="R365" s="356">
        <f t="shared" si="126"/>
        <v>11589476.89687998</v>
      </c>
      <c r="S365" s="356">
        <f>IF($G$4="mensual",S364,0)</f>
        <v>10000</v>
      </c>
      <c r="U365" s="356">
        <f t="shared" si="133"/>
        <v>92495.85767754584</v>
      </c>
      <c r="V365" s="359">
        <f t="shared" si="115"/>
        <v>-265.06138378915904</v>
      </c>
      <c r="X365" s="359">
        <f t="shared" si="134"/>
        <v>-13562.380924081535</v>
      </c>
      <c r="Y365" s="356">
        <f t="shared" si="118"/>
        <v>11678145.312249655</v>
      </c>
      <c r="AA365" s="357">
        <f>+Bono!J365</f>
        <v>347009.5061729515</v>
      </c>
      <c r="AC365" s="378">
        <f t="shared" si="119"/>
        <v>28.5</v>
      </c>
      <c r="AD365" s="356">
        <f t="shared" si="120"/>
        <v>12559922.02674934</v>
      </c>
    </row>
    <row r="366" spans="1:30" x14ac:dyDescent="0.25">
      <c r="A366" s="356">
        <f t="shared" si="121"/>
        <v>28.583333333333332</v>
      </c>
      <c r="B366" s="356">
        <f t="shared" si="122"/>
        <v>343</v>
      </c>
      <c r="C366" s="357">
        <f t="shared" si="127"/>
        <v>28</v>
      </c>
      <c r="D366" s="357">
        <f t="shared" si="128"/>
        <v>7</v>
      </c>
      <c r="E366" s="357">
        <f t="shared" si="129"/>
        <v>57</v>
      </c>
      <c r="F366" s="356">
        <f t="shared" si="123"/>
        <v>534767.2083267341</v>
      </c>
      <c r="H366" s="356">
        <f t="shared" si="116"/>
        <v>4264.308815970212</v>
      </c>
      <c r="I366" s="356">
        <v>0</v>
      </c>
      <c r="J366" s="356">
        <v>0</v>
      </c>
      <c r="K366" s="356">
        <f t="shared" si="124"/>
        <v>-625.276559885537</v>
      </c>
      <c r="L366" s="356">
        <f t="shared" si="117"/>
        <v>538406.2405828187</v>
      </c>
      <c r="N366" s="356">
        <f t="shared" si="125"/>
        <v>343</v>
      </c>
      <c r="O366" s="357">
        <f t="shared" si="130"/>
        <v>28</v>
      </c>
      <c r="P366" s="357">
        <f t="shared" si="131"/>
        <v>7</v>
      </c>
      <c r="Q366" s="357">
        <f t="shared" si="132"/>
        <v>28</v>
      </c>
      <c r="R366" s="356">
        <f t="shared" si="126"/>
        <v>11678145.312249655</v>
      </c>
      <c r="S366" s="356">
        <f>+IF($G$4="mensual",S360,IF($G$4="trimestral",S360,IF($G$4="semestral",S360,0)))</f>
        <v>10000</v>
      </c>
      <c r="U366" s="356">
        <f t="shared" si="133"/>
        <v>93202.91207331198</v>
      </c>
      <c r="V366" s="359">
        <f t="shared" si="115"/>
        <v>-265.06138378915904</v>
      </c>
      <c r="X366" s="359">
        <f t="shared" si="134"/>
        <v>-13666.056469009445</v>
      </c>
      <c r="Y366" s="356">
        <f t="shared" si="118"/>
        <v>11767417.106470168</v>
      </c>
      <c r="AA366" s="357">
        <f>+Bono!J366</f>
        <v>349161.0053618352</v>
      </c>
      <c r="AC366" s="378">
        <f t="shared" si="119"/>
        <v>28.583333333333332</v>
      </c>
      <c r="AD366" s="356">
        <f t="shared" si="120"/>
        <v>12654984.35241482</v>
      </c>
    </row>
    <row r="367" spans="1:30" x14ac:dyDescent="0.25">
      <c r="A367" s="356">
        <f t="shared" si="121"/>
        <v>28.666666666666668</v>
      </c>
      <c r="B367" s="356">
        <f t="shared" si="122"/>
        <v>344</v>
      </c>
      <c r="C367" s="357">
        <f t="shared" si="127"/>
        <v>28</v>
      </c>
      <c r="D367" s="357">
        <f t="shared" si="128"/>
        <v>8</v>
      </c>
      <c r="E367" s="357">
        <f t="shared" si="129"/>
        <v>57</v>
      </c>
      <c r="F367" s="356">
        <f t="shared" si="123"/>
        <v>538406.2405828187</v>
      </c>
      <c r="H367" s="356">
        <f t="shared" si="116"/>
        <v>4293.326970205541</v>
      </c>
      <c r="I367" s="356">
        <v>0</v>
      </c>
      <c r="J367" s="356">
        <v>0</v>
      </c>
      <c r="K367" s="356">
        <f t="shared" si="124"/>
        <v>-629.5314983615082</v>
      </c>
      <c r="L367" s="356">
        <f t="shared" si="117"/>
        <v>542070.0360546628</v>
      </c>
      <c r="N367" s="356">
        <f t="shared" si="125"/>
        <v>344</v>
      </c>
      <c r="O367" s="357">
        <f t="shared" si="130"/>
        <v>28</v>
      </c>
      <c r="P367" s="357">
        <f t="shared" si="131"/>
        <v>8</v>
      </c>
      <c r="Q367" s="357">
        <f t="shared" si="132"/>
        <v>28</v>
      </c>
      <c r="R367" s="356">
        <f t="shared" si="126"/>
        <v>11767417.106470168</v>
      </c>
      <c r="S367" s="356">
        <f>IF($G$4="mensual",S366,0)</f>
        <v>10000</v>
      </c>
      <c r="U367" s="356">
        <f t="shared" si="133"/>
        <v>93914.77789676655</v>
      </c>
      <c r="V367" s="359">
        <f t="shared" si="115"/>
        <v>-265.06138378915904</v>
      </c>
      <c r="X367" s="359">
        <f t="shared" si="134"/>
        <v>-13770.437514660447</v>
      </c>
      <c r="Y367" s="356">
        <f t="shared" si="118"/>
        <v>11857296.385468483</v>
      </c>
      <c r="AA367" s="357">
        <f>+Bono!J367</f>
        <v>351325.84409524844</v>
      </c>
      <c r="AC367" s="378">
        <f t="shared" si="119"/>
        <v>28.666666666666668</v>
      </c>
      <c r="AD367" s="356">
        <f t="shared" si="120"/>
        <v>12750692.265618395</v>
      </c>
    </row>
    <row r="368" spans="1:30" x14ac:dyDescent="0.25">
      <c r="A368" s="356">
        <f t="shared" si="121"/>
        <v>28.75</v>
      </c>
      <c r="B368" s="356">
        <f t="shared" si="122"/>
        <v>345</v>
      </c>
      <c r="C368" s="357">
        <f t="shared" si="127"/>
        <v>28</v>
      </c>
      <c r="D368" s="357">
        <f t="shared" si="128"/>
        <v>9</v>
      </c>
      <c r="E368" s="357">
        <f t="shared" si="129"/>
        <v>57</v>
      </c>
      <c r="F368" s="356">
        <f t="shared" si="123"/>
        <v>542070.0360546628</v>
      </c>
      <c r="H368" s="356">
        <f t="shared" si="116"/>
        <v>4322.542589800808</v>
      </c>
      <c r="I368" s="356">
        <v>0</v>
      </c>
      <c r="J368" s="360">
        <f>-SUM(F368:H368)*$J$21*1.16</f>
        <v>-5704.3385210482</v>
      </c>
      <c r="K368" s="356">
        <f t="shared" si="124"/>
        <v>-627.1983585431618</v>
      </c>
      <c r="L368" s="356">
        <f t="shared" si="117"/>
        <v>540061.0417648721</v>
      </c>
      <c r="N368" s="356">
        <f t="shared" si="125"/>
        <v>345</v>
      </c>
      <c r="O368" s="357">
        <f t="shared" si="130"/>
        <v>28</v>
      </c>
      <c r="P368" s="357">
        <f t="shared" si="131"/>
        <v>9</v>
      </c>
      <c r="Q368" s="357">
        <f t="shared" si="132"/>
        <v>28</v>
      </c>
      <c r="R368" s="356">
        <f t="shared" si="126"/>
        <v>11857296.385468483</v>
      </c>
      <c r="S368" s="356">
        <f>IF($G$4="mensual",S367,0)</f>
        <v>10000</v>
      </c>
      <c r="U368" s="356">
        <f t="shared" si="133"/>
        <v>94631.48788914774</v>
      </c>
      <c r="V368" s="359">
        <f t="shared" si="115"/>
        <v>-265.06138378915904</v>
      </c>
      <c r="X368" s="359">
        <f t="shared" si="134"/>
        <v>-13875.528861889656</v>
      </c>
      <c r="Y368" s="356">
        <f t="shared" si="118"/>
        <v>11947787.283111952</v>
      </c>
      <c r="AA368" s="357">
        <f>+Bono!J368</f>
        <v>350319.38341252797</v>
      </c>
      <c r="AC368" s="378">
        <f t="shared" si="119"/>
        <v>28.75</v>
      </c>
      <c r="AD368" s="356">
        <f t="shared" si="120"/>
        <v>12838167.708289353</v>
      </c>
    </row>
    <row r="369" spans="1:30" x14ac:dyDescent="0.25">
      <c r="A369" s="356">
        <f t="shared" si="121"/>
        <v>28.833333333333332</v>
      </c>
      <c r="B369" s="356">
        <f t="shared" si="122"/>
        <v>346</v>
      </c>
      <c r="C369" s="357">
        <f t="shared" si="127"/>
        <v>28</v>
      </c>
      <c r="D369" s="357">
        <f t="shared" si="128"/>
        <v>10</v>
      </c>
      <c r="E369" s="357">
        <f t="shared" si="129"/>
        <v>57</v>
      </c>
      <c r="F369" s="356">
        <f t="shared" si="123"/>
        <v>540061.0417648721</v>
      </c>
      <c r="H369" s="356">
        <f t="shared" si="116"/>
        <v>4306.522587213151</v>
      </c>
      <c r="I369" s="356">
        <v>0</v>
      </c>
      <c r="J369" s="356">
        <v>0</v>
      </c>
      <c r="K369" s="356">
        <f t="shared" si="124"/>
        <v>-631.4663746484189</v>
      </c>
      <c r="L369" s="356">
        <f t="shared" si="117"/>
        <v>543736.097977437</v>
      </c>
      <c r="N369" s="356">
        <f t="shared" si="125"/>
        <v>346</v>
      </c>
      <c r="O369" s="357">
        <f t="shared" si="130"/>
        <v>28</v>
      </c>
      <c r="P369" s="357">
        <f t="shared" si="131"/>
        <v>10</v>
      </c>
      <c r="Q369" s="357">
        <f t="shared" si="132"/>
        <v>28</v>
      </c>
      <c r="R369" s="356">
        <f t="shared" si="126"/>
        <v>11947787.283111952</v>
      </c>
      <c r="S369" s="356">
        <f>IF($G$4="mensual",S360,IF($G$4="trimestral",S360,0))</f>
        <v>10000</v>
      </c>
      <c r="U369" s="356">
        <f t="shared" si="133"/>
        <v>95353.07501449432</v>
      </c>
      <c r="V369" s="359">
        <f t="shared" si="115"/>
        <v>-265.06138378915904</v>
      </c>
      <c r="X369" s="359">
        <f t="shared" si="134"/>
        <v>-13981.335344221481</v>
      </c>
      <c r="Y369" s="356">
        <f t="shared" si="118"/>
        <v>12038893.961398436</v>
      </c>
      <c r="AA369" s="357">
        <f>+Bono!J369</f>
        <v>352491.40422421903</v>
      </c>
      <c r="AC369" s="378">
        <f t="shared" si="119"/>
        <v>28.833333333333332</v>
      </c>
      <c r="AD369" s="356">
        <f t="shared" si="120"/>
        <v>12935121.463600092</v>
      </c>
    </row>
    <row r="370" spans="1:30" x14ac:dyDescent="0.25">
      <c r="A370" s="356">
        <f t="shared" si="121"/>
        <v>28.916666666666668</v>
      </c>
      <c r="B370" s="356">
        <f t="shared" si="122"/>
        <v>347</v>
      </c>
      <c r="C370" s="357">
        <f t="shared" si="127"/>
        <v>28</v>
      </c>
      <c r="D370" s="357">
        <f t="shared" si="128"/>
        <v>11</v>
      </c>
      <c r="E370" s="357">
        <f t="shared" si="129"/>
        <v>57</v>
      </c>
      <c r="F370" s="356">
        <f t="shared" si="123"/>
        <v>543736.097977437</v>
      </c>
      <c r="H370" s="356">
        <f t="shared" si="116"/>
        <v>4335.828001536258</v>
      </c>
      <c r="I370" s="356">
        <v>0</v>
      </c>
      <c r="J370" s="356">
        <v>0</v>
      </c>
      <c r="K370" s="356">
        <f t="shared" si="124"/>
        <v>-635.7634341356089</v>
      </c>
      <c r="L370" s="356">
        <f t="shared" si="117"/>
        <v>547436.1625448377</v>
      </c>
      <c r="N370" s="356">
        <f t="shared" si="125"/>
        <v>347</v>
      </c>
      <c r="O370" s="357">
        <f t="shared" si="130"/>
        <v>28</v>
      </c>
      <c r="P370" s="357">
        <f t="shared" si="131"/>
        <v>11</v>
      </c>
      <c r="Q370" s="357">
        <f t="shared" si="132"/>
        <v>28</v>
      </c>
      <c r="R370" s="356">
        <f t="shared" si="126"/>
        <v>12038893.961398436</v>
      </c>
      <c r="S370" s="356">
        <f>IF($G$17="si",S358*(1+$G$20),S358)</f>
        <v>10000</v>
      </c>
      <c r="U370" s="356">
        <f t="shared" si="133"/>
        <v>96079.5724611617</v>
      </c>
      <c r="V370" s="359">
        <f t="shared" si="115"/>
        <v>-265.06138378915904</v>
      </c>
      <c r="X370" s="359">
        <f t="shared" si="134"/>
        <v>-14087.861828071937</v>
      </c>
      <c r="Y370" s="356">
        <f t="shared" si="118"/>
        <v>12130620.610647736</v>
      </c>
      <c r="AA370" s="357">
        <f>+Bono!J370</f>
        <v>354676.89181688137</v>
      </c>
      <c r="AC370" s="378">
        <f t="shared" si="119"/>
        <v>28.916666666666668</v>
      </c>
      <c r="AD370" s="356">
        <f t="shared" si="120"/>
        <v>13032733.665009454</v>
      </c>
    </row>
    <row r="371" spans="1:30" x14ac:dyDescent="0.25">
      <c r="A371" s="356">
        <f t="shared" si="121"/>
        <v>29</v>
      </c>
      <c r="B371" s="356">
        <f t="shared" si="122"/>
        <v>348</v>
      </c>
      <c r="C371" s="357">
        <f t="shared" si="127"/>
        <v>28</v>
      </c>
      <c r="D371" s="357">
        <f t="shared" si="128"/>
        <v>12</v>
      </c>
      <c r="E371" s="357">
        <f t="shared" si="129"/>
        <v>57</v>
      </c>
      <c r="F371" s="356">
        <f t="shared" si="123"/>
        <v>547436.1625448377</v>
      </c>
      <c r="H371" s="356">
        <f t="shared" si="116"/>
        <v>4365.332835992723</v>
      </c>
      <c r="I371" s="356">
        <v>0</v>
      </c>
      <c r="J371" s="360">
        <f>-SUM(F371:H371)*$J$21*1.16</f>
        <v>-5760.807611775869</v>
      </c>
      <c r="K371" s="356">
        <f t="shared" si="124"/>
        <v>-633.4071978121033</v>
      </c>
      <c r="L371" s="356">
        <f t="shared" si="117"/>
        <v>545407.2805712424</v>
      </c>
      <c r="N371" s="356">
        <f t="shared" si="125"/>
        <v>348</v>
      </c>
      <c r="O371" s="357">
        <f t="shared" si="130"/>
        <v>28</v>
      </c>
      <c r="P371" s="357">
        <f t="shared" si="131"/>
        <v>12</v>
      </c>
      <c r="Q371" s="357">
        <f t="shared" si="132"/>
        <v>28</v>
      </c>
      <c r="R371" s="356">
        <f t="shared" si="126"/>
        <v>12130620.610647736</v>
      </c>
      <c r="S371" s="356">
        <f>IF($G$4="mensual",S370,0)</f>
        <v>10000</v>
      </c>
      <c r="U371" s="356">
        <f t="shared" si="133"/>
        <v>96811.01364334841</v>
      </c>
      <c r="V371" s="359">
        <f t="shared" si="115"/>
        <v>-265.06138378915904</v>
      </c>
      <c r="X371" s="359">
        <f t="shared" si="134"/>
        <v>-14195.113212972463</v>
      </c>
      <c r="Y371" s="356">
        <f t="shared" si="118"/>
        <v>12222971.449694322</v>
      </c>
      <c r="AA371" s="357">
        <f>+Bono!J371</f>
        <v>353660.83122047834</v>
      </c>
      <c r="AC371" s="378">
        <f t="shared" si="119"/>
        <v>29</v>
      </c>
      <c r="AD371" s="356">
        <f t="shared" si="120"/>
        <v>13122039.561486043</v>
      </c>
    </row>
    <row r="372" spans="1:30" x14ac:dyDescent="0.25">
      <c r="A372" s="356">
        <f t="shared" si="121"/>
        <v>29.083333333333332</v>
      </c>
      <c r="B372" s="356">
        <f t="shared" si="122"/>
        <v>349</v>
      </c>
      <c r="C372" s="357">
        <f t="shared" si="127"/>
        <v>29</v>
      </c>
      <c r="D372" s="357">
        <f t="shared" si="128"/>
        <v>1</v>
      </c>
      <c r="E372" s="357">
        <f t="shared" si="129"/>
        <v>58</v>
      </c>
      <c r="F372" s="356">
        <f t="shared" si="123"/>
        <v>545407.2805712424</v>
      </c>
      <c r="H372" s="356">
        <f t="shared" si="116"/>
        <v>4349.154246221603</v>
      </c>
      <c r="I372" s="356">
        <v>0</v>
      </c>
      <c r="J372" s="356">
        <v>0</v>
      </c>
      <c r="K372" s="356">
        <f t="shared" si="124"/>
        <v>-637.7174643882582</v>
      </c>
      <c r="L372" s="356">
        <f t="shared" si="117"/>
        <v>549118.7173530759</v>
      </c>
      <c r="N372" s="356">
        <f t="shared" si="125"/>
        <v>349</v>
      </c>
      <c r="O372" s="357">
        <f t="shared" si="130"/>
        <v>29</v>
      </c>
      <c r="P372" s="357">
        <f t="shared" si="131"/>
        <v>1</v>
      </c>
      <c r="Q372" s="357">
        <f t="shared" si="132"/>
        <v>29</v>
      </c>
      <c r="R372" s="356">
        <f t="shared" si="126"/>
        <v>12222971.449694322</v>
      </c>
      <c r="S372" s="356">
        <f>IF($G$17="si",S360*(1+$G$20),S360)</f>
        <v>10000</v>
      </c>
      <c r="U372" s="356">
        <f t="shared" si="133"/>
        <v>97547.43220263299</v>
      </c>
      <c r="V372" s="359">
        <f>V371*(1+$G$18)</f>
        <v>-275.66383914072543</v>
      </c>
      <c r="X372" s="359">
        <f t="shared" si="134"/>
        <v>-14303.082132947064</v>
      </c>
      <c r="Y372" s="356">
        <f t="shared" si="118"/>
        <v>12315940.135924868</v>
      </c>
      <c r="AA372" s="357">
        <f>+Bono!J372</f>
        <v>355853.56939616264</v>
      </c>
      <c r="AC372" s="378">
        <f t="shared" si="119"/>
        <v>29.083333333333332</v>
      </c>
      <c r="AD372" s="356">
        <f t="shared" si="120"/>
        <v>13220912.422674106</v>
      </c>
    </row>
    <row r="373" spans="1:30" x14ac:dyDescent="0.25">
      <c r="A373" s="356">
        <f t="shared" si="121"/>
        <v>29.166666666666668</v>
      </c>
      <c r="B373" s="356">
        <f t="shared" si="122"/>
        <v>350</v>
      </c>
      <c r="C373" s="357">
        <f t="shared" si="127"/>
        <v>29</v>
      </c>
      <c r="D373" s="357">
        <f t="shared" si="128"/>
        <v>2</v>
      </c>
      <c r="E373" s="357">
        <f t="shared" si="129"/>
        <v>58</v>
      </c>
      <c r="F373" s="356">
        <f t="shared" si="123"/>
        <v>549118.7173530759</v>
      </c>
      <c r="H373" s="356">
        <f t="shared" si="116"/>
        <v>4378.749764312941</v>
      </c>
      <c r="I373" s="356">
        <v>0</v>
      </c>
      <c r="J373" s="356">
        <v>0</v>
      </c>
      <c r="K373" s="356">
        <f t="shared" si="124"/>
        <v>-642.057061856171</v>
      </c>
      <c r="L373" s="356">
        <f t="shared" si="117"/>
        <v>552855.4100555327</v>
      </c>
      <c r="N373" s="356">
        <f t="shared" si="125"/>
        <v>350</v>
      </c>
      <c r="O373" s="357">
        <f t="shared" si="130"/>
        <v>29</v>
      </c>
      <c r="P373" s="357">
        <f t="shared" si="131"/>
        <v>2</v>
      </c>
      <c r="Q373" s="357">
        <f t="shared" si="132"/>
        <v>29</v>
      </c>
      <c r="R373" s="356">
        <f t="shared" si="126"/>
        <v>12315940.135924868</v>
      </c>
      <c r="S373" s="356">
        <f>IF($G$4="mensual",S372,0)</f>
        <v>10000</v>
      </c>
      <c r="U373" s="356">
        <f t="shared" si="133"/>
        <v>98288.77756212605</v>
      </c>
      <c r="V373" s="359">
        <f t="shared" si="115"/>
        <v>-275.66383914072543</v>
      </c>
      <c r="X373" s="359">
        <f t="shared" si="134"/>
        <v>-14411.78576959151</v>
      </c>
      <c r="Y373" s="356">
        <f t="shared" si="118"/>
        <v>12409541.463878263</v>
      </c>
      <c r="AA373" s="357">
        <f>+Bono!J373</f>
        <v>358059.9028028781</v>
      </c>
      <c r="AC373" s="378">
        <f t="shared" si="119"/>
        <v>29.166666666666668</v>
      </c>
      <c r="AD373" s="356">
        <f t="shared" si="120"/>
        <v>13320456.776736675</v>
      </c>
    </row>
    <row r="374" spans="1:30" x14ac:dyDescent="0.25">
      <c r="A374" s="356">
        <f t="shared" si="121"/>
        <v>29.25</v>
      </c>
      <c r="B374" s="356">
        <f t="shared" si="122"/>
        <v>351</v>
      </c>
      <c r="C374" s="357">
        <f t="shared" si="127"/>
        <v>29</v>
      </c>
      <c r="D374" s="357">
        <f t="shared" si="128"/>
        <v>3</v>
      </c>
      <c r="E374" s="357">
        <f t="shared" si="129"/>
        <v>58</v>
      </c>
      <c r="F374" s="356">
        <f t="shared" si="123"/>
        <v>552855.4100555327</v>
      </c>
      <c r="H374" s="356">
        <f t="shared" si="116"/>
        <v>4408.546676661992</v>
      </c>
      <c r="I374" s="356">
        <v>0</v>
      </c>
      <c r="J374" s="360">
        <f>-SUM(F374:H374)*$J$21*1.16</f>
        <v>-5817.835708284112</v>
      </c>
      <c r="K374" s="356">
        <f t="shared" si="124"/>
        <v>-639.6775003877361</v>
      </c>
      <c r="L374" s="356">
        <f t="shared" si="117"/>
        <v>550806.4435235227</v>
      </c>
      <c r="N374" s="356">
        <f t="shared" si="125"/>
        <v>351</v>
      </c>
      <c r="O374" s="357">
        <f t="shared" si="130"/>
        <v>29</v>
      </c>
      <c r="P374" s="357">
        <f t="shared" si="131"/>
        <v>3</v>
      </c>
      <c r="Q374" s="357">
        <f t="shared" si="132"/>
        <v>29</v>
      </c>
      <c r="R374" s="356">
        <f t="shared" si="126"/>
        <v>12409541.463878263</v>
      </c>
      <c r="S374" s="356">
        <f>IF($G$4="mensual",S373,0)</f>
        <v>10000</v>
      </c>
      <c r="U374" s="356">
        <f t="shared" si="133"/>
        <v>99035.1676955583</v>
      </c>
      <c r="V374" s="359">
        <f t="shared" si="115"/>
        <v>-275.66383914072543</v>
      </c>
      <c r="X374" s="359">
        <f t="shared" si="134"/>
        <v>-14521.229122572227</v>
      </c>
      <c r="Y374" s="356">
        <f t="shared" si="118"/>
        <v>12503779.738612108</v>
      </c>
      <c r="AA374" s="357">
        <f>+Bono!J374</f>
        <v>357034.1507260337</v>
      </c>
      <c r="AC374" s="378">
        <f t="shared" si="119"/>
        <v>29.25</v>
      </c>
      <c r="AD374" s="356">
        <f t="shared" si="120"/>
        <v>13411620.332861664</v>
      </c>
    </row>
    <row r="375" spans="1:30" x14ac:dyDescent="0.25">
      <c r="A375" s="356">
        <f t="shared" si="121"/>
        <v>29.333333333333332</v>
      </c>
      <c r="B375" s="356">
        <f t="shared" si="122"/>
        <v>352</v>
      </c>
      <c r="C375" s="357">
        <f t="shared" si="127"/>
        <v>29</v>
      </c>
      <c r="D375" s="357">
        <f t="shared" si="128"/>
        <v>4</v>
      </c>
      <c r="E375" s="357">
        <f t="shared" si="129"/>
        <v>58</v>
      </c>
      <c r="F375" s="356">
        <f t="shared" si="123"/>
        <v>550806.4435235227</v>
      </c>
      <c r="H375" s="356">
        <f t="shared" si="116"/>
        <v>4392.207929801621</v>
      </c>
      <c r="I375" s="356">
        <v>0</v>
      </c>
      <c r="J375" s="356">
        <v>0</v>
      </c>
      <c r="K375" s="356">
        <f t="shared" si="124"/>
        <v>-644.0304356858562</v>
      </c>
      <c r="L375" s="356">
        <f t="shared" si="117"/>
        <v>554554.6210176385</v>
      </c>
      <c r="N375" s="356">
        <f t="shared" si="125"/>
        <v>352</v>
      </c>
      <c r="O375" s="357">
        <f t="shared" si="130"/>
        <v>29</v>
      </c>
      <c r="P375" s="357">
        <f t="shared" si="131"/>
        <v>4</v>
      </c>
      <c r="Q375" s="357">
        <f t="shared" si="132"/>
        <v>29</v>
      </c>
      <c r="R375" s="356">
        <f t="shared" si="126"/>
        <v>12503779.738612108</v>
      </c>
      <c r="S375" s="356">
        <f>IF($G$4="mensual",S372,IF($G$4="trimestral",S372,0))</f>
        <v>10000</v>
      </c>
      <c r="U375" s="356">
        <f t="shared" si="133"/>
        <v>99786.63693206359</v>
      </c>
      <c r="V375" s="359">
        <f t="shared" si="115"/>
        <v>-275.66383914072543</v>
      </c>
      <c r="X375" s="359">
        <f t="shared" si="134"/>
        <v>-14631.417225577834</v>
      </c>
      <c r="Y375" s="356">
        <f t="shared" si="118"/>
        <v>12598659.294479454</v>
      </c>
      <c r="AA375" s="357">
        <f>+Bono!J375</f>
        <v>359247.8038739333</v>
      </c>
      <c r="AC375" s="378">
        <f t="shared" si="119"/>
        <v>29.333333333333332</v>
      </c>
      <c r="AD375" s="356">
        <f t="shared" si="120"/>
        <v>13512461.719371026</v>
      </c>
    </row>
    <row r="376" spans="1:30" x14ac:dyDescent="0.25">
      <c r="A376" s="356">
        <f t="shared" si="121"/>
        <v>29.416666666666668</v>
      </c>
      <c r="B376" s="356">
        <f t="shared" si="122"/>
        <v>353</v>
      </c>
      <c r="C376" s="357">
        <f t="shared" si="127"/>
        <v>29</v>
      </c>
      <c r="D376" s="357">
        <f t="shared" si="128"/>
        <v>5</v>
      </c>
      <c r="E376" s="357">
        <f t="shared" si="129"/>
        <v>58</v>
      </c>
      <c r="F376" s="356">
        <f t="shared" si="123"/>
        <v>554554.6210176385</v>
      </c>
      <c r="H376" s="356">
        <f t="shared" si="116"/>
        <v>4422.096423492156</v>
      </c>
      <c r="I376" s="356">
        <v>0</v>
      </c>
      <c r="J376" s="356">
        <v>0</v>
      </c>
      <c r="K376" s="356">
        <f t="shared" si="124"/>
        <v>-648.4129922317115</v>
      </c>
      <c r="L376" s="356">
        <f t="shared" si="117"/>
        <v>558328.304448899</v>
      </c>
      <c r="N376" s="356">
        <f t="shared" si="125"/>
        <v>353</v>
      </c>
      <c r="O376" s="357">
        <f t="shared" si="130"/>
        <v>29</v>
      </c>
      <c r="P376" s="357">
        <f t="shared" si="131"/>
        <v>5</v>
      </c>
      <c r="Q376" s="357">
        <f t="shared" si="132"/>
        <v>29</v>
      </c>
      <c r="R376" s="356">
        <f t="shared" si="126"/>
        <v>12598659.294479454</v>
      </c>
      <c r="S376" s="356">
        <f>IF($G$4="mensual",S375,0)</f>
        <v>10000</v>
      </c>
      <c r="U376" s="356">
        <f t="shared" si="133"/>
        <v>100543.21983438183</v>
      </c>
      <c r="V376" s="359">
        <f t="shared" si="115"/>
        <v>-275.66383914072543</v>
      </c>
      <c r="X376" s="359">
        <f t="shared" si="134"/>
        <v>-14742.355146550644</v>
      </c>
      <c r="Y376" s="356">
        <f t="shared" si="118"/>
        <v>12694184.495328143</v>
      </c>
      <c r="AA376" s="357">
        <f>+Bono!J376</f>
        <v>361475.18192811776</v>
      </c>
      <c r="AC376" s="378">
        <f t="shared" si="119"/>
        <v>29.416666666666668</v>
      </c>
      <c r="AD376" s="356">
        <f t="shared" si="120"/>
        <v>13613987.981705159</v>
      </c>
    </row>
    <row r="377" spans="1:30" x14ac:dyDescent="0.25">
      <c r="A377" s="356">
        <f t="shared" si="121"/>
        <v>29.5</v>
      </c>
      <c r="B377" s="356">
        <f t="shared" si="122"/>
        <v>354</v>
      </c>
      <c r="C377" s="357">
        <f t="shared" si="127"/>
        <v>29</v>
      </c>
      <c r="D377" s="357">
        <f t="shared" si="128"/>
        <v>6</v>
      </c>
      <c r="E377" s="357">
        <f t="shared" si="129"/>
        <v>58</v>
      </c>
      <c r="F377" s="356">
        <f t="shared" si="123"/>
        <v>558328.304448899</v>
      </c>
      <c r="H377" s="356">
        <f t="shared" si="116"/>
        <v>4452.188305107255</v>
      </c>
      <c r="I377" s="356">
        <v>0</v>
      </c>
      <c r="J377" s="360">
        <f>-SUM(F377:H377)*$J$21*1.16</f>
        <v>-5875.428344351826</v>
      </c>
      <c r="K377" s="356">
        <f t="shared" si="124"/>
        <v>-646.0098747151992</v>
      </c>
      <c r="L377" s="356">
        <f t="shared" si="117"/>
        <v>556259.0545349392</v>
      </c>
      <c r="N377" s="356">
        <f t="shared" si="125"/>
        <v>354</v>
      </c>
      <c r="O377" s="357">
        <f t="shared" si="130"/>
        <v>29</v>
      </c>
      <c r="P377" s="357">
        <f t="shared" si="131"/>
        <v>6</v>
      </c>
      <c r="Q377" s="357">
        <f t="shared" si="132"/>
        <v>29</v>
      </c>
      <c r="R377" s="356">
        <f t="shared" si="126"/>
        <v>12694184.495328143</v>
      </c>
      <c r="S377" s="356">
        <f>IF($G$4="mensual",S376,0)</f>
        <v>10000</v>
      </c>
      <c r="U377" s="356">
        <f t="shared" si="133"/>
        <v>101304.95120044852</v>
      </c>
      <c r="V377" s="359">
        <f t="shared" si="115"/>
        <v>-275.66383914072543</v>
      </c>
      <c r="X377" s="359">
        <f t="shared" si="134"/>
        <v>-14854.047987919761</v>
      </c>
      <c r="Y377" s="356">
        <f t="shared" si="118"/>
        <v>12790359.734701531</v>
      </c>
      <c r="AA377" s="357">
        <f>+Bono!J377</f>
        <v>360439.6459306827</v>
      </c>
      <c r="AC377" s="378">
        <f t="shared" si="119"/>
        <v>29.5</v>
      </c>
      <c r="AD377" s="356">
        <f t="shared" si="120"/>
        <v>13707058.435167154</v>
      </c>
    </row>
    <row r="378" spans="1:30" x14ac:dyDescent="0.25">
      <c r="A378" s="356">
        <f t="shared" si="121"/>
        <v>29.583333333333332</v>
      </c>
      <c r="B378" s="356">
        <f t="shared" si="122"/>
        <v>355</v>
      </c>
      <c r="C378" s="357">
        <f t="shared" si="127"/>
        <v>29</v>
      </c>
      <c r="D378" s="357">
        <f t="shared" si="128"/>
        <v>7</v>
      </c>
      <c r="E378" s="357">
        <f t="shared" si="129"/>
        <v>58</v>
      </c>
      <c r="F378" s="356">
        <f t="shared" si="123"/>
        <v>556259.0545349392</v>
      </c>
      <c r="H378" s="356">
        <f t="shared" si="116"/>
        <v>4435.687815710843</v>
      </c>
      <c r="I378" s="356">
        <v>0</v>
      </c>
      <c r="J378" s="356">
        <v>0</v>
      </c>
      <c r="K378" s="356">
        <f t="shared" si="124"/>
        <v>-650.405901126754</v>
      </c>
      <c r="L378" s="356">
        <f t="shared" si="117"/>
        <v>560044.3364495232</v>
      </c>
      <c r="N378" s="356">
        <f t="shared" si="125"/>
        <v>355</v>
      </c>
      <c r="O378" s="357">
        <f t="shared" si="130"/>
        <v>29</v>
      </c>
      <c r="P378" s="357">
        <f t="shared" si="131"/>
        <v>7</v>
      </c>
      <c r="Q378" s="357">
        <f t="shared" si="132"/>
        <v>29</v>
      </c>
      <c r="R378" s="356">
        <f t="shared" si="126"/>
        <v>12790359.734701531</v>
      </c>
      <c r="S378" s="356">
        <f>+IF($G$4="mensual",S372,IF($G$4="trimestral",S372,IF($G$4="semestral",S372,0)))</f>
        <v>10000</v>
      </c>
      <c r="U378" s="356">
        <f t="shared" si="133"/>
        <v>102071.86606499534</v>
      </c>
      <c r="V378" s="359">
        <f t="shared" si="115"/>
        <v>-275.66383914072543</v>
      </c>
      <c r="X378" s="359">
        <f t="shared" si="134"/>
        <v>-14966.500886835765</v>
      </c>
      <c r="Y378" s="356">
        <f t="shared" si="118"/>
        <v>12887189.43604055</v>
      </c>
      <c r="AA378" s="357">
        <f>+Bono!J378</f>
        <v>362674.41354386415</v>
      </c>
      <c r="AC378" s="378">
        <f t="shared" si="119"/>
        <v>29.583333333333332</v>
      </c>
      <c r="AD378" s="356">
        <f t="shared" si="120"/>
        <v>13809908.186033938</v>
      </c>
    </row>
    <row r="379" spans="1:30" x14ac:dyDescent="0.25">
      <c r="A379" s="356">
        <f t="shared" si="121"/>
        <v>29.666666666666668</v>
      </c>
      <c r="B379" s="356">
        <f t="shared" si="122"/>
        <v>356</v>
      </c>
      <c r="C379" s="357">
        <f t="shared" si="127"/>
        <v>29</v>
      </c>
      <c r="D379" s="357">
        <f t="shared" si="128"/>
        <v>8</v>
      </c>
      <c r="E379" s="357">
        <f t="shared" si="129"/>
        <v>58</v>
      </c>
      <c r="F379" s="356">
        <f t="shared" si="123"/>
        <v>560044.3364495232</v>
      </c>
      <c r="H379" s="356">
        <f t="shared" si="116"/>
        <v>4465.872185260725</v>
      </c>
      <c r="I379" s="356">
        <v>0</v>
      </c>
      <c r="J379" s="356">
        <v>0</v>
      </c>
      <c r="K379" s="356">
        <f t="shared" si="124"/>
        <v>-654.8318420163495</v>
      </c>
      <c r="L379" s="356">
        <f t="shared" si="117"/>
        <v>563855.3767927677</v>
      </c>
      <c r="N379" s="356">
        <f t="shared" si="125"/>
        <v>356</v>
      </c>
      <c r="O379" s="357">
        <f t="shared" si="130"/>
        <v>29</v>
      </c>
      <c r="P379" s="357">
        <f t="shared" si="131"/>
        <v>8</v>
      </c>
      <c r="Q379" s="357">
        <f t="shared" si="132"/>
        <v>29</v>
      </c>
      <c r="R379" s="356">
        <f t="shared" si="126"/>
        <v>12887189.43604055</v>
      </c>
      <c r="S379" s="356">
        <f>IF($G$4="mensual",S378,0)</f>
        <v>10000</v>
      </c>
      <c r="U379" s="356">
        <f t="shared" si="133"/>
        <v>102843.99970116149</v>
      </c>
      <c r="V379" s="359">
        <f t="shared" si="115"/>
        <v>-275.66383914072543</v>
      </c>
      <c r="X379" s="359">
        <f t="shared" si="134"/>
        <v>-15079.719015406981</v>
      </c>
      <c r="Y379" s="356">
        <f t="shared" si="118"/>
        <v>12984678.052887164</v>
      </c>
      <c r="AA379" s="357">
        <f>+Bono!J379</f>
        <v>364923.03697546426</v>
      </c>
      <c r="AC379" s="378">
        <f t="shared" si="119"/>
        <v>29.666666666666668</v>
      </c>
      <c r="AD379" s="356">
        <f t="shared" si="120"/>
        <v>13913456.466655396</v>
      </c>
    </row>
    <row r="380" spans="1:30" x14ac:dyDescent="0.25">
      <c r="A380" s="356">
        <f t="shared" si="121"/>
        <v>29.75</v>
      </c>
      <c r="B380" s="356">
        <f t="shared" si="122"/>
        <v>357</v>
      </c>
      <c r="C380" s="357">
        <f t="shared" si="127"/>
        <v>29</v>
      </c>
      <c r="D380" s="357">
        <f t="shared" si="128"/>
        <v>9</v>
      </c>
      <c r="E380" s="357">
        <f t="shared" si="129"/>
        <v>58</v>
      </c>
      <c r="F380" s="356">
        <f t="shared" si="123"/>
        <v>563855.3767927677</v>
      </c>
      <c r="H380" s="356">
        <f t="shared" si="116"/>
        <v>4496.261956137974</v>
      </c>
      <c r="I380" s="356">
        <v>0</v>
      </c>
      <c r="J380" s="360">
        <f>-SUM(F380:H380)*$J$21*1.16</f>
        <v>-5933.591108538575</v>
      </c>
      <c r="K380" s="356">
        <f t="shared" si="124"/>
        <v>-652.4049352628257</v>
      </c>
      <c r="L380" s="356">
        <f t="shared" si="117"/>
        <v>561765.6427051042</v>
      </c>
      <c r="N380" s="356">
        <f t="shared" si="125"/>
        <v>357</v>
      </c>
      <c r="O380" s="357">
        <f t="shared" si="130"/>
        <v>29</v>
      </c>
      <c r="P380" s="357">
        <f t="shared" si="131"/>
        <v>9</v>
      </c>
      <c r="Q380" s="357">
        <f t="shared" si="132"/>
        <v>29</v>
      </c>
      <c r="R380" s="356">
        <f t="shared" si="126"/>
        <v>12984678.052887164</v>
      </c>
      <c r="S380" s="356">
        <f>IF($G$4="mensual",S379,0)</f>
        <v>10000</v>
      </c>
      <c r="U380" s="356">
        <f t="shared" si="133"/>
        <v>103621.38762211599</v>
      </c>
      <c r="V380" s="359">
        <f t="shared" si="115"/>
        <v>-275.66383914072543</v>
      </c>
      <c r="X380" s="359">
        <f t="shared" si="134"/>
        <v>-15193.70758093736</v>
      </c>
      <c r="Y380" s="356">
        <f t="shared" si="118"/>
        <v>13082830.069089202</v>
      </c>
      <c r="AA380" s="357">
        <f>+Bono!J380</f>
        <v>363877.62373556837</v>
      </c>
      <c r="AC380" s="378">
        <f t="shared" si="119"/>
        <v>29.75</v>
      </c>
      <c r="AD380" s="356">
        <f t="shared" si="120"/>
        <v>14008473.335529873</v>
      </c>
    </row>
    <row r="381" spans="1:30" x14ac:dyDescent="0.25">
      <c r="A381" s="356">
        <f t="shared" si="121"/>
        <v>29.833333333333332</v>
      </c>
      <c r="B381" s="356">
        <f t="shared" si="122"/>
        <v>358</v>
      </c>
      <c r="C381" s="357">
        <f t="shared" si="127"/>
        <v>29</v>
      </c>
      <c r="D381" s="357">
        <f t="shared" si="128"/>
        <v>10</v>
      </c>
      <c r="E381" s="357">
        <f t="shared" si="129"/>
        <v>58</v>
      </c>
      <c r="F381" s="356">
        <f t="shared" si="123"/>
        <v>561765.6427051042</v>
      </c>
      <c r="H381" s="356">
        <f t="shared" si="116"/>
        <v>4479.598123063878</v>
      </c>
      <c r="I381" s="356">
        <v>0</v>
      </c>
      <c r="J381" s="356">
        <v>0</v>
      </c>
      <c r="K381" s="356">
        <f t="shared" si="124"/>
        <v>-656.844479360675</v>
      </c>
      <c r="L381" s="356">
        <f t="shared" si="117"/>
        <v>565588.3963488075</v>
      </c>
      <c r="N381" s="356">
        <f t="shared" si="125"/>
        <v>358</v>
      </c>
      <c r="O381" s="357">
        <f t="shared" si="130"/>
        <v>29</v>
      </c>
      <c r="P381" s="357">
        <f t="shared" si="131"/>
        <v>10</v>
      </c>
      <c r="Q381" s="357">
        <f t="shared" si="132"/>
        <v>29</v>
      </c>
      <c r="R381" s="356">
        <f t="shared" si="126"/>
        <v>13082830.069089202</v>
      </c>
      <c r="S381" s="356">
        <f>IF($G$4="mensual",S372,IF($G$4="trimestral",S372,0))</f>
        <v>10000</v>
      </c>
      <c r="U381" s="356">
        <f t="shared" si="133"/>
        <v>104404.06558269107</v>
      </c>
      <c r="V381" s="359">
        <f t="shared" si="115"/>
        <v>-275.66383914072543</v>
      </c>
      <c r="X381" s="359">
        <f t="shared" si="134"/>
        <v>-15308.471826165993</v>
      </c>
      <c r="Y381" s="356">
        <f t="shared" si="118"/>
        <v>13181649.999006586</v>
      </c>
      <c r="AA381" s="357">
        <f>+Bono!J381</f>
        <v>366133.7072099208</v>
      </c>
      <c r="AC381" s="378">
        <f t="shared" si="119"/>
        <v>29.833333333333332</v>
      </c>
      <c r="AD381" s="356">
        <f t="shared" si="120"/>
        <v>14113372.102565315</v>
      </c>
    </row>
    <row r="382" spans="1:30" x14ac:dyDescent="0.25">
      <c r="A382" s="356">
        <f t="shared" si="121"/>
        <v>29.916666666666668</v>
      </c>
      <c r="B382" s="356">
        <f t="shared" si="122"/>
        <v>359</v>
      </c>
      <c r="C382" s="357">
        <f t="shared" si="127"/>
        <v>29</v>
      </c>
      <c r="D382" s="357">
        <f t="shared" si="128"/>
        <v>11</v>
      </c>
      <c r="E382" s="357">
        <f t="shared" si="129"/>
        <v>58</v>
      </c>
      <c r="F382" s="356">
        <f t="shared" si="123"/>
        <v>565588.3963488075</v>
      </c>
      <c r="H382" s="356">
        <f t="shared" si="116"/>
        <v>4510.081297443872</v>
      </c>
      <c r="I382" s="356">
        <v>0</v>
      </c>
      <c r="J382" s="356">
        <v>0</v>
      </c>
      <c r="K382" s="356">
        <f t="shared" si="124"/>
        <v>-661.3142340696515</v>
      </c>
      <c r="L382" s="356">
        <f t="shared" si="117"/>
        <v>569437.1634121817</v>
      </c>
      <c r="N382" s="356">
        <f t="shared" si="125"/>
        <v>359</v>
      </c>
      <c r="O382" s="357">
        <f t="shared" si="130"/>
        <v>29</v>
      </c>
      <c r="P382" s="357">
        <f t="shared" si="131"/>
        <v>11</v>
      </c>
      <c r="Q382" s="357">
        <f t="shared" si="132"/>
        <v>29</v>
      </c>
      <c r="R382" s="356">
        <f t="shared" si="126"/>
        <v>13181649.999006586</v>
      </c>
      <c r="S382" s="356">
        <f>IF($G$17="si",S370*(1+$G$20),S370)</f>
        <v>10000</v>
      </c>
      <c r="U382" s="356">
        <f t="shared" si="133"/>
        <v>105192.06958102672</v>
      </c>
      <c r="V382" s="359">
        <f t="shared" si="115"/>
        <v>-275.66383914072543</v>
      </c>
      <c r="X382" s="359">
        <f t="shared" si="134"/>
        <v>-15424.017029508226</v>
      </c>
      <c r="Y382" s="356">
        <f t="shared" si="118"/>
        <v>13281142.387718963</v>
      </c>
      <c r="AA382" s="357">
        <f>+Bono!J382</f>
        <v>368403.7786635037</v>
      </c>
      <c r="AC382" s="378">
        <f t="shared" si="119"/>
        <v>29.916666666666668</v>
      </c>
      <c r="AD382" s="356">
        <f t="shared" si="120"/>
        <v>14218983.329794647</v>
      </c>
    </row>
    <row r="383" spans="1:30" x14ac:dyDescent="0.25">
      <c r="A383" s="356">
        <f t="shared" si="121"/>
        <v>30</v>
      </c>
      <c r="B383" s="356">
        <f t="shared" si="122"/>
        <v>360</v>
      </c>
      <c r="C383" s="357">
        <f t="shared" si="127"/>
        <v>29</v>
      </c>
      <c r="D383" s="357">
        <f t="shared" si="128"/>
        <v>12</v>
      </c>
      <c r="E383" s="357">
        <f t="shared" si="129"/>
        <v>58</v>
      </c>
      <c r="F383" s="356">
        <f t="shared" si="123"/>
        <v>569437.1634121817</v>
      </c>
      <c r="H383" s="356">
        <f t="shared" si="116"/>
        <v>4540.771906485357</v>
      </c>
      <c r="I383" s="356">
        <v>0</v>
      </c>
      <c r="J383" s="360">
        <f>-SUM(F383:H383)*$J$21*1.16</f>
        <v>-5992.329644726883</v>
      </c>
      <c r="K383" s="356">
        <f t="shared" si="124"/>
        <v>-658.8633025817704</v>
      </c>
      <c r="L383" s="356">
        <f t="shared" si="117"/>
        <v>567326.7423713582</v>
      </c>
      <c r="N383" s="356">
        <f t="shared" si="125"/>
        <v>360</v>
      </c>
      <c r="O383" s="357">
        <f t="shared" si="130"/>
        <v>29</v>
      </c>
      <c r="P383" s="357">
        <f t="shared" si="131"/>
        <v>12</v>
      </c>
      <c r="Q383" s="357">
        <f t="shared" si="132"/>
        <v>29</v>
      </c>
      <c r="R383" s="356">
        <f t="shared" si="126"/>
        <v>13281142.387718963</v>
      </c>
      <c r="S383" s="356">
        <f>IF($G$4="mensual",S382,0)</f>
        <v>10000</v>
      </c>
      <c r="U383" s="356">
        <f t="shared" si="133"/>
        <v>105985.4358602263</v>
      </c>
      <c r="V383" s="359">
        <f t="shared" si="115"/>
        <v>-275.66383914072543</v>
      </c>
      <c r="X383" s="359">
        <f t="shared" si="134"/>
        <v>-15540.348505298456</v>
      </c>
      <c r="Y383" s="356">
        <f t="shared" si="118"/>
        <v>13381311.81123475</v>
      </c>
      <c r="AA383" s="357">
        <f>+Bono!J383</f>
        <v>367348.39396914584</v>
      </c>
      <c r="AC383" s="378">
        <f t="shared" si="119"/>
        <v>30</v>
      </c>
      <c r="AD383" s="356">
        <f t="shared" si="120"/>
        <v>14315986.947575254</v>
      </c>
    </row>
    <row r="384" spans="1:30" x14ac:dyDescent="0.25">
      <c r="A384" s="356">
        <f t="shared" si="121"/>
        <v>30.083333333333332</v>
      </c>
      <c r="B384" s="356">
        <f t="shared" si="122"/>
        <v>361</v>
      </c>
      <c r="C384" s="357">
        <f t="shared" si="127"/>
        <v>30</v>
      </c>
      <c r="D384" s="357">
        <f t="shared" si="128"/>
        <v>1</v>
      </c>
      <c r="E384" s="357">
        <f t="shared" si="129"/>
        <v>59</v>
      </c>
      <c r="F384" s="356">
        <f t="shared" si="123"/>
        <v>567326.7423713582</v>
      </c>
      <c r="H384" s="356">
        <f t="shared" si="116"/>
        <v>4523.943112741717</v>
      </c>
      <c r="I384" s="356">
        <v>0</v>
      </c>
      <c r="J384" s="356">
        <v>0</v>
      </c>
      <c r="K384" s="356">
        <f t="shared" si="124"/>
        <v>-663.3467951615559</v>
      </c>
      <c r="L384" s="356">
        <f t="shared" si="117"/>
        <v>571187.3386889383</v>
      </c>
      <c r="N384" s="356">
        <f t="shared" si="125"/>
        <v>361</v>
      </c>
      <c r="O384" s="357">
        <f t="shared" si="130"/>
        <v>30</v>
      </c>
      <c r="P384" s="357">
        <f t="shared" si="131"/>
        <v>1</v>
      </c>
      <c r="Q384" s="357">
        <f t="shared" si="132"/>
        <v>30</v>
      </c>
      <c r="R384" s="356">
        <f t="shared" si="126"/>
        <v>13381311.81123475</v>
      </c>
      <c r="S384" s="356">
        <f>IF($G$17="si",S372*(1+$G$20),S372)</f>
        <v>10000</v>
      </c>
      <c r="U384" s="356">
        <f t="shared" si="133"/>
        <v>106784.20091002352</v>
      </c>
      <c r="V384" s="359">
        <f>V383*(1+$G$18)</f>
        <v>-286.69039270635443</v>
      </c>
      <c r="X384" s="359">
        <f t="shared" si="134"/>
        <v>-15657.458813232397</v>
      </c>
      <c r="Y384" s="356">
        <f t="shared" si="118"/>
        <v>13482151.862938834</v>
      </c>
      <c r="AA384" s="357">
        <f>+Bono!J384</f>
        <v>369625.9966215309</v>
      </c>
      <c r="AC384" s="378">
        <f t="shared" si="119"/>
        <v>30.083333333333332</v>
      </c>
      <c r="AD384" s="356">
        <f t="shared" si="120"/>
        <v>14422965.198249303</v>
      </c>
    </row>
    <row r="385" spans="1:30" x14ac:dyDescent="0.25">
      <c r="A385" s="356">
        <f t="shared" si="121"/>
        <v>30.166666666666668</v>
      </c>
      <c r="B385" s="356">
        <f t="shared" si="122"/>
        <v>362</v>
      </c>
      <c r="C385" s="357">
        <f t="shared" si="127"/>
        <v>30</v>
      </c>
      <c r="D385" s="357">
        <f t="shared" si="128"/>
        <v>2</v>
      </c>
      <c r="E385" s="357">
        <f t="shared" si="129"/>
        <v>59</v>
      </c>
      <c r="F385" s="356">
        <f t="shared" si="123"/>
        <v>571187.3386889383</v>
      </c>
      <c r="H385" s="356">
        <f t="shared" si="116"/>
        <v>4554.72804991741</v>
      </c>
      <c r="I385" s="356">
        <v>0</v>
      </c>
      <c r="J385" s="356">
        <v>0</v>
      </c>
      <c r="K385" s="356">
        <f t="shared" si="124"/>
        <v>-667.8607974170725</v>
      </c>
      <c r="L385" s="356">
        <f t="shared" si="117"/>
        <v>575074.2059414386</v>
      </c>
      <c r="N385" s="356">
        <f t="shared" si="125"/>
        <v>362</v>
      </c>
      <c r="O385" s="357">
        <f t="shared" si="130"/>
        <v>30</v>
      </c>
      <c r="P385" s="357">
        <f t="shared" si="131"/>
        <v>2</v>
      </c>
      <c r="Q385" s="357">
        <f t="shared" si="132"/>
        <v>30</v>
      </c>
      <c r="R385" s="356">
        <f t="shared" si="126"/>
        <v>13482151.862938834</v>
      </c>
      <c r="S385" s="356">
        <f>IF($G$4="mensual",S384,0)</f>
        <v>10000</v>
      </c>
      <c r="U385" s="356">
        <f t="shared" si="133"/>
        <v>107588.3136431698</v>
      </c>
      <c r="V385" s="359">
        <f t="shared" si="115"/>
        <v>-286.69039270635443</v>
      </c>
      <c r="X385" s="359">
        <f t="shared" si="134"/>
        <v>-15775.366043979586</v>
      </c>
      <c r="Y385" s="356">
        <f t="shared" si="118"/>
        <v>13583678.120145319</v>
      </c>
      <c r="AA385" s="357">
        <f>+Bono!J385</f>
        <v>371917.7206745463</v>
      </c>
      <c r="AC385" s="378">
        <f t="shared" si="119"/>
        <v>30.166666666666668</v>
      </c>
      <c r="AD385" s="356">
        <f t="shared" si="120"/>
        <v>14530670.046761304</v>
      </c>
    </row>
    <row r="386" spans="1:30" x14ac:dyDescent="0.25">
      <c r="A386" s="356">
        <f t="shared" si="121"/>
        <v>30.25</v>
      </c>
      <c r="B386" s="356">
        <f t="shared" si="122"/>
        <v>363</v>
      </c>
      <c r="C386" s="357">
        <f t="shared" si="127"/>
        <v>30</v>
      </c>
      <c r="D386" s="357">
        <f t="shared" si="128"/>
        <v>3</v>
      </c>
      <c r="E386" s="357">
        <f t="shared" si="129"/>
        <v>59</v>
      </c>
      <c r="F386" s="356">
        <f t="shared" si="123"/>
        <v>575074.2059414386</v>
      </c>
      <c r="H386" s="356">
        <f t="shared" si="116"/>
        <v>4585.722475217354</v>
      </c>
      <c r="I386" s="356">
        <v>0</v>
      </c>
      <c r="J386" s="360">
        <f>-SUM(F386:H386)*$J$21*1.16</f>
        <v>-6051.6496526698875</v>
      </c>
      <c r="K386" s="356">
        <f t="shared" si="124"/>
        <v>-665.3856033662237</v>
      </c>
      <c r="L386" s="356">
        <f t="shared" si="117"/>
        <v>572942.8931606198</v>
      </c>
      <c r="N386" s="356">
        <f t="shared" si="125"/>
        <v>363</v>
      </c>
      <c r="O386" s="357">
        <f t="shared" si="130"/>
        <v>30</v>
      </c>
      <c r="P386" s="357">
        <f t="shared" si="131"/>
        <v>3</v>
      </c>
      <c r="Q386" s="357">
        <f t="shared" si="132"/>
        <v>30</v>
      </c>
      <c r="R386" s="356">
        <f t="shared" si="126"/>
        <v>13583678.120145319</v>
      </c>
      <c r="S386" s="356">
        <f>IF($G$4="mensual",S385,0)</f>
        <v>10000</v>
      </c>
      <c r="U386" s="356">
        <f t="shared" si="133"/>
        <v>108397.89827535531</v>
      </c>
      <c r="V386" s="359">
        <f t="shared" si="115"/>
        <v>-286.69039270635443</v>
      </c>
      <c r="X386" s="359">
        <f t="shared" si="134"/>
        <v>-15894.075620512442</v>
      </c>
      <c r="Y386" s="356">
        <f t="shared" si="118"/>
        <v>13685895.252407456</v>
      </c>
      <c r="AA386" s="357">
        <f>+Bono!J386</f>
        <v>370852.2694151039</v>
      </c>
      <c r="AC386" s="378">
        <f t="shared" si="119"/>
        <v>30.25</v>
      </c>
      <c r="AD386" s="356">
        <f t="shared" si="120"/>
        <v>14629690.41498318</v>
      </c>
    </row>
    <row r="387" spans="1:30" x14ac:dyDescent="0.25">
      <c r="A387" s="356">
        <f t="shared" si="121"/>
        <v>30.333333333333332</v>
      </c>
      <c r="B387" s="356">
        <f t="shared" si="122"/>
        <v>364</v>
      </c>
      <c r="C387" s="357">
        <f t="shared" si="127"/>
        <v>30</v>
      </c>
      <c r="D387" s="357">
        <f t="shared" si="128"/>
        <v>4</v>
      </c>
      <c r="E387" s="357">
        <f t="shared" si="129"/>
        <v>59</v>
      </c>
      <c r="F387" s="356">
        <f t="shared" si="123"/>
        <v>572942.8931606198</v>
      </c>
      <c r="H387" s="356">
        <f t="shared" si="116"/>
        <v>4568.727087805189</v>
      </c>
      <c r="I387" s="356">
        <v>0</v>
      </c>
      <c r="J387" s="356">
        <v>0</v>
      </c>
      <c r="K387" s="356">
        <f t="shared" si="124"/>
        <v>-669.9134794881729</v>
      </c>
      <c r="L387" s="356">
        <f t="shared" si="117"/>
        <v>576841.7067689367</v>
      </c>
      <c r="N387" s="356">
        <f t="shared" si="125"/>
        <v>364</v>
      </c>
      <c r="O387" s="357">
        <f t="shared" si="130"/>
        <v>30</v>
      </c>
      <c r="P387" s="357">
        <f t="shared" si="131"/>
        <v>4</v>
      </c>
      <c r="Q387" s="357">
        <f t="shared" si="132"/>
        <v>30</v>
      </c>
      <c r="R387" s="356">
        <f t="shared" si="126"/>
        <v>13685895.252407456</v>
      </c>
      <c r="S387" s="356">
        <f>IF($G$4="mensual",S384,IF($G$4="trimestral",S384,0))</f>
        <v>10000</v>
      </c>
      <c r="U387" s="356">
        <f t="shared" si="133"/>
        <v>109212.99204225342</v>
      </c>
      <c r="V387" s="359">
        <f t="shared" si="115"/>
        <v>-286.69039270635443</v>
      </c>
      <c r="X387" s="359">
        <f t="shared" si="134"/>
        <v>-16013.59300270612</v>
      </c>
      <c r="Y387" s="356">
        <f t="shared" si="118"/>
        <v>13788807.961054295</v>
      </c>
      <c r="AA387" s="357">
        <f>+Bono!J387</f>
        <v>373151.5965016783</v>
      </c>
      <c r="AC387" s="378">
        <f t="shared" si="119"/>
        <v>30.333333333333332</v>
      </c>
      <c r="AD387" s="356">
        <f t="shared" si="120"/>
        <v>14738801.264324911</v>
      </c>
    </row>
    <row r="388" spans="1:30" x14ac:dyDescent="0.25">
      <c r="A388" s="356">
        <f t="shared" si="121"/>
        <v>30.416666666666668</v>
      </c>
      <c r="B388" s="356">
        <f t="shared" si="122"/>
        <v>365</v>
      </c>
      <c r="C388" s="357">
        <f t="shared" si="127"/>
        <v>30</v>
      </c>
      <c r="D388" s="357">
        <f t="shared" si="128"/>
        <v>5</v>
      </c>
      <c r="E388" s="357">
        <f t="shared" si="129"/>
        <v>59</v>
      </c>
      <c r="F388" s="356">
        <f t="shared" si="123"/>
        <v>576841.7067689367</v>
      </c>
      <c r="H388" s="356">
        <f t="shared" si="116"/>
        <v>4599.816775024028</v>
      </c>
      <c r="I388" s="356">
        <v>0</v>
      </c>
      <c r="J388" s="356">
        <v>0</v>
      </c>
      <c r="K388" s="356">
        <f t="shared" si="124"/>
        <v>-674.4721673109945</v>
      </c>
      <c r="L388" s="356">
        <f t="shared" si="117"/>
        <v>580767.0513766498</v>
      </c>
      <c r="N388" s="356">
        <f t="shared" si="125"/>
        <v>365</v>
      </c>
      <c r="O388" s="357">
        <f t="shared" si="130"/>
        <v>30</v>
      </c>
      <c r="P388" s="357">
        <f t="shared" si="131"/>
        <v>5</v>
      </c>
      <c r="Q388" s="357">
        <f t="shared" si="132"/>
        <v>30</v>
      </c>
      <c r="R388" s="356">
        <f t="shared" si="126"/>
        <v>13788807.961054295</v>
      </c>
      <c r="S388" s="356">
        <f>IF($G$4="mensual",S387,0)</f>
        <v>10000</v>
      </c>
      <c r="U388" s="356">
        <f t="shared" si="133"/>
        <v>110033.63243292218</v>
      </c>
      <c r="V388" s="359">
        <f t="shared" si="115"/>
        <v>-286.69039270635443</v>
      </c>
      <c r="X388" s="359">
        <f t="shared" si="134"/>
        <v>-16133.923687589631</v>
      </c>
      <c r="Y388" s="356">
        <f t="shared" si="118"/>
        <v>13892420.979406921</v>
      </c>
      <c r="AA388" s="357">
        <f>+Bono!J388</f>
        <v>375465.17968289484</v>
      </c>
      <c r="AC388" s="378">
        <f t="shared" si="119"/>
        <v>30.416666666666668</v>
      </c>
      <c r="AD388" s="356">
        <f t="shared" si="120"/>
        <v>14848653.210466467</v>
      </c>
    </row>
    <row r="389" spans="1:30" x14ac:dyDescent="0.25">
      <c r="A389" s="356">
        <f t="shared" si="121"/>
        <v>30.5</v>
      </c>
      <c r="B389" s="356">
        <f t="shared" si="122"/>
        <v>366</v>
      </c>
      <c r="C389" s="357">
        <f t="shared" si="127"/>
        <v>30</v>
      </c>
      <c r="D389" s="357">
        <f t="shared" si="128"/>
        <v>6</v>
      </c>
      <c r="E389" s="357">
        <f t="shared" si="129"/>
        <v>59</v>
      </c>
      <c r="F389" s="356">
        <f t="shared" si="123"/>
        <v>580767.0513766498</v>
      </c>
      <c r="H389" s="356">
        <f t="shared" si="116"/>
        <v>4631.118024157772</v>
      </c>
      <c r="I389" s="356">
        <v>0</v>
      </c>
      <c r="J389" s="360">
        <f>-SUM(F389:H389)*$J$21*1.16</f>
        <v>-6111.556888544432</v>
      </c>
      <c r="K389" s="356">
        <f t="shared" si="124"/>
        <v>-671.9724705142252</v>
      </c>
      <c r="L389" s="356">
        <f t="shared" si="117"/>
        <v>578614.6400417489</v>
      </c>
      <c r="N389" s="356">
        <f t="shared" si="125"/>
        <v>366</v>
      </c>
      <c r="O389" s="357">
        <f t="shared" si="130"/>
        <v>30</v>
      </c>
      <c r="P389" s="357">
        <f t="shared" si="131"/>
        <v>6</v>
      </c>
      <c r="Q389" s="357">
        <f t="shared" si="132"/>
        <v>30</v>
      </c>
      <c r="R389" s="356">
        <f t="shared" si="126"/>
        <v>13892420.979406921</v>
      </c>
      <c r="S389" s="356">
        <f>IF($G$4="mensual",S388,0)</f>
        <v>10000</v>
      </c>
      <c r="U389" s="356">
        <f t="shared" si="133"/>
        <v>110859.8571915286</v>
      </c>
      <c r="V389" s="359">
        <f t="shared" ref="V389:V452" si="135">V388</f>
        <v>-286.69039270635443</v>
      </c>
      <c r="X389" s="359">
        <f t="shared" si="134"/>
        <v>-16255.07320959866</v>
      </c>
      <c r="Y389" s="356">
        <f t="shared" si="118"/>
        <v>13996739.072996145</v>
      </c>
      <c r="AA389" s="357">
        <f>+Bono!J389</f>
        <v>374389.5658405526</v>
      </c>
      <c r="AC389" s="378">
        <f t="shared" si="119"/>
        <v>30.5</v>
      </c>
      <c r="AD389" s="356">
        <f t="shared" si="120"/>
        <v>14949743.278878447</v>
      </c>
    </row>
    <row r="390" spans="1:30" x14ac:dyDescent="0.25">
      <c r="A390" s="356">
        <f t="shared" si="121"/>
        <v>30.583333333333332</v>
      </c>
      <c r="B390" s="356">
        <f t="shared" si="122"/>
        <v>367</v>
      </c>
      <c r="C390" s="357">
        <f t="shared" si="127"/>
        <v>30</v>
      </c>
      <c r="D390" s="357">
        <f t="shared" si="128"/>
        <v>7</v>
      </c>
      <c r="E390" s="357">
        <f t="shared" si="129"/>
        <v>59</v>
      </c>
      <c r="F390" s="356">
        <f t="shared" si="123"/>
        <v>578614.6400417489</v>
      </c>
      <c r="H390" s="356">
        <f t="shared" si="116"/>
        <v>4613.954393912509</v>
      </c>
      <c r="I390" s="356">
        <v>0</v>
      </c>
      <c r="J390" s="356">
        <v>0</v>
      </c>
      <c r="K390" s="356">
        <f t="shared" si="124"/>
        <v>-676.5451695453671</v>
      </c>
      <c r="L390" s="356">
        <f t="shared" si="117"/>
        <v>582552.049266116</v>
      </c>
      <c r="N390" s="356">
        <f t="shared" si="125"/>
        <v>367</v>
      </c>
      <c r="O390" s="357">
        <f t="shared" si="130"/>
        <v>30</v>
      </c>
      <c r="P390" s="357">
        <f t="shared" si="131"/>
        <v>7</v>
      </c>
      <c r="Q390" s="357">
        <f t="shared" si="132"/>
        <v>30</v>
      </c>
      <c r="R390" s="356">
        <f t="shared" si="126"/>
        <v>13996739.072996145</v>
      </c>
      <c r="S390" s="356">
        <f>+IF($G$4="mensual",S384,IF($G$4="trimestral",S384,IF($G$4="semestral",S384,0)))</f>
        <v>10000</v>
      </c>
      <c r="U390" s="356">
        <f t="shared" si="133"/>
        <v>111691.7043190846</v>
      </c>
      <c r="V390" s="359">
        <f t="shared" si="135"/>
        <v>-286.69039270635443</v>
      </c>
      <c r="X390" s="359">
        <f t="shared" si="134"/>
        <v>-16377.047140830125</v>
      </c>
      <c r="Y390" s="356">
        <f t="shared" si="118"/>
        <v>14101767.039781693</v>
      </c>
      <c r="AA390" s="357">
        <f>+Bono!J390</f>
        <v>376710.8245752658</v>
      </c>
      <c r="AC390" s="378">
        <f t="shared" si="119"/>
        <v>30.583333333333332</v>
      </c>
      <c r="AD390" s="356">
        <f t="shared" si="120"/>
        <v>15061029.913623076</v>
      </c>
    </row>
    <row r="391" spans="1:30" x14ac:dyDescent="0.25">
      <c r="A391" s="356">
        <f t="shared" si="121"/>
        <v>30.666666666666668</v>
      </c>
      <c r="B391" s="356">
        <f t="shared" si="122"/>
        <v>368</v>
      </c>
      <c r="C391" s="357">
        <f t="shared" si="127"/>
        <v>30</v>
      </c>
      <c r="D391" s="357">
        <f t="shared" si="128"/>
        <v>8</v>
      </c>
      <c r="E391" s="357">
        <f t="shared" si="129"/>
        <v>59</v>
      </c>
      <c r="F391" s="356">
        <f t="shared" si="123"/>
        <v>582552.049266116</v>
      </c>
      <c r="H391" s="356">
        <f t="shared" si="116"/>
        <v>4645.351847993673</v>
      </c>
      <c r="I391" s="356">
        <v>0</v>
      </c>
      <c r="J391" s="356">
        <v>0</v>
      </c>
      <c r="K391" s="356">
        <f t="shared" si="124"/>
        <v>-681.1489852923671</v>
      </c>
      <c r="L391" s="356">
        <f t="shared" si="117"/>
        <v>586516.2521288173</v>
      </c>
      <c r="N391" s="356">
        <f t="shared" si="125"/>
        <v>368</v>
      </c>
      <c r="O391" s="357">
        <f t="shared" si="130"/>
        <v>30</v>
      </c>
      <c r="P391" s="357">
        <f t="shared" si="131"/>
        <v>8</v>
      </c>
      <c r="Q391" s="357">
        <f t="shared" si="132"/>
        <v>30</v>
      </c>
      <c r="R391" s="356">
        <f t="shared" si="126"/>
        <v>14101767.039781693</v>
      </c>
      <c r="S391" s="356">
        <f>IF($G$4="mensual",S390,0)</f>
        <v>10000</v>
      </c>
      <c r="U391" s="356">
        <f t="shared" si="133"/>
        <v>112529.2120751948</v>
      </c>
      <c r="V391" s="359">
        <f t="shared" si="135"/>
        <v>-286.69039270635443</v>
      </c>
      <c r="X391" s="359">
        <f t="shared" si="134"/>
        <v>-16499.85109129845</v>
      </c>
      <c r="Y391" s="356">
        <f t="shared" si="118"/>
        <v>14207509.710372882</v>
      </c>
      <c r="AA391" s="357">
        <f>+Bono!J391</f>
        <v>379046.4753833835</v>
      </c>
      <c r="AC391" s="378">
        <f t="shared" si="119"/>
        <v>30.666666666666668</v>
      </c>
      <c r="AD391" s="356">
        <f t="shared" si="120"/>
        <v>15173072.437885083</v>
      </c>
    </row>
    <row r="392" spans="1:30" x14ac:dyDescent="0.25">
      <c r="A392" s="356">
        <f t="shared" si="121"/>
        <v>30.75</v>
      </c>
      <c r="B392" s="356">
        <f t="shared" si="122"/>
        <v>369</v>
      </c>
      <c r="C392" s="357">
        <f t="shared" si="127"/>
        <v>30</v>
      </c>
      <c r="D392" s="357">
        <f t="shared" si="128"/>
        <v>9</v>
      </c>
      <c r="E392" s="357">
        <f t="shared" si="129"/>
        <v>59</v>
      </c>
      <c r="F392" s="356">
        <f t="shared" si="123"/>
        <v>586516.2521288173</v>
      </c>
      <c r="H392" s="356">
        <f t="shared" si="116"/>
        <v>4676.962958309515</v>
      </c>
      <c r="I392" s="356">
        <v>0</v>
      </c>
      <c r="J392" s="360">
        <f>-SUM(F392:H392)*$J$21*1.16</f>
        <v>-6172.057165509605</v>
      </c>
      <c r="K392" s="356">
        <f t="shared" si="124"/>
        <v>-678.624543189076</v>
      </c>
      <c r="L392" s="356">
        <f t="shared" si="117"/>
        <v>584342.5333784282</v>
      </c>
      <c r="N392" s="356">
        <f t="shared" si="125"/>
        <v>369</v>
      </c>
      <c r="O392" s="357">
        <f t="shared" si="130"/>
        <v>30</v>
      </c>
      <c r="P392" s="357">
        <f t="shared" si="131"/>
        <v>9</v>
      </c>
      <c r="Q392" s="357">
        <f t="shared" si="132"/>
        <v>30</v>
      </c>
      <c r="R392" s="356">
        <f t="shared" si="126"/>
        <v>14207509.710372882</v>
      </c>
      <c r="S392" s="356">
        <f>IF($G$4="mensual",S391,0)</f>
        <v>10000</v>
      </c>
      <c r="U392" s="356">
        <f t="shared" si="133"/>
        <v>113372.41897981624</v>
      </c>
      <c r="V392" s="359">
        <f t="shared" si="135"/>
        <v>-286.69039270635443</v>
      </c>
      <c r="X392" s="359">
        <f t="shared" si="134"/>
        <v>-16623.49070919359</v>
      </c>
      <c r="Y392" s="356">
        <f t="shared" si="118"/>
        <v>14313971.948250799</v>
      </c>
      <c r="AA392" s="357">
        <f>+Bono!J392</f>
        <v>377960.60202448047</v>
      </c>
      <c r="AC392" s="378">
        <f t="shared" si="119"/>
        <v>30.75</v>
      </c>
      <c r="AD392" s="356">
        <f t="shared" si="120"/>
        <v>15276275.083653707</v>
      </c>
    </row>
    <row r="393" spans="1:30" x14ac:dyDescent="0.25">
      <c r="A393" s="356">
        <f t="shared" si="121"/>
        <v>30.833333333333332</v>
      </c>
      <c r="B393" s="356">
        <f t="shared" si="122"/>
        <v>370</v>
      </c>
      <c r="C393" s="357">
        <f t="shared" si="127"/>
        <v>30</v>
      </c>
      <c r="D393" s="357">
        <f t="shared" si="128"/>
        <v>10</v>
      </c>
      <c r="E393" s="357">
        <f t="shared" si="129"/>
        <v>59</v>
      </c>
      <c r="F393" s="356">
        <f t="shared" si="123"/>
        <v>584342.5333784282</v>
      </c>
      <c r="H393" s="356">
        <f t="shared" si="116"/>
        <v>4659.629419740972</v>
      </c>
      <c r="I393" s="356">
        <v>0</v>
      </c>
      <c r="J393" s="356">
        <v>0</v>
      </c>
      <c r="K393" s="356">
        <f t="shared" si="124"/>
        <v>-683.2425088458763</v>
      </c>
      <c r="L393" s="356">
        <f t="shared" si="117"/>
        <v>588318.9202893233</v>
      </c>
      <c r="N393" s="356">
        <f t="shared" si="125"/>
        <v>370</v>
      </c>
      <c r="O393" s="357">
        <f t="shared" si="130"/>
        <v>30</v>
      </c>
      <c r="P393" s="357">
        <f t="shared" si="131"/>
        <v>10</v>
      </c>
      <c r="Q393" s="357">
        <f t="shared" si="132"/>
        <v>30</v>
      </c>
      <c r="R393" s="356">
        <f t="shared" si="126"/>
        <v>14313971.948250799</v>
      </c>
      <c r="S393" s="356">
        <f>IF($G$4="mensual",S384,IF($G$4="trimestral",S384,0))</f>
        <v>10000</v>
      </c>
      <c r="U393" s="356">
        <f t="shared" si="133"/>
        <v>114221.36381503011</v>
      </c>
      <c r="V393" s="359">
        <f t="shared" si="135"/>
        <v>-286.69039270635443</v>
      </c>
      <c r="X393" s="359">
        <f t="shared" si="134"/>
        <v>-16747.97168114082</v>
      </c>
      <c r="Y393" s="356">
        <f t="shared" si="118"/>
        <v>14421158.649991982</v>
      </c>
      <c r="AA393" s="357">
        <f>+Bono!J393</f>
        <v>380304.00159774855</v>
      </c>
      <c r="AC393" s="378">
        <f t="shared" si="119"/>
        <v>30.833333333333332</v>
      </c>
      <c r="AD393" s="356">
        <f t="shared" si="120"/>
        <v>15389781.571879053</v>
      </c>
    </row>
    <row r="394" spans="1:30" x14ac:dyDescent="0.25">
      <c r="A394" s="356">
        <f t="shared" si="121"/>
        <v>30.916666666666668</v>
      </c>
      <c r="B394" s="356">
        <f t="shared" si="122"/>
        <v>371</v>
      </c>
      <c r="C394" s="357">
        <f t="shared" si="127"/>
        <v>30</v>
      </c>
      <c r="D394" s="357">
        <f t="shared" si="128"/>
        <v>11</v>
      </c>
      <c r="E394" s="357">
        <f t="shared" si="129"/>
        <v>59</v>
      </c>
      <c r="F394" s="356">
        <f t="shared" si="123"/>
        <v>588318.9202893233</v>
      </c>
      <c r="H394" s="356">
        <f t="shared" si="116"/>
        <v>4691.3376873681045</v>
      </c>
      <c r="I394" s="356">
        <v>0</v>
      </c>
      <c r="J394" s="356">
        <v>0</v>
      </c>
      <c r="K394" s="356">
        <f t="shared" si="124"/>
        <v>-687.891899252962</v>
      </c>
      <c r="L394" s="356">
        <f t="shared" si="117"/>
        <v>592322.3660774385</v>
      </c>
      <c r="N394" s="356">
        <f t="shared" si="125"/>
        <v>371</v>
      </c>
      <c r="O394" s="357">
        <f t="shared" si="130"/>
        <v>30</v>
      </c>
      <c r="P394" s="357">
        <f t="shared" si="131"/>
        <v>11</v>
      </c>
      <c r="Q394" s="357">
        <f t="shared" si="132"/>
        <v>30</v>
      </c>
      <c r="R394" s="356">
        <f t="shared" si="126"/>
        <v>14421158.649991982</v>
      </c>
      <c r="S394" s="356">
        <f>IF($G$17="si",S382*(1+$G$20),S382)</f>
        <v>10000</v>
      </c>
      <c r="U394" s="356">
        <f t="shared" si="133"/>
        <v>115076.08562682533</v>
      </c>
      <c r="V394" s="359">
        <f t="shared" si="135"/>
        <v>-286.69039270635443</v>
      </c>
      <c r="X394" s="359">
        <f t="shared" si="134"/>
        <v>-16873.299732462277</v>
      </c>
      <c r="Y394" s="356">
        <f t="shared" si="118"/>
        <v>14529074.74549364</v>
      </c>
      <c r="AA394" s="357">
        <f>+Bono!J394</f>
        <v>382661.9305201884</v>
      </c>
      <c r="AC394" s="378">
        <f t="shared" si="119"/>
        <v>30.916666666666668</v>
      </c>
      <c r="AD394" s="356">
        <f t="shared" si="120"/>
        <v>15504059.042091265</v>
      </c>
    </row>
    <row r="395" spans="1:30" x14ac:dyDescent="0.25">
      <c r="A395" s="356">
        <f t="shared" si="121"/>
        <v>31</v>
      </c>
      <c r="B395" s="356">
        <f t="shared" si="122"/>
        <v>372</v>
      </c>
      <c r="C395" s="357">
        <f t="shared" si="127"/>
        <v>30</v>
      </c>
      <c r="D395" s="357">
        <f t="shared" si="128"/>
        <v>12</v>
      </c>
      <c r="E395" s="357">
        <f t="shared" si="129"/>
        <v>59</v>
      </c>
      <c r="F395" s="356">
        <f t="shared" si="123"/>
        <v>592322.3660774385</v>
      </c>
      <c r="H395" s="356">
        <f t="shared" si="116"/>
        <v>4723.261726282038</v>
      </c>
      <c r="I395" s="356">
        <v>0</v>
      </c>
      <c r="J395" s="360">
        <f>-SUM(F395:H395)*$J$21*1.16</f>
        <v>-6233.156354270843</v>
      </c>
      <c r="K395" s="356">
        <f t="shared" si="124"/>
        <v>-685.3424668813615</v>
      </c>
      <c r="L395" s="356">
        <f t="shared" si="117"/>
        <v>590127.1289825683</v>
      </c>
      <c r="N395" s="356">
        <f t="shared" si="125"/>
        <v>372</v>
      </c>
      <c r="O395" s="357">
        <f t="shared" si="130"/>
        <v>30</v>
      </c>
      <c r="P395" s="357">
        <f t="shared" si="131"/>
        <v>12</v>
      </c>
      <c r="Q395" s="357">
        <f t="shared" si="132"/>
        <v>30</v>
      </c>
      <c r="R395" s="356">
        <f t="shared" si="126"/>
        <v>14529074.74549364</v>
      </c>
      <c r="S395" s="356">
        <f>IF($G$4="mensual",S394,0)</f>
        <v>10000</v>
      </c>
      <c r="U395" s="356">
        <f t="shared" si="133"/>
        <v>115936.62372689454</v>
      </c>
      <c r="V395" s="359">
        <f t="shared" si="135"/>
        <v>-286.69039270635443</v>
      </c>
      <c r="X395" s="359">
        <f t="shared" si="134"/>
        <v>-16999.48062744028</v>
      </c>
      <c r="Y395" s="356">
        <f t="shared" si="118"/>
        <v>14637725.198200388</v>
      </c>
      <c r="AA395" s="357">
        <f>+Bono!J395</f>
        <v>381565.6997864822</v>
      </c>
      <c r="AC395" s="378">
        <f t="shared" si="119"/>
        <v>31</v>
      </c>
      <c r="AD395" s="356">
        <f t="shared" si="120"/>
        <v>15609418.026969438</v>
      </c>
    </row>
    <row r="396" spans="1:30" x14ac:dyDescent="0.25">
      <c r="A396" s="356">
        <f t="shared" si="121"/>
        <v>31.083333333333332</v>
      </c>
      <c r="B396" s="356">
        <f t="shared" si="122"/>
        <v>373</v>
      </c>
      <c r="C396" s="357">
        <f t="shared" si="127"/>
        <v>31</v>
      </c>
      <c r="D396" s="357">
        <f t="shared" si="128"/>
        <v>1</v>
      </c>
      <c r="E396" s="357">
        <f t="shared" si="129"/>
        <v>60</v>
      </c>
      <c r="F396" s="356">
        <f t="shared" si="123"/>
        <v>590127.1289825683</v>
      </c>
      <c r="H396" s="356">
        <f t="shared" si="116"/>
        <v>4705.756597412804</v>
      </c>
      <c r="I396" s="356">
        <v>0</v>
      </c>
      <c r="J396" s="356">
        <v>0</v>
      </c>
      <c r="K396" s="356">
        <f t="shared" si="124"/>
        <v>-690.006147272778</v>
      </c>
      <c r="L396" s="356">
        <f t="shared" si="117"/>
        <v>594142.8794327083</v>
      </c>
      <c r="N396" s="356">
        <f t="shared" si="125"/>
        <v>373</v>
      </c>
      <c r="O396" s="357">
        <f t="shared" si="130"/>
        <v>31</v>
      </c>
      <c r="P396" s="357">
        <f t="shared" si="131"/>
        <v>1</v>
      </c>
      <c r="Q396" s="357">
        <f t="shared" si="132"/>
        <v>31</v>
      </c>
      <c r="R396" s="356">
        <f t="shared" si="126"/>
        <v>14637725.198200388</v>
      </c>
      <c r="S396" s="356">
        <f>IF($G$17="si",S384*(1+$G$20),S384)</f>
        <v>10000</v>
      </c>
      <c r="U396" s="356">
        <f t="shared" si="133"/>
        <v>116803.01769444211</v>
      </c>
      <c r="V396" s="359">
        <f>V395*(1+$G$18)</f>
        <v>-298.1580084146086</v>
      </c>
      <c r="X396" s="359">
        <f t="shared" si="134"/>
        <v>-17126.50686714824</v>
      </c>
      <c r="Y396" s="356">
        <f t="shared" si="118"/>
        <v>14747103.551019266</v>
      </c>
      <c r="AA396" s="357">
        <f>+Bono!J396</f>
        <v>383931.4513840402</v>
      </c>
      <c r="AC396" s="378">
        <f t="shared" si="119"/>
        <v>31.083333333333332</v>
      </c>
      <c r="AD396" s="356">
        <f t="shared" si="120"/>
        <v>15725177.881836014</v>
      </c>
    </row>
    <row r="397" spans="1:30" x14ac:dyDescent="0.25">
      <c r="A397" s="356">
        <f t="shared" si="121"/>
        <v>31.166666666666668</v>
      </c>
      <c r="B397" s="356">
        <f t="shared" si="122"/>
        <v>374</v>
      </c>
      <c r="C397" s="357">
        <f t="shared" si="127"/>
        <v>31</v>
      </c>
      <c r="D397" s="357">
        <f t="shared" si="128"/>
        <v>2</v>
      </c>
      <c r="E397" s="357">
        <f t="shared" si="129"/>
        <v>60</v>
      </c>
      <c r="F397" s="356">
        <f t="shared" si="123"/>
        <v>594142.8794327083</v>
      </c>
      <c r="H397" s="356">
        <f t="shared" si="116"/>
        <v>4737.778755429654</v>
      </c>
      <c r="I397" s="356">
        <v>0</v>
      </c>
      <c r="J397" s="356">
        <v>0</v>
      </c>
      <c r="K397" s="356">
        <f t="shared" si="124"/>
        <v>-694.7015634982399</v>
      </c>
      <c r="L397" s="356">
        <f t="shared" si="117"/>
        <v>598185.9566246397</v>
      </c>
      <c r="N397" s="356">
        <f t="shared" si="125"/>
        <v>374</v>
      </c>
      <c r="O397" s="357">
        <f t="shared" si="130"/>
        <v>31</v>
      </c>
      <c r="P397" s="357">
        <f t="shared" si="131"/>
        <v>2</v>
      </c>
      <c r="Q397" s="357">
        <f t="shared" si="132"/>
        <v>31</v>
      </c>
      <c r="R397" s="356">
        <f t="shared" si="126"/>
        <v>14747103.551019266</v>
      </c>
      <c r="S397" s="356">
        <f>IF($G$4="mensual",S396,0)</f>
        <v>10000</v>
      </c>
      <c r="U397" s="356">
        <f t="shared" si="133"/>
        <v>117675.21603970203</v>
      </c>
      <c r="V397" s="359">
        <f t="shared" si="135"/>
        <v>-298.1580084146086</v>
      </c>
      <c r="X397" s="359">
        <f t="shared" si="134"/>
        <v>-17254.39750649864</v>
      </c>
      <c r="Y397" s="356">
        <f t="shared" si="118"/>
        <v>14857226.211544055</v>
      </c>
      <c r="AA397" s="357">
        <f>+Bono!J397</f>
        <v>386311.8709159132</v>
      </c>
      <c r="AC397" s="378">
        <f t="shared" si="119"/>
        <v>31.166666666666668</v>
      </c>
      <c r="AD397" s="356">
        <f t="shared" si="120"/>
        <v>15841724.03908461</v>
      </c>
    </row>
    <row r="398" spans="1:30" x14ac:dyDescent="0.25">
      <c r="A398" s="356">
        <f t="shared" si="121"/>
        <v>31.25</v>
      </c>
      <c r="B398" s="356">
        <f t="shared" si="122"/>
        <v>375</v>
      </c>
      <c r="C398" s="357">
        <f t="shared" si="127"/>
        <v>31</v>
      </c>
      <c r="D398" s="357">
        <f t="shared" si="128"/>
        <v>3</v>
      </c>
      <c r="E398" s="357">
        <f t="shared" si="129"/>
        <v>60</v>
      </c>
      <c r="F398" s="356">
        <f t="shared" si="123"/>
        <v>598185.9566246397</v>
      </c>
      <c r="H398" s="356">
        <f t="shared" si="116"/>
        <v>4770.018820723013</v>
      </c>
      <c r="I398" s="356">
        <v>0</v>
      </c>
      <c r="J398" s="360">
        <f>-SUM(F398:H398)*$J$21*1.16</f>
        <v>-6294.860383649588</v>
      </c>
      <c r="K398" s="356">
        <f t="shared" si="124"/>
        <v>-692.1268934715872</v>
      </c>
      <c r="L398" s="356">
        <f t="shared" si="117"/>
        <v>595968.9881682416</v>
      </c>
      <c r="N398" s="356">
        <f t="shared" si="125"/>
        <v>375</v>
      </c>
      <c r="O398" s="357">
        <f t="shared" si="130"/>
        <v>31</v>
      </c>
      <c r="P398" s="357">
        <f t="shared" si="131"/>
        <v>3</v>
      </c>
      <c r="Q398" s="357">
        <f t="shared" si="132"/>
        <v>31</v>
      </c>
      <c r="R398" s="356">
        <f t="shared" si="126"/>
        <v>14857226.211544055</v>
      </c>
      <c r="S398" s="356">
        <f>IF($G$4="mensual",S397,0)</f>
        <v>10000</v>
      </c>
      <c r="U398" s="356">
        <f t="shared" si="133"/>
        <v>118553.34959913121</v>
      </c>
      <c r="V398" s="359">
        <f t="shared" si="135"/>
        <v>-298.1580084146086</v>
      </c>
      <c r="X398" s="359">
        <f t="shared" si="134"/>
        <v>-17383.158427636332</v>
      </c>
      <c r="Y398" s="356">
        <f t="shared" si="118"/>
        <v>14968098.244707134</v>
      </c>
      <c r="AA398" s="357">
        <f>+Bono!J398</f>
        <v>385205.18401576125</v>
      </c>
      <c r="AC398" s="378">
        <f t="shared" si="119"/>
        <v>31.25</v>
      </c>
      <c r="AD398" s="356">
        <f t="shared" si="120"/>
        <v>15949272.416891137</v>
      </c>
    </row>
    <row r="399" spans="1:30" x14ac:dyDescent="0.25">
      <c r="A399" s="356">
        <f t="shared" si="121"/>
        <v>31.333333333333332</v>
      </c>
      <c r="B399" s="356">
        <f t="shared" si="122"/>
        <v>376</v>
      </c>
      <c r="C399" s="357">
        <f t="shared" si="127"/>
        <v>31</v>
      </c>
      <c r="D399" s="357">
        <f t="shared" si="128"/>
        <v>4</v>
      </c>
      <c r="E399" s="357">
        <f t="shared" si="129"/>
        <v>60</v>
      </c>
      <c r="F399" s="356">
        <f t="shared" si="123"/>
        <v>595968.9881682416</v>
      </c>
      <c r="H399" s="356">
        <f t="shared" si="116"/>
        <v>4752.340402925244</v>
      </c>
      <c r="I399" s="356">
        <v>0</v>
      </c>
      <c r="J399" s="356">
        <v>0</v>
      </c>
      <c r="K399" s="356">
        <f t="shared" si="124"/>
        <v>-696.8367411425535</v>
      </c>
      <c r="L399" s="356">
        <f t="shared" si="117"/>
        <v>600024.4918300243</v>
      </c>
      <c r="N399" s="356">
        <f t="shared" si="125"/>
        <v>376</v>
      </c>
      <c r="O399" s="357">
        <f t="shared" si="130"/>
        <v>31</v>
      </c>
      <c r="P399" s="357">
        <f t="shared" si="131"/>
        <v>4</v>
      </c>
      <c r="Q399" s="357">
        <f t="shared" si="132"/>
        <v>31</v>
      </c>
      <c r="R399" s="356">
        <f t="shared" si="126"/>
        <v>14968098.244707134</v>
      </c>
      <c r="S399" s="356">
        <f>IF($G$4="mensual",S396,IF($G$4="trimestral",S396,0))</f>
        <v>10000</v>
      </c>
      <c r="U399" s="356">
        <f t="shared" si="133"/>
        <v>119437.45876121166</v>
      </c>
      <c r="V399" s="359">
        <f t="shared" si="135"/>
        <v>-298.1580084146086</v>
      </c>
      <c r="X399" s="359">
        <f t="shared" si="134"/>
        <v>-17512.795552733518</v>
      </c>
      <c r="Y399" s="356">
        <f t="shared" si="118"/>
        <v>15079724.749907196</v>
      </c>
      <c r="AA399" s="357">
        <f>+Bono!J399</f>
        <v>387593.5008376948</v>
      </c>
      <c r="AC399" s="378">
        <f t="shared" si="119"/>
        <v>31.333333333333332</v>
      </c>
      <c r="AD399" s="356">
        <f t="shared" si="120"/>
        <v>16067342.742574915</v>
      </c>
    </row>
    <row r="400" spans="1:30" x14ac:dyDescent="0.25">
      <c r="A400" s="356">
        <f t="shared" si="121"/>
        <v>31.416666666666668</v>
      </c>
      <c r="B400" s="356">
        <f t="shared" si="122"/>
        <v>377</v>
      </c>
      <c r="C400" s="357">
        <f t="shared" si="127"/>
        <v>31</v>
      </c>
      <c r="D400" s="357">
        <f t="shared" si="128"/>
        <v>5</v>
      </c>
      <c r="E400" s="357">
        <f t="shared" si="129"/>
        <v>60</v>
      </c>
      <c r="F400" s="356">
        <f t="shared" si="123"/>
        <v>600024.4918300243</v>
      </c>
      <c r="H400" s="356">
        <f t="shared" si="116"/>
        <v>4784.679558634233</v>
      </c>
      <c r="I400" s="356">
        <v>0</v>
      </c>
      <c r="J400" s="356">
        <v>0</v>
      </c>
      <c r="K400" s="356">
        <f t="shared" si="124"/>
        <v>-701.5786388108438</v>
      </c>
      <c r="L400" s="356">
        <f t="shared" si="117"/>
        <v>604107.5927498476</v>
      </c>
      <c r="N400" s="356">
        <f t="shared" si="125"/>
        <v>377</v>
      </c>
      <c r="O400" s="357">
        <f t="shared" si="130"/>
        <v>31</v>
      </c>
      <c r="P400" s="357">
        <f t="shared" si="131"/>
        <v>5</v>
      </c>
      <c r="Q400" s="357">
        <f t="shared" si="132"/>
        <v>31</v>
      </c>
      <c r="R400" s="356">
        <f t="shared" si="126"/>
        <v>15079724.749907196</v>
      </c>
      <c r="S400" s="356">
        <f>IF($G$4="mensual",S399,0)</f>
        <v>10000</v>
      </c>
      <c r="U400" s="356">
        <f t="shared" si="133"/>
        <v>120327.58418926471</v>
      </c>
      <c r="V400" s="359">
        <f t="shared" si="135"/>
        <v>-298.1580084146086</v>
      </c>
      <c r="X400" s="359">
        <f t="shared" si="134"/>
        <v>-17643.31484426213</v>
      </c>
      <c r="Y400" s="356">
        <f t="shared" si="118"/>
        <v>15192110.861243783</v>
      </c>
      <c r="AA400" s="357">
        <f>+Bono!J400</f>
        <v>389996.6255009519</v>
      </c>
      <c r="AC400" s="378">
        <f t="shared" si="119"/>
        <v>31.416666666666668</v>
      </c>
      <c r="AD400" s="356">
        <f t="shared" si="120"/>
        <v>16186215.079494582</v>
      </c>
    </row>
    <row r="401" spans="1:30" x14ac:dyDescent="0.25">
      <c r="A401" s="356">
        <f t="shared" si="121"/>
        <v>31.5</v>
      </c>
      <c r="B401" s="356">
        <f t="shared" si="122"/>
        <v>378</v>
      </c>
      <c r="C401" s="357">
        <f t="shared" si="127"/>
        <v>31</v>
      </c>
      <c r="D401" s="357">
        <f t="shared" si="128"/>
        <v>6</v>
      </c>
      <c r="E401" s="357">
        <f t="shared" si="129"/>
        <v>60</v>
      </c>
      <c r="F401" s="356">
        <f t="shared" si="123"/>
        <v>604107.5927498476</v>
      </c>
      <c r="H401" s="356">
        <f t="shared" si="116"/>
        <v>4817.23877875429</v>
      </c>
      <c r="I401" s="356">
        <v>0</v>
      </c>
      <c r="J401" s="360">
        <f>-SUM(F401:H401)*$J$21*1.16</f>
        <v>-6357.175241158604</v>
      </c>
      <c r="K401" s="356">
        <f t="shared" si="124"/>
        <v>-698.9784812934341</v>
      </c>
      <c r="L401" s="356">
        <f t="shared" si="117"/>
        <v>601868.6778061498</v>
      </c>
      <c r="N401" s="356">
        <f t="shared" si="125"/>
        <v>378</v>
      </c>
      <c r="O401" s="357">
        <f t="shared" si="130"/>
        <v>31</v>
      </c>
      <c r="P401" s="357">
        <f t="shared" si="131"/>
        <v>6</v>
      </c>
      <c r="Q401" s="357">
        <f t="shared" si="132"/>
        <v>31</v>
      </c>
      <c r="R401" s="356">
        <f t="shared" si="126"/>
        <v>15192110.861243783</v>
      </c>
      <c r="S401" s="356">
        <f>IF($G$4="mensual",S400,0)</f>
        <v>10000</v>
      </c>
      <c r="U401" s="356">
        <f t="shared" si="133"/>
        <v>121223.76682332107</v>
      </c>
      <c r="V401" s="359">
        <f t="shared" si="135"/>
        <v>-298.1580084146086</v>
      </c>
      <c r="X401" s="359">
        <f t="shared" si="134"/>
        <v>-17774.72230526808</v>
      </c>
      <c r="Y401" s="356">
        <f t="shared" si="118"/>
        <v>15305261.74775342</v>
      </c>
      <c r="AA401" s="357">
        <f>+Bono!J401</f>
        <v>388879.38270040817</v>
      </c>
      <c r="AC401" s="378">
        <f t="shared" si="119"/>
        <v>31.5</v>
      </c>
      <c r="AD401" s="356">
        <f t="shared" si="120"/>
        <v>16296009.808259979</v>
      </c>
    </row>
    <row r="402" spans="1:30" x14ac:dyDescent="0.25">
      <c r="A402" s="356">
        <f t="shared" si="121"/>
        <v>31.583333333333332</v>
      </c>
      <c r="B402" s="356">
        <f t="shared" si="122"/>
        <v>379</v>
      </c>
      <c r="C402" s="357">
        <f t="shared" si="127"/>
        <v>31</v>
      </c>
      <c r="D402" s="357">
        <f t="shared" si="128"/>
        <v>7</v>
      </c>
      <c r="E402" s="357">
        <f t="shared" si="129"/>
        <v>60</v>
      </c>
      <c r="F402" s="356">
        <f t="shared" si="123"/>
        <v>601868.6778061498</v>
      </c>
      <c r="H402" s="356">
        <f t="shared" si="116"/>
        <v>4799.385356584873</v>
      </c>
      <c r="I402" s="356">
        <v>0</v>
      </c>
      <c r="J402" s="356">
        <v>0</v>
      </c>
      <c r="K402" s="356">
        <f t="shared" si="124"/>
        <v>-703.7349532687722</v>
      </c>
      <c r="L402" s="356">
        <f t="shared" si="117"/>
        <v>605964.328209466</v>
      </c>
      <c r="N402" s="356">
        <f t="shared" si="125"/>
        <v>379</v>
      </c>
      <c r="O402" s="357">
        <f t="shared" si="130"/>
        <v>31</v>
      </c>
      <c r="P402" s="357">
        <f t="shared" si="131"/>
        <v>7</v>
      </c>
      <c r="Q402" s="357">
        <f t="shared" si="132"/>
        <v>31</v>
      </c>
      <c r="R402" s="356">
        <f t="shared" si="126"/>
        <v>15305261.74775342</v>
      </c>
      <c r="S402" s="356">
        <f>+IF($G$4="mensual",S396,IF($G$4="trimestral",S396,IF($G$4="semestral",S396,0)))</f>
        <v>10000</v>
      </c>
      <c r="U402" s="356">
        <f t="shared" si="133"/>
        <v>122126.04788200388</v>
      </c>
      <c r="V402" s="359">
        <f t="shared" si="135"/>
        <v>-298.1580084146086</v>
      </c>
      <c r="X402" s="359">
        <f t="shared" si="134"/>
        <v>-17907.023979647332</v>
      </c>
      <c r="Y402" s="356">
        <f t="shared" si="118"/>
        <v>15419182.613647362</v>
      </c>
      <c r="AA402" s="357">
        <f>+Bono!J402</f>
        <v>391290.4799803671</v>
      </c>
      <c r="AC402" s="378">
        <f t="shared" si="119"/>
        <v>31.583333333333332</v>
      </c>
      <c r="AD402" s="356">
        <f t="shared" si="120"/>
        <v>16416437.421837194</v>
      </c>
    </row>
    <row r="403" spans="1:30" x14ac:dyDescent="0.25">
      <c r="A403" s="356">
        <f t="shared" si="121"/>
        <v>31.666666666666668</v>
      </c>
      <c r="B403" s="356">
        <f t="shared" si="122"/>
        <v>380</v>
      </c>
      <c r="C403" s="357">
        <f t="shared" si="127"/>
        <v>31</v>
      </c>
      <c r="D403" s="357">
        <f t="shared" si="128"/>
        <v>8</v>
      </c>
      <c r="E403" s="357">
        <f t="shared" si="129"/>
        <v>60</v>
      </c>
      <c r="F403" s="356">
        <f t="shared" si="123"/>
        <v>605964.328209466</v>
      </c>
      <c r="H403" s="356">
        <f t="shared" si="116"/>
        <v>4832.0446480486125</v>
      </c>
      <c r="I403" s="356">
        <v>0</v>
      </c>
      <c r="J403" s="356">
        <v>0</v>
      </c>
      <c r="K403" s="356">
        <f t="shared" si="124"/>
        <v>-708.5237925147169</v>
      </c>
      <c r="L403" s="356">
        <f t="shared" si="117"/>
        <v>610087.8490649998</v>
      </c>
      <c r="N403" s="356">
        <f t="shared" si="125"/>
        <v>380</v>
      </c>
      <c r="O403" s="357">
        <f t="shared" si="130"/>
        <v>31</v>
      </c>
      <c r="P403" s="357">
        <f t="shared" si="131"/>
        <v>8</v>
      </c>
      <c r="Q403" s="357">
        <f t="shared" si="132"/>
        <v>31</v>
      </c>
      <c r="R403" s="356">
        <f t="shared" si="126"/>
        <v>15419182.613647362</v>
      </c>
      <c r="S403" s="356">
        <f>IF($G$4="mensual",S402,0)</f>
        <v>10000</v>
      </c>
      <c r="U403" s="356">
        <f t="shared" si="133"/>
        <v>123034.46886442447</v>
      </c>
      <c r="V403" s="359">
        <f t="shared" si="135"/>
        <v>-298.1580084146086</v>
      </c>
      <c r="X403" s="359">
        <f t="shared" si="134"/>
        <v>-18040.22595242391</v>
      </c>
      <c r="Y403" s="356">
        <f t="shared" si="118"/>
        <v>15533878.698550947</v>
      </c>
      <c r="AA403" s="357">
        <f>+Bono!J403</f>
        <v>393716.52634313185</v>
      </c>
      <c r="AC403" s="378">
        <f t="shared" si="119"/>
        <v>31.666666666666668</v>
      </c>
      <c r="AD403" s="356">
        <f t="shared" si="120"/>
        <v>16537683.073959079</v>
      </c>
    </row>
    <row r="404" spans="1:30" x14ac:dyDescent="0.25">
      <c r="A404" s="356">
        <f t="shared" si="121"/>
        <v>31.75</v>
      </c>
      <c r="B404" s="356">
        <f t="shared" si="122"/>
        <v>381</v>
      </c>
      <c r="C404" s="357">
        <f t="shared" si="127"/>
        <v>31</v>
      </c>
      <c r="D404" s="357">
        <f t="shared" si="128"/>
        <v>9</v>
      </c>
      <c r="E404" s="357">
        <f t="shared" si="129"/>
        <v>60</v>
      </c>
      <c r="F404" s="356">
        <f t="shared" si="123"/>
        <v>610087.8490649998</v>
      </c>
      <c r="H404" s="356">
        <f t="shared" si="116"/>
        <v>4864.926182412153</v>
      </c>
      <c r="I404" s="356">
        <v>0</v>
      </c>
      <c r="J404" s="360">
        <f>-SUM(F404:H404)*$J$21*1.16</f>
        <v>-6420.106973582982</v>
      </c>
      <c r="K404" s="356">
        <f t="shared" si="124"/>
        <v>-705.8978951976416</v>
      </c>
      <c r="L404" s="356">
        <f t="shared" si="117"/>
        <v>607826.7703786314</v>
      </c>
      <c r="N404" s="356">
        <f t="shared" si="125"/>
        <v>381</v>
      </c>
      <c r="O404" s="357">
        <f t="shared" si="130"/>
        <v>31</v>
      </c>
      <c r="P404" s="357">
        <f t="shared" si="131"/>
        <v>9</v>
      </c>
      <c r="Q404" s="357">
        <f t="shared" si="132"/>
        <v>31</v>
      </c>
      <c r="R404" s="356">
        <f t="shared" si="126"/>
        <v>15533878.698550947</v>
      </c>
      <c r="S404" s="356">
        <f>IF($G$4="mensual",S403,0)</f>
        <v>10000</v>
      </c>
      <c r="U404" s="356">
        <f t="shared" si="133"/>
        <v>123949.07155209113</v>
      </c>
      <c r="V404" s="359">
        <f t="shared" si="135"/>
        <v>-298.1580084146086</v>
      </c>
      <c r="X404" s="359">
        <f t="shared" si="134"/>
        <v>-18174.33435002976</v>
      </c>
      <c r="Y404" s="356">
        <f t="shared" si="118"/>
        <v>15649355.277744593</v>
      </c>
      <c r="AA404" s="357">
        <f>+Bono!J404</f>
        <v>392588.62695695914</v>
      </c>
      <c r="AC404" s="378">
        <f t="shared" si="119"/>
        <v>31.75</v>
      </c>
      <c r="AD404" s="356">
        <f t="shared" si="120"/>
        <v>16649770.675080182</v>
      </c>
    </row>
    <row r="405" spans="1:30" x14ac:dyDescent="0.25">
      <c r="A405" s="356">
        <f t="shared" si="121"/>
        <v>31.833333333333332</v>
      </c>
      <c r="B405" s="356">
        <f t="shared" si="122"/>
        <v>382</v>
      </c>
      <c r="C405" s="357">
        <f t="shared" si="127"/>
        <v>31</v>
      </c>
      <c r="D405" s="357">
        <f t="shared" si="128"/>
        <v>10</v>
      </c>
      <c r="E405" s="357">
        <f t="shared" si="129"/>
        <v>60</v>
      </c>
      <c r="F405" s="356">
        <f t="shared" si="123"/>
        <v>607826.7703786314</v>
      </c>
      <c r="H405" s="356">
        <f t="shared" si="116"/>
        <v>4846.89602344625</v>
      </c>
      <c r="I405" s="356">
        <v>0</v>
      </c>
      <c r="J405" s="356">
        <v>0</v>
      </c>
      <c r="K405" s="356">
        <f t="shared" si="124"/>
        <v>-710.70145302641</v>
      </c>
      <c r="L405" s="356">
        <f t="shared" si="117"/>
        <v>611962.9649490513</v>
      </c>
      <c r="N405" s="356">
        <f t="shared" si="125"/>
        <v>382</v>
      </c>
      <c r="O405" s="357">
        <f t="shared" si="130"/>
        <v>31</v>
      </c>
      <c r="P405" s="357">
        <f t="shared" si="131"/>
        <v>10</v>
      </c>
      <c r="Q405" s="357">
        <f t="shared" si="132"/>
        <v>31</v>
      </c>
      <c r="R405" s="356">
        <f t="shared" si="126"/>
        <v>15649355.277744593</v>
      </c>
      <c r="S405" s="356">
        <f>IF($G$4="mensual",S396,IF($G$4="trimestral",S396,0))</f>
        <v>10000</v>
      </c>
      <c r="U405" s="356">
        <f t="shared" si="133"/>
        <v>124869.8980108307</v>
      </c>
      <c r="V405" s="359">
        <f t="shared" si="135"/>
        <v>-298.1580084146086</v>
      </c>
      <c r="X405" s="359">
        <f t="shared" si="134"/>
        <v>-18309.35534058653</v>
      </c>
      <c r="Y405" s="356">
        <f t="shared" si="118"/>
        <v>15765617.662406422</v>
      </c>
      <c r="AA405" s="357">
        <f>+Bono!J405</f>
        <v>395022.72198155447</v>
      </c>
      <c r="AC405" s="378">
        <f t="shared" si="119"/>
        <v>31.833333333333332</v>
      </c>
      <c r="AD405" s="356">
        <f t="shared" si="120"/>
        <v>16772603.349337028</v>
      </c>
    </row>
    <row r="406" spans="1:30" x14ac:dyDescent="0.25">
      <c r="A406" s="356">
        <f t="shared" si="121"/>
        <v>31.916666666666668</v>
      </c>
      <c r="B406" s="356">
        <f t="shared" si="122"/>
        <v>383</v>
      </c>
      <c r="C406" s="357">
        <f t="shared" si="127"/>
        <v>31</v>
      </c>
      <c r="D406" s="357">
        <f t="shared" si="128"/>
        <v>11</v>
      </c>
      <c r="E406" s="357">
        <f t="shared" si="129"/>
        <v>60</v>
      </c>
      <c r="F406" s="356">
        <f t="shared" si="123"/>
        <v>611962.9649490513</v>
      </c>
      <c r="H406" s="356">
        <f t="shared" si="116"/>
        <v>4879.878619792047</v>
      </c>
      <c r="I406" s="356">
        <v>0</v>
      </c>
      <c r="J406" s="356">
        <v>0</v>
      </c>
      <c r="K406" s="356">
        <f t="shared" si="124"/>
        <v>-715.5376985398583</v>
      </c>
      <c r="L406" s="356">
        <f t="shared" si="117"/>
        <v>616127.3058703034</v>
      </c>
      <c r="N406" s="356">
        <f t="shared" si="125"/>
        <v>383</v>
      </c>
      <c r="O406" s="357">
        <f t="shared" si="130"/>
        <v>31</v>
      </c>
      <c r="P406" s="357">
        <f t="shared" si="131"/>
        <v>11</v>
      </c>
      <c r="Q406" s="357">
        <f t="shared" si="132"/>
        <v>31</v>
      </c>
      <c r="R406" s="356">
        <f t="shared" si="126"/>
        <v>15765617.662406422</v>
      </c>
      <c r="S406" s="356">
        <f>IF($G$17="si",S394*(1+$G$20),S394)</f>
        <v>10000</v>
      </c>
      <c r="U406" s="356">
        <f t="shared" si="133"/>
        <v>125796.99059272335</v>
      </c>
      <c r="V406" s="359">
        <f t="shared" si="135"/>
        <v>-298.1580084146086</v>
      </c>
      <c r="X406" s="359">
        <f t="shared" si="134"/>
        <v>-18445.295134189248</v>
      </c>
      <c r="Y406" s="356">
        <f t="shared" si="118"/>
        <v>15882671.199856542</v>
      </c>
      <c r="AA406" s="357">
        <f>+Bono!J406</f>
        <v>397471.9086776398</v>
      </c>
      <c r="AC406" s="378">
        <f t="shared" si="119"/>
        <v>31.916666666666668</v>
      </c>
      <c r="AD406" s="356">
        <f t="shared" si="120"/>
        <v>16896270.414404485</v>
      </c>
    </row>
    <row r="407" spans="1:30" x14ac:dyDescent="0.25">
      <c r="A407" s="356">
        <f t="shared" si="121"/>
        <v>32</v>
      </c>
      <c r="B407" s="356">
        <f t="shared" si="122"/>
        <v>384</v>
      </c>
      <c r="C407" s="357">
        <f t="shared" si="127"/>
        <v>31</v>
      </c>
      <c r="D407" s="357">
        <f t="shared" si="128"/>
        <v>12</v>
      </c>
      <c r="E407" s="357">
        <f t="shared" si="129"/>
        <v>60</v>
      </c>
      <c r="F407" s="356">
        <f t="shared" si="123"/>
        <v>616127.3058703034</v>
      </c>
      <c r="H407" s="356">
        <f t="shared" si="116"/>
        <v>4913.085659091942</v>
      </c>
      <c r="I407" s="356">
        <v>0</v>
      </c>
      <c r="J407" s="360">
        <f>-SUM(F407:H407)*$J$21*1.16</f>
        <v>-6483.661687566888</v>
      </c>
      <c r="K407" s="356">
        <f t="shared" si="124"/>
        <v>-712.8858066165209</v>
      </c>
      <c r="L407" s="356">
        <f t="shared" si="117"/>
        <v>613843.844035212</v>
      </c>
      <c r="N407" s="356">
        <f t="shared" si="125"/>
        <v>384</v>
      </c>
      <c r="O407" s="357">
        <f t="shared" si="130"/>
        <v>31</v>
      </c>
      <c r="P407" s="357">
        <f t="shared" si="131"/>
        <v>12</v>
      </c>
      <c r="Q407" s="357">
        <f t="shared" si="132"/>
        <v>31</v>
      </c>
      <c r="R407" s="356">
        <f t="shared" si="126"/>
        <v>15882671.199856542</v>
      </c>
      <c r="S407" s="356">
        <f>IF($G$4="mensual",S406,0)</f>
        <v>10000</v>
      </c>
      <c r="U407" s="356">
        <f t="shared" si="133"/>
        <v>126730.39193805055</v>
      </c>
      <c r="V407" s="359">
        <f t="shared" si="135"/>
        <v>-298.1580084146086</v>
      </c>
      <c r="X407" s="359">
        <f t="shared" si="134"/>
        <v>-18582.159983191967</v>
      </c>
      <c r="Y407" s="356">
        <f t="shared" si="118"/>
        <v>16000521.273802986</v>
      </c>
      <c r="AA407" s="357">
        <f>+Bono!J407</f>
        <v>396333.25106023595</v>
      </c>
      <c r="AC407" s="378">
        <f t="shared" si="119"/>
        <v>32</v>
      </c>
      <c r="AD407" s="356">
        <f t="shared" si="120"/>
        <v>17010698.368898436</v>
      </c>
    </row>
    <row r="408" spans="1:30" x14ac:dyDescent="0.25">
      <c r="A408" s="356">
        <f t="shared" si="121"/>
        <v>32.083333333333336</v>
      </c>
      <c r="B408" s="356">
        <f t="shared" si="122"/>
        <v>385</v>
      </c>
      <c r="C408" s="357">
        <f t="shared" si="127"/>
        <v>32</v>
      </c>
      <c r="D408" s="357">
        <f t="shared" si="128"/>
        <v>1</v>
      </c>
      <c r="E408" s="357">
        <f t="shared" si="129"/>
        <v>61</v>
      </c>
      <c r="F408" s="356">
        <f t="shared" si="123"/>
        <v>613843.844035212</v>
      </c>
      <c r="H408" s="356">
        <f t="shared" ref="H408:H471" si="136">SUM(F408:G408)*$G$8</f>
        <v>4894.877013754881</v>
      </c>
      <c r="I408" s="356">
        <v>0</v>
      </c>
      <c r="J408" s="356">
        <v>0</v>
      </c>
      <c r="K408" s="356">
        <f t="shared" si="124"/>
        <v>-717.7369164168016</v>
      </c>
      <c r="L408" s="356">
        <f t="shared" ref="L408:L471" si="137">SUM(F408:K408)</f>
        <v>618020.9841325501</v>
      </c>
      <c r="N408" s="356">
        <f t="shared" si="125"/>
        <v>385</v>
      </c>
      <c r="O408" s="357">
        <f t="shared" si="130"/>
        <v>32</v>
      </c>
      <c r="P408" s="357">
        <f t="shared" si="131"/>
        <v>1</v>
      </c>
      <c r="Q408" s="357">
        <f t="shared" si="132"/>
        <v>32</v>
      </c>
      <c r="R408" s="356">
        <f t="shared" si="126"/>
        <v>16000521.273802986</v>
      </c>
      <c r="S408" s="356">
        <f>IF($G$17="si",S396*(1+$G$20),S396)</f>
        <v>10000</v>
      </c>
      <c r="U408" s="356">
        <f t="shared" si="133"/>
        <v>127670.14497725619</v>
      </c>
      <c r="V408" s="359">
        <f>V407*(1+$G$18)</f>
        <v>-310.08432875119297</v>
      </c>
      <c r="X408" s="359">
        <f t="shared" si="134"/>
        <v>-18719.94234796373</v>
      </c>
      <c r="Y408" s="356">
        <f t="shared" ref="Y408:Y471" si="138">SUM(R408:X408)</f>
        <v>16119161.392103527</v>
      </c>
      <c r="AA408" s="357">
        <f>+Bono!J408</f>
        <v>398790.56318862113</v>
      </c>
      <c r="AC408" s="378">
        <f t="shared" ref="AC408:AC471" si="139">+B408/12</f>
        <v>32.083333333333336</v>
      </c>
      <c r="AD408" s="356">
        <f t="shared" ref="AD408:AD471" si="140">+AA408+Y408+L408</f>
        <v>17135972.939424697</v>
      </c>
    </row>
    <row r="409" spans="1:30" x14ac:dyDescent="0.25">
      <c r="A409" s="356">
        <f t="shared" ref="A409:A472" si="141">+B409/12</f>
        <v>32.166666666666664</v>
      </c>
      <c r="B409" s="356">
        <f t="shared" ref="B409:B472" si="142">+B408+1</f>
        <v>386</v>
      </c>
      <c r="C409" s="357">
        <f t="shared" si="127"/>
        <v>32</v>
      </c>
      <c r="D409" s="357">
        <f t="shared" si="128"/>
        <v>2</v>
      </c>
      <c r="E409" s="357">
        <f t="shared" si="129"/>
        <v>61</v>
      </c>
      <c r="F409" s="356">
        <f t="shared" ref="F409:F472" si="143">L408</f>
        <v>618020.9841325501</v>
      </c>
      <c r="H409" s="356">
        <f t="shared" si="136"/>
        <v>4928.186115482259</v>
      </c>
      <c r="I409" s="356">
        <v>0</v>
      </c>
      <c r="J409" s="356">
        <v>0</v>
      </c>
      <c r="K409" s="356">
        <f t="shared" ref="K409:K472" si="144">-SUM(F409:J409)*0.1%*1.16</f>
        <v>-722.6210374877176</v>
      </c>
      <c r="L409" s="356">
        <f t="shared" si="137"/>
        <v>622226.5492105446</v>
      </c>
      <c r="N409" s="356">
        <f t="shared" ref="N409:N472" si="145">+N408+1</f>
        <v>386</v>
      </c>
      <c r="O409" s="357">
        <f t="shared" si="130"/>
        <v>32</v>
      </c>
      <c r="P409" s="357">
        <f t="shared" si="131"/>
        <v>2</v>
      </c>
      <c r="Q409" s="357">
        <f t="shared" si="132"/>
        <v>32</v>
      </c>
      <c r="R409" s="356">
        <f t="shared" ref="R409:R472" si="146">Y408</f>
        <v>16119161.392103527</v>
      </c>
      <c r="S409" s="356">
        <f>IF($G$4="mensual",S408,0)</f>
        <v>10000</v>
      </c>
      <c r="U409" s="356">
        <f t="shared" si="133"/>
        <v>128616.19794108646</v>
      </c>
      <c r="V409" s="359">
        <f t="shared" si="135"/>
        <v>-310.08432875119297</v>
      </c>
      <c r="X409" s="359">
        <f t="shared" si="134"/>
        <v>-18858.6623066304</v>
      </c>
      <c r="Y409" s="356">
        <f t="shared" si="138"/>
        <v>16238608.843409231</v>
      </c>
      <c r="AA409" s="357">
        <f>+Bono!J409</f>
        <v>401263.11093723285</v>
      </c>
      <c r="AC409" s="378">
        <f t="shared" si="139"/>
        <v>32.166666666666664</v>
      </c>
      <c r="AD409" s="356">
        <f t="shared" si="140"/>
        <v>17262098.503557008</v>
      </c>
    </row>
    <row r="410" spans="1:30" x14ac:dyDescent="0.25">
      <c r="A410" s="356">
        <f t="shared" si="141"/>
        <v>32.25</v>
      </c>
      <c r="B410" s="356">
        <f t="shared" si="142"/>
        <v>387</v>
      </c>
      <c r="C410" s="357">
        <f t="shared" si="127"/>
        <v>32</v>
      </c>
      <c r="D410" s="357">
        <f t="shared" si="128"/>
        <v>3</v>
      </c>
      <c r="E410" s="357">
        <f t="shared" si="129"/>
        <v>61</v>
      </c>
      <c r="F410" s="356">
        <f t="shared" si="143"/>
        <v>622226.5492105446</v>
      </c>
      <c r="H410" s="356">
        <f t="shared" si="136"/>
        <v>4961.721881997081</v>
      </c>
      <c r="I410" s="356">
        <v>0</v>
      </c>
      <c r="J410" s="360">
        <f>-SUM(F410:H410)*$J$21*1.16</f>
        <v>-6547.845550206134</v>
      </c>
      <c r="K410" s="356">
        <f t="shared" si="144"/>
        <v>-719.9428936291091</v>
      </c>
      <c r="L410" s="356">
        <f t="shared" si="137"/>
        <v>619920.4826487064</v>
      </c>
      <c r="N410" s="356">
        <f t="shared" si="145"/>
        <v>387</v>
      </c>
      <c r="O410" s="357">
        <f t="shared" si="130"/>
        <v>32</v>
      </c>
      <c r="P410" s="357">
        <f t="shared" si="131"/>
        <v>3</v>
      </c>
      <c r="Q410" s="357">
        <f t="shared" si="132"/>
        <v>32</v>
      </c>
      <c r="R410" s="356">
        <f t="shared" si="146"/>
        <v>16238608.843409231</v>
      </c>
      <c r="S410" s="356">
        <f>IF($G$4="mensual",S409,0)</f>
        <v>10000</v>
      </c>
      <c r="U410" s="356">
        <f t="shared" si="133"/>
        <v>129568.68869167278</v>
      </c>
      <c r="V410" s="359">
        <f t="shared" si="135"/>
        <v>-310.08432875119297</v>
      </c>
      <c r="X410" s="359">
        <f t="shared" si="134"/>
        <v>-18998.32623941569</v>
      </c>
      <c r="Y410" s="356">
        <f t="shared" si="138"/>
        <v>16358869.121532734</v>
      </c>
      <c r="AA410" s="357">
        <f>+Bono!J410</f>
        <v>400113.5924734704</v>
      </c>
      <c r="AC410" s="378">
        <f t="shared" si="139"/>
        <v>32.25</v>
      </c>
      <c r="AD410" s="356">
        <f t="shared" si="140"/>
        <v>17378903.196654912</v>
      </c>
    </row>
    <row r="411" spans="1:30" x14ac:dyDescent="0.25">
      <c r="A411" s="356">
        <f t="shared" si="141"/>
        <v>32.333333333333336</v>
      </c>
      <c r="B411" s="356">
        <f t="shared" si="142"/>
        <v>388</v>
      </c>
      <c r="C411" s="357">
        <f t="shared" si="127"/>
        <v>32</v>
      </c>
      <c r="D411" s="357">
        <f t="shared" si="128"/>
        <v>4</v>
      </c>
      <c r="E411" s="357">
        <f t="shared" si="129"/>
        <v>61</v>
      </c>
      <c r="F411" s="356">
        <f t="shared" si="143"/>
        <v>619920.4826487064</v>
      </c>
      <c r="H411" s="356">
        <f t="shared" si="136"/>
        <v>4943.3329833945845</v>
      </c>
      <c r="I411" s="356">
        <v>0</v>
      </c>
      <c r="J411" s="356">
        <v>0</v>
      </c>
      <c r="K411" s="356">
        <f t="shared" si="144"/>
        <v>-724.8420261332371</v>
      </c>
      <c r="L411" s="356">
        <f t="shared" si="137"/>
        <v>624138.9736059678</v>
      </c>
      <c r="N411" s="356">
        <f t="shared" si="145"/>
        <v>388</v>
      </c>
      <c r="O411" s="357">
        <f t="shared" si="130"/>
        <v>32</v>
      </c>
      <c r="P411" s="357">
        <f t="shared" si="131"/>
        <v>4</v>
      </c>
      <c r="Q411" s="357">
        <f t="shared" si="132"/>
        <v>32</v>
      </c>
      <c r="R411" s="356">
        <f t="shared" si="146"/>
        <v>16358869.121532734</v>
      </c>
      <c r="S411" s="356">
        <f>IF($G$4="mensual",S408,IF($G$4="trimestral",S408,0))</f>
        <v>10000</v>
      </c>
      <c r="U411" s="356">
        <f t="shared" si="133"/>
        <v>130527.66103744862</v>
      </c>
      <c r="V411" s="359">
        <f t="shared" si="135"/>
        <v>-310.08432875119297</v>
      </c>
      <c r="X411" s="359">
        <f t="shared" si="134"/>
        <v>-19138.940569960057</v>
      </c>
      <c r="Y411" s="356">
        <f t="shared" si="138"/>
        <v>16479947.757671472</v>
      </c>
      <c r="AA411" s="357">
        <f>+Bono!J411</f>
        <v>402594.34315711004</v>
      </c>
      <c r="AC411" s="378">
        <f t="shared" si="139"/>
        <v>32.333333333333336</v>
      </c>
      <c r="AD411" s="356">
        <f t="shared" si="140"/>
        <v>17506681.07443455</v>
      </c>
    </row>
    <row r="412" spans="1:30" x14ac:dyDescent="0.25">
      <c r="A412" s="356">
        <f t="shared" si="141"/>
        <v>32.416666666666664</v>
      </c>
      <c r="B412" s="356">
        <f t="shared" si="142"/>
        <v>389</v>
      </c>
      <c r="C412" s="357">
        <f t="shared" si="127"/>
        <v>32</v>
      </c>
      <c r="D412" s="357">
        <f t="shared" si="128"/>
        <v>5</v>
      </c>
      <c r="E412" s="357">
        <f t="shared" si="129"/>
        <v>61</v>
      </c>
      <c r="F412" s="356">
        <f t="shared" si="143"/>
        <v>624138.9736059678</v>
      </c>
      <c r="H412" s="356">
        <f t="shared" si="136"/>
        <v>4976.971822685848</v>
      </c>
      <c r="I412" s="356">
        <v>0</v>
      </c>
      <c r="J412" s="356">
        <v>0</v>
      </c>
      <c r="K412" s="356">
        <f t="shared" si="144"/>
        <v>-729.7744966972382</v>
      </c>
      <c r="L412" s="356">
        <f t="shared" si="137"/>
        <v>628386.1709319564</v>
      </c>
      <c r="N412" s="356">
        <f t="shared" si="145"/>
        <v>389</v>
      </c>
      <c r="O412" s="357">
        <f t="shared" si="130"/>
        <v>32</v>
      </c>
      <c r="P412" s="357">
        <f t="shared" si="131"/>
        <v>5</v>
      </c>
      <c r="Q412" s="357">
        <f t="shared" si="132"/>
        <v>32</v>
      </c>
      <c r="R412" s="356">
        <f t="shared" si="146"/>
        <v>16479947.757671472</v>
      </c>
      <c r="S412" s="356">
        <f>IF($G$4="mensual",S411,0)</f>
        <v>10000</v>
      </c>
      <c r="U412" s="356">
        <f t="shared" si="133"/>
        <v>131493.15908495904</v>
      </c>
      <c r="V412" s="359">
        <f t="shared" si="135"/>
        <v>-310.08432875119297</v>
      </c>
      <c r="X412" s="359">
        <f t="shared" si="134"/>
        <v>-19280.511765616106</v>
      </c>
      <c r="Y412" s="356">
        <f t="shared" si="138"/>
        <v>16601850.320662063</v>
      </c>
      <c r="AA412" s="357">
        <f>+Bono!J412</f>
        <v>405090.47478273755</v>
      </c>
      <c r="AC412" s="378">
        <f t="shared" si="139"/>
        <v>32.416666666666664</v>
      </c>
      <c r="AD412" s="356">
        <f t="shared" si="140"/>
        <v>17635326.96637676</v>
      </c>
    </row>
    <row r="413" spans="1:30" x14ac:dyDescent="0.25">
      <c r="A413" s="356">
        <f t="shared" si="141"/>
        <v>32.5</v>
      </c>
      <c r="B413" s="356">
        <f t="shared" si="142"/>
        <v>390</v>
      </c>
      <c r="C413" s="357">
        <f t="shared" si="127"/>
        <v>32</v>
      </c>
      <c r="D413" s="357">
        <f t="shared" si="128"/>
        <v>6</v>
      </c>
      <c r="E413" s="357">
        <f t="shared" si="129"/>
        <v>61</v>
      </c>
      <c r="F413" s="356">
        <f t="shared" si="143"/>
        <v>628386.1709319564</v>
      </c>
      <c r="H413" s="356">
        <f t="shared" si="136"/>
        <v>5010.839570592545</v>
      </c>
      <c r="I413" s="356">
        <v>0</v>
      </c>
      <c r="J413" s="360">
        <f>-SUM(F413:H413)*$J$21*1.16</f>
        <v>-6612.664789646611</v>
      </c>
      <c r="K413" s="356">
        <f t="shared" si="144"/>
        <v>-727.0698410269665</v>
      </c>
      <c r="L413" s="356">
        <f t="shared" si="137"/>
        <v>626057.2758718753</v>
      </c>
      <c r="N413" s="356">
        <f t="shared" si="145"/>
        <v>390</v>
      </c>
      <c r="O413" s="357">
        <f t="shared" si="130"/>
        <v>32</v>
      </c>
      <c r="P413" s="357">
        <f t="shared" si="131"/>
        <v>6</v>
      </c>
      <c r="Q413" s="357">
        <f t="shared" si="132"/>
        <v>32</v>
      </c>
      <c r="R413" s="356">
        <f t="shared" si="146"/>
        <v>16601850.320662063</v>
      </c>
      <c r="S413" s="356">
        <f>IF($G$4="mensual",S412,0)</f>
        <v>10000</v>
      </c>
      <c r="U413" s="356">
        <f t="shared" si="133"/>
        <v>132465.2272408893</v>
      </c>
      <c r="V413" s="359">
        <f t="shared" si="135"/>
        <v>-310.08432875119297</v>
      </c>
      <c r="X413" s="359">
        <f t="shared" si="134"/>
        <v>-19423.04633774607</v>
      </c>
      <c r="Y413" s="356">
        <f t="shared" si="138"/>
        <v>16724582.417236453</v>
      </c>
      <c r="AA413" s="357">
        <f>+Bono!J413</f>
        <v>403929.9918787163</v>
      </c>
      <c r="AC413" s="378">
        <f t="shared" si="139"/>
        <v>32.5</v>
      </c>
      <c r="AD413" s="356">
        <f t="shared" si="140"/>
        <v>17754569.684987046</v>
      </c>
    </row>
    <row r="414" spans="1:30" x14ac:dyDescent="0.25">
      <c r="A414" s="356">
        <f t="shared" si="141"/>
        <v>32.583333333333336</v>
      </c>
      <c r="B414" s="356">
        <f t="shared" si="142"/>
        <v>391</v>
      </c>
      <c r="C414" s="357">
        <f t="shared" si="127"/>
        <v>32</v>
      </c>
      <c r="D414" s="357">
        <f t="shared" si="128"/>
        <v>7</v>
      </c>
      <c r="E414" s="357">
        <f t="shared" si="129"/>
        <v>61</v>
      </c>
      <c r="F414" s="356">
        <f t="shared" si="143"/>
        <v>626057.2758718753</v>
      </c>
      <c r="H414" s="356">
        <f t="shared" si="136"/>
        <v>4992.268634339278</v>
      </c>
      <c r="I414" s="356">
        <v>0</v>
      </c>
      <c r="J414" s="356">
        <v>0</v>
      </c>
      <c r="K414" s="356">
        <f t="shared" si="144"/>
        <v>-732.017471627209</v>
      </c>
      <c r="L414" s="356">
        <f t="shared" si="137"/>
        <v>630317.5270345875</v>
      </c>
      <c r="N414" s="356">
        <f t="shared" si="145"/>
        <v>391</v>
      </c>
      <c r="O414" s="357">
        <f t="shared" si="130"/>
        <v>32</v>
      </c>
      <c r="P414" s="357">
        <f t="shared" si="131"/>
        <v>7</v>
      </c>
      <c r="Q414" s="357">
        <f t="shared" si="132"/>
        <v>32</v>
      </c>
      <c r="R414" s="356">
        <f t="shared" si="146"/>
        <v>16724582.417236453</v>
      </c>
      <c r="S414" s="356">
        <f>+IF($G$4="mensual",S408,IF($G$4="trimestral",S408,IF($G$4="semestral",S408,0)))</f>
        <v>10000</v>
      </c>
      <c r="U414" s="356">
        <f t="shared" si="133"/>
        <v>133443.91021410728</v>
      </c>
      <c r="V414" s="359">
        <f t="shared" si="135"/>
        <v>-310.08432875119297</v>
      </c>
      <c r="X414" s="359">
        <f t="shared" si="134"/>
        <v>-19566.550842021294</v>
      </c>
      <c r="Y414" s="356">
        <f t="shared" si="138"/>
        <v>16848149.692279786</v>
      </c>
      <c r="AA414" s="357">
        <f>+Bono!J414</f>
        <v>406434.4046813434</v>
      </c>
      <c r="AC414" s="378">
        <f t="shared" si="139"/>
        <v>32.583333333333336</v>
      </c>
      <c r="AD414" s="356">
        <f t="shared" si="140"/>
        <v>17884901.623995718</v>
      </c>
    </row>
    <row r="415" spans="1:30" x14ac:dyDescent="0.25">
      <c r="A415" s="356">
        <f t="shared" si="141"/>
        <v>32.666666666666664</v>
      </c>
      <c r="B415" s="356">
        <f t="shared" si="142"/>
        <v>392</v>
      </c>
      <c r="C415" s="357">
        <f t="shared" si="127"/>
        <v>32</v>
      </c>
      <c r="D415" s="357">
        <f t="shared" si="128"/>
        <v>8</v>
      </c>
      <c r="E415" s="357">
        <f t="shared" si="129"/>
        <v>61</v>
      </c>
      <c r="F415" s="356">
        <f t="shared" si="143"/>
        <v>630317.5270345875</v>
      </c>
      <c r="H415" s="356">
        <f t="shared" si="136"/>
        <v>5026.240475373145</v>
      </c>
      <c r="I415" s="356">
        <v>0</v>
      </c>
      <c r="J415" s="356">
        <v>0</v>
      </c>
      <c r="K415" s="356">
        <f t="shared" si="144"/>
        <v>-736.9987703115543</v>
      </c>
      <c r="L415" s="356">
        <f t="shared" si="137"/>
        <v>634606.768739649</v>
      </c>
      <c r="N415" s="356">
        <f t="shared" si="145"/>
        <v>392</v>
      </c>
      <c r="O415" s="357">
        <f t="shared" si="130"/>
        <v>32</v>
      </c>
      <c r="P415" s="357">
        <f t="shared" si="131"/>
        <v>8</v>
      </c>
      <c r="Q415" s="357">
        <f t="shared" si="132"/>
        <v>32</v>
      </c>
      <c r="R415" s="356">
        <f t="shared" si="146"/>
        <v>16848149.692279786</v>
      </c>
      <c r="S415" s="356">
        <f>IF($G$4="mensual",S414,0)</f>
        <v>10000</v>
      </c>
      <c r="U415" s="356">
        <f t="shared" si="133"/>
        <v>134429.2530177198</v>
      </c>
      <c r="V415" s="359">
        <f t="shared" si="135"/>
        <v>-310.08432875119297</v>
      </c>
      <c r="X415" s="359">
        <f t="shared" si="134"/>
        <v>-19711.031878723752</v>
      </c>
      <c r="Y415" s="356">
        <f t="shared" si="138"/>
        <v>16972557.82909003</v>
      </c>
      <c r="AA415" s="357">
        <f>+Bono!J415</f>
        <v>408954.34513384075</v>
      </c>
      <c r="AC415" s="378">
        <f t="shared" si="139"/>
        <v>32.666666666666664</v>
      </c>
      <c r="AD415" s="356">
        <f t="shared" si="140"/>
        <v>18016118.94296352</v>
      </c>
    </row>
    <row r="416" spans="1:30" x14ac:dyDescent="0.25">
      <c r="A416" s="356">
        <f t="shared" si="141"/>
        <v>32.75</v>
      </c>
      <c r="B416" s="356">
        <f t="shared" si="142"/>
        <v>393</v>
      </c>
      <c r="C416" s="357">
        <f t="shared" si="127"/>
        <v>32</v>
      </c>
      <c r="D416" s="357">
        <f t="shared" si="128"/>
        <v>9</v>
      </c>
      <c r="E416" s="357">
        <f t="shared" si="129"/>
        <v>61</v>
      </c>
      <c r="F416" s="356">
        <f t="shared" si="143"/>
        <v>634606.768739649</v>
      </c>
      <c r="H416" s="356">
        <f t="shared" si="136"/>
        <v>5060.443491062816</v>
      </c>
      <c r="I416" s="356">
        <v>0</v>
      </c>
      <c r="J416" s="360">
        <f>-SUM(F416:H416)*$J$21*1.16</f>
        <v>-6678.125695688632</v>
      </c>
      <c r="K416" s="356">
        <f t="shared" si="144"/>
        <v>-734.2673403806268</v>
      </c>
      <c r="L416" s="356">
        <f t="shared" si="137"/>
        <v>632254.8191946426</v>
      </c>
      <c r="N416" s="356">
        <f t="shared" si="145"/>
        <v>393</v>
      </c>
      <c r="O416" s="357">
        <f t="shared" si="130"/>
        <v>32</v>
      </c>
      <c r="P416" s="357">
        <f t="shared" si="131"/>
        <v>9</v>
      </c>
      <c r="Q416" s="357">
        <f t="shared" si="132"/>
        <v>32</v>
      </c>
      <c r="R416" s="356">
        <f t="shared" si="146"/>
        <v>16972557.82909003</v>
      </c>
      <c r="S416" s="356">
        <f>IF($G$4="mensual",S415,0)</f>
        <v>10000</v>
      </c>
      <c r="U416" s="356">
        <f t="shared" si="133"/>
        <v>135421.30097114295</v>
      </c>
      <c r="V416" s="359">
        <f t="shared" si="135"/>
        <v>-310.08432875119297</v>
      </c>
      <c r="X416" s="359">
        <f t="shared" si="134"/>
        <v>-19856.49609304961</v>
      </c>
      <c r="Y416" s="356">
        <f t="shared" si="138"/>
        <v>17097812.54963937</v>
      </c>
      <c r="AA416" s="357">
        <f>+Bono!J416</f>
        <v>407782.7932075517</v>
      </c>
      <c r="AC416" s="378">
        <f t="shared" si="139"/>
        <v>32.75</v>
      </c>
      <c r="AD416" s="356">
        <f t="shared" si="140"/>
        <v>18137850.162041564</v>
      </c>
    </row>
    <row r="417" spans="1:30" x14ac:dyDescent="0.25">
      <c r="A417" s="356">
        <f t="shared" si="141"/>
        <v>32.833333333333336</v>
      </c>
      <c r="B417" s="356">
        <f t="shared" si="142"/>
        <v>394</v>
      </c>
      <c r="C417" s="357">
        <f t="shared" si="127"/>
        <v>32</v>
      </c>
      <c r="D417" s="357">
        <f t="shared" si="128"/>
        <v>10</v>
      </c>
      <c r="E417" s="357">
        <f t="shared" si="129"/>
        <v>61</v>
      </c>
      <c r="F417" s="356">
        <f t="shared" si="143"/>
        <v>632254.8191946426</v>
      </c>
      <c r="H417" s="356">
        <f t="shared" si="136"/>
        <v>5041.68871510924</v>
      </c>
      <c r="I417" s="356">
        <v>0</v>
      </c>
      <c r="J417" s="356">
        <v>0</v>
      </c>
      <c r="K417" s="356">
        <f t="shared" si="144"/>
        <v>-739.2639491753122</v>
      </c>
      <c r="L417" s="356">
        <f t="shared" si="137"/>
        <v>636557.2439605765</v>
      </c>
      <c r="N417" s="356">
        <f t="shared" si="145"/>
        <v>394</v>
      </c>
      <c r="O417" s="357">
        <f t="shared" si="130"/>
        <v>32</v>
      </c>
      <c r="P417" s="357">
        <f t="shared" si="131"/>
        <v>10</v>
      </c>
      <c r="Q417" s="357">
        <f t="shared" si="132"/>
        <v>32</v>
      </c>
      <c r="R417" s="356">
        <f t="shared" si="146"/>
        <v>17097812.54963937</v>
      </c>
      <c r="S417" s="356">
        <f>IF($G$4="mensual",S408,IF($G$4="trimestral",S408,0))</f>
        <v>10000</v>
      </c>
      <c r="U417" s="356">
        <f t="shared" si="133"/>
        <v>136420.09970218648</v>
      </c>
      <c r="V417" s="359">
        <f t="shared" si="135"/>
        <v>-310.08432875119297</v>
      </c>
      <c r="X417" s="359">
        <f t="shared" si="134"/>
        <v>-20002.950175414855</v>
      </c>
      <c r="Y417" s="356">
        <f t="shared" si="138"/>
        <v>17223919.61483739</v>
      </c>
      <c r="AA417" s="357">
        <f>+Bono!J417</f>
        <v>410311.0938253149</v>
      </c>
      <c r="AC417" s="378">
        <f t="shared" si="139"/>
        <v>32.833333333333336</v>
      </c>
      <c r="AD417" s="356">
        <f t="shared" si="140"/>
        <v>18270787.95262328</v>
      </c>
    </row>
    <row r="418" spans="1:30" x14ac:dyDescent="0.25">
      <c r="A418" s="356">
        <f t="shared" si="141"/>
        <v>32.916666666666664</v>
      </c>
      <c r="B418" s="356">
        <f t="shared" si="142"/>
        <v>395</v>
      </c>
      <c r="C418" s="357">
        <f t="shared" si="127"/>
        <v>32</v>
      </c>
      <c r="D418" s="357">
        <f t="shared" si="128"/>
        <v>11</v>
      </c>
      <c r="E418" s="357">
        <f t="shared" si="129"/>
        <v>61</v>
      </c>
      <c r="F418" s="356">
        <f t="shared" si="143"/>
        <v>636557.2439605765</v>
      </c>
      <c r="H418" s="356">
        <f t="shared" si="136"/>
        <v>5075.996854377589</v>
      </c>
      <c r="I418" s="356">
        <v>0</v>
      </c>
      <c r="J418" s="356">
        <v>0</v>
      </c>
      <c r="K418" s="356">
        <f t="shared" si="144"/>
        <v>-744.2945593453467</v>
      </c>
      <c r="L418" s="356">
        <f t="shared" si="137"/>
        <v>640888.9462556087</v>
      </c>
      <c r="N418" s="356">
        <f t="shared" si="145"/>
        <v>395</v>
      </c>
      <c r="O418" s="357">
        <f t="shared" si="130"/>
        <v>32</v>
      </c>
      <c r="P418" s="357">
        <f t="shared" si="131"/>
        <v>11</v>
      </c>
      <c r="Q418" s="357">
        <f t="shared" si="132"/>
        <v>32</v>
      </c>
      <c r="R418" s="356">
        <f t="shared" si="146"/>
        <v>17223919.61483739</v>
      </c>
      <c r="S418" s="356">
        <f>IF($G$17="si",S406*(1+$G$20),S406)</f>
        <v>10000</v>
      </c>
      <c r="U418" s="356">
        <f t="shared" si="133"/>
        <v>137425.69514915242</v>
      </c>
      <c r="V418" s="359">
        <f t="shared" si="135"/>
        <v>-310.08432875119297</v>
      </c>
      <c r="X418" s="359">
        <f t="shared" si="134"/>
        <v>-20150.400861763035</v>
      </c>
      <c r="Y418" s="356">
        <f t="shared" si="138"/>
        <v>17350884.82479603</v>
      </c>
      <c r="AA418" s="357">
        <f>+Bono!J418</f>
        <v>412855.07020017295</v>
      </c>
      <c r="AC418" s="378">
        <f t="shared" si="139"/>
        <v>32.916666666666664</v>
      </c>
      <c r="AD418" s="356">
        <f t="shared" si="140"/>
        <v>18404628.84125181</v>
      </c>
    </row>
    <row r="419" spans="1:30" x14ac:dyDescent="0.25">
      <c r="A419" s="356">
        <f t="shared" si="141"/>
        <v>33</v>
      </c>
      <c r="B419" s="356">
        <f t="shared" si="142"/>
        <v>396</v>
      </c>
      <c r="C419" s="357">
        <f t="shared" si="127"/>
        <v>32</v>
      </c>
      <c r="D419" s="357">
        <f t="shared" si="128"/>
        <v>12</v>
      </c>
      <c r="E419" s="357">
        <f t="shared" si="129"/>
        <v>61</v>
      </c>
      <c r="F419" s="356">
        <f t="shared" si="143"/>
        <v>640888.9462556087</v>
      </c>
      <c r="H419" s="356">
        <f t="shared" si="136"/>
        <v>5110.538456774381</v>
      </c>
      <c r="I419" s="356">
        <v>0</v>
      </c>
      <c r="J419" s="360">
        <f>-SUM(F419:H419)*$J$21*1.16</f>
        <v>-6744.23462039728</v>
      </c>
      <c r="K419" s="356">
        <f t="shared" si="144"/>
        <v>-741.5360901067035</v>
      </c>
      <c r="L419" s="356">
        <f t="shared" si="137"/>
        <v>638513.7140018791</v>
      </c>
      <c r="N419" s="356">
        <f t="shared" si="145"/>
        <v>396</v>
      </c>
      <c r="O419" s="357">
        <f t="shared" si="130"/>
        <v>32</v>
      </c>
      <c r="P419" s="357">
        <f t="shared" si="131"/>
        <v>12</v>
      </c>
      <c r="Q419" s="357">
        <f t="shared" si="132"/>
        <v>32</v>
      </c>
      <c r="R419" s="356">
        <f t="shared" si="146"/>
        <v>17350884.82479603</v>
      </c>
      <c r="S419" s="356">
        <f>IF($G$4="mensual",S418,0)</f>
        <v>10000</v>
      </c>
      <c r="U419" s="356">
        <f t="shared" si="133"/>
        <v>138438.13356294786</v>
      </c>
      <c r="V419" s="359">
        <f t="shared" si="135"/>
        <v>-310.08432875119297</v>
      </c>
      <c r="X419" s="359">
        <f t="shared" si="134"/>
        <v>-20298.85493387506</v>
      </c>
      <c r="Y419" s="356">
        <f t="shared" si="138"/>
        <v>17478714.01909635</v>
      </c>
      <c r="AA419" s="357">
        <f>+Bono!J419</f>
        <v>411672.3436720738</v>
      </c>
      <c r="AC419" s="378">
        <f t="shared" si="139"/>
        <v>33</v>
      </c>
      <c r="AD419" s="356">
        <f t="shared" si="140"/>
        <v>18528900.076770302</v>
      </c>
    </row>
    <row r="420" spans="1:30" x14ac:dyDescent="0.25">
      <c r="A420" s="356">
        <f t="shared" si="141"/>
        <v>33.083333333333336</v>
      </c>
      <c r="B420" s="356">
        <f t="shared" si="142"/>
        <v>397</v>
      </c>
      <c r="C420" s="357">
        <f t="shared" ref="C420:C483" si="147">C408+1</f>
        <v>33</v>
      </c>
      <c r="D420" s="357">
        <f t="shared" ref="D420:D483" si="148">D408</f>
        <v>1</v>
      </c>
      <c r="E420" s="357">
        <f t="shared" ref="E420:E483" si="149">E408+1</f>
        <v>62</v>
      </c>
      <c r="F420" s="356">
        <f t="shared" si="143"/>
        <v>638513.7140018791</v>
      </c>
      <c r="H420" s="356">
        <f t="shared" si="136"/>
        <v>5091.59802123188</v>
      </c>
      <c r="I420" s="356">
        <v>0</v>
      </c>
      <c r="J420" s="356">
        <v>0</v>
      </c>
      <c r="K420" s="356">
        <f t="shared" si="144"/>
        <v>-746.5821619468087</v>
      </c>
      <c r="L420" s="356">
        <f t="shared" si="137"/>
        <v>642858.7298611641</v>
      </c>
      <c r="N420" s="356">
        <f t="shared" si="145"/>
        <v>397</v>
      </c>
      <c r="O420" s="357">
        <f t="shared" ref="O420:O483" si="150">O408+1</f>
        <v>33</v>
      </c>
      <c r="P420" s="357">
        <f t="shared" ref="P420:P483" si="151">P408</f>
        <v>1</v>
      </c>
      <c r="Q420" s="357">
        <f t="shared" ref="Q420:Q483" si="152">Q408+1</f>
        <v>33</v>
      </c>
      <c r="R420" s="356">
        <f t="shared" si="146"/>
        <v>17478714.01909635</v>
      </c>
      <c r="S420" s="356">
        <f>IF($G$17="si",S408*(1+$G$20),S408)</f>
        <v>10000</v>
      </c>
      <c r="U420" s="356">
        <f t="shared" ref="U420:U483" si="153">SUM(R420:T420)*$G$8</f>
        <v>139457.46150921224</v>
      </c>
      <c r="V420" s="359">
        <f>V419*(1+$G$18)</f>
        <v>-322.4877019012407</v>
      </c>
      <c r="X420" s="359">
        <f t="shared" si="134"/>
        <v>-20448.304831768248</v>
      </c>
      <c r="Y420" s="356">
        <f t="shared" si="138"/>
        <v>17607400.68807189</v>
      </c>
      <c r="AA420" s="357">
        <f>+Bono!J420</f>
        <v>414224.75995387696</v>
      </c>
      <c r="AC420" s="378">
        <f t="shared" si="139"/>
        <v>33.083333333333336</v>
      </c>
      <c r="AD420" s="356">
        <f t="shared" si="140"/>
        <v>18664484.177886933</v>
      </c>
    </row>
    <row r="421" spans="1:30" x14ac:dyDescent="0.25">
      <c r="A421" s="356">
        <f t="shared" si="141"/>
        <v>33.166666666666664</v>
      </c>
      <c r="B421" s="356">
        <f t="shared" si="142"/>
        <v>398</v>
      </c>
      <c r="C421" s="357">
        <f t="shared" si="147"/>
        <v>33</v>
      </c>
      <c r="D421" s="357">
        <f t="shared" si="148"/>
        <v>2</v>
      </c>
      <c r="E421" s="357">
        <f t="shared" si="149"/>
        <v>62</v>
      </c>
      <c r="F421" s="356">
        <f t="shared" si="143"/>
        <v>642858.7298611641</v>
      </c>
      <c r="H421" s="356">
        <f t="shared" si="136"/>
        <v>5126.245787859632</v>
      </c>
      <c r="I421" s="356">
        <v>0</v>
      </c>
      <c r="J421" s="356">
        <v>0</v>
      </c>
      <c r="K421" s="356">
        <f t="shared" si="144"/>
        <v>-751.6625717528675</v>
      </c>
      <c r="L421" s="356">
        <f t="shared" si="137"/>
        <v>647233.3130772709</v>
      </c>
      <c r="N421" s="356">
        <f t="shared" si="145"/>
        <v>398</v>
      </c>
      <c r="O421" s="357">
        <f t="shared" si="150"/>
        <v>33</v>
      </c>
      <c r="P421" s="357">
        <f t="shared" si="151"/>
        <v>2</v>
      </c>
      <c r="Q421" s="357">
        <f t="shared" si="152"/>
        <v>33</v>
      </c>
      <c r="R421" s="356">
        <f t="shared" si="146"/>
        <v>17607400.68807189</v>
      </c>
      <c r="S421" s="356">
        <f>IF($G$4="mensual",S420,0)</f>
        <v>10000</v>
      </c>
      <c r="U421" s="356">
        <f t="shared" si="153"/>
        <v>140483.62707895107</v>
      </c>
      <c r="V421" s="359">
        <f t="shared" si="135"/>
        <v>-322.4877019012407</v>
      </c>
      <c r="X421" s="359">
        <f t="shared" si="134"/>
        <v>-20598.771719840774</v>
      </c>
      <c r="Y421" s="356">
        <f t="shared" si="138"/>
        <v>17736963.055729102</v>
      </c>
      <c r="AA421" s="357">
        <f>+Bono!J421</f>
        <v>416793.0015126893</v>
      </c>
      <c r="AC421" s="378">
        <f t="shared" si="139"/>
        <v>33.166666666666664</v>
      </c>
      <c r="AD421" s="356">
        <f t="shared" si="140"/>
        <v>18800989.37031906</v>
      </c>
    </row>
    <row r="422" spans="1:30" x14ac:dyDescent="0.25">
      <c r="A422" s="356">
        <f t="shared" si="141"/>
        <v>33.25</v>
      </c>
      <c r="B422" s="356">
        <f t="shared" si="142"/>
        <v>399</v>
      </c>
      <c r="C422" s="357">
        <f t="shared" si="147"/>
        <v>33</v>
      </c>
      <c r="D422" s="357">
        <f t="shared" si="148"/>
        <v>3</v>
      </c>
      <c r="E422" s="357">
        <f t="shared" si="149"/>
        <v>62</v>
      </c>
      <c r="F422" s="356">
        <f t="shared" si="143"/>
        <v>647233.3130772709</v>
      </c>
      <c r="H422" s="356">
        <f t="shared" si="136"/>
        <v>5161.129328742793</v>
      </c>
      <c r="I422" s="356">
        <v>0</v>
      </c>
      <c r="J422" s="360">
        <f>-SUM(F422:H422)*$J$21*1.16</f>
        <v>-6810.997978718782</v>
      </c>
      <c r="K422" s="356">
        <f t="shared" si="144"/>
        <v>-748.8767955356619</v>
      </c>
      <c r="L422" s="356">
        <f t="shared" si="137"/>
        <v>644834.5676317591</v>
      </c>
      <c r="N422" s="356">
        <f t="shared" si="145"/>
        <v>399</v>
      </c>
      <c r="O422" s="357">
        <f t="shared" si="150"/>
        <v>33</v>
      </c>
      <c r="P422" s="357">
        <f t="shared" si="151"/>
        <v>3</v>
      </c>
      <c r="Q422" s="357">
        <f t="shared" si="152"/>
        <v>33</v>
      </c>
      <c r="R422" s="356">
        <f t="shared" si="146"/>
        <v>17736963.055729102</v>
      </c>
      <c r="S422" s="356">
        <f>IF($G$4="mensual",S421,0)</f>
        <v>10000</v>
      </c>
      <c r="U422" s="356">
        <f t="shared" si="153"/>
        <v>141516.77559295093</v>
      </c>
      <c r="V422" s="359">
        <f t="shared" si="135"/>
        <v>-322.4877019012407</v>
      </c>
      <c r="X422" s="359">
        <f t="shared" si="134"/>
        <v>-20750.262518599375</v>
      </c>
      <c r="Y422" s="356">
        <f t="shared" si="138"/>
        <v>17867407.08110155</v>
      </c>
      <c r="AA422" s="357">
        <f>+Bono!J422</f>
        <v>415598.9937961894</v>
      </c>
      <c r="AC422" s="378">
        <f t="shared" si="139"/>
        <v>33.25</v>
      </c>
      <c r="AD422" s="356">
        <f t="shared" si="140"/>
        <v>18927840.6425295</v>
      </c>
    </row>
    <row r="423" spans="1:30" x14ac:dyDescent="0.25">
      <c r="A423" s="356">
        <f t="shared" si="141"/>
        <v>33.333333333333336</v>
      </c>
      <c r="B423" s="356">
        <f t="shared" si="142"/>
        <v>400</v>
      </c>
      <c r="C423" s="357">
        <f t="shared" si="147"/>
        <v>33</v>
      </c>
      <c r="D423" s="357">
        <f t="shared" si="148"/>
        <v>4</v>
      </c>
      <c r="E423" s="357">
        <f t="shared" si="149"/>
        <v>62</v>
      </c>
      <c r="F423" s="356">
        <f t="shared" si="143"/>
        <v>644834.5676317591</v>
      </c>
      <c r="H423" s="356">
        <f t="shared" si="136"/>
        <v>5142.001395707089</v>
      </c>
      <c r="I423" s="356">
        <v>0</v>
      </c>
      <c r="J423" s="356">
        <v>0</v>
      </c>
      <c r="K423" s="356">
        <f t="shared" si="144"/>
        <v>-753.9728200718607</v>
      </c>
      <c r="L423" s="356">
        <f t="shared" si="137"/>
        <v>649222.5962073944</v>
      </c>
      <c r="N423" s="356">
        <f t="shared" si="145"/>
        <v>400</v>
      </c>
      <c r="O423" s="357">
        <f t="shared" si="150"/>
        <v>33</v>
      </c>
      <c r="P423" s="357">
        <f t="shared" si="151"/>
        <v>4</v>
      </c>
      <c r="Q423" s="357">
        <f t="shared" si="152"/>
        <v>33</v>
      </c>
      <c r="R423" s="356">
        <f t="shared" si="146"/>
        <v>17867407.08110155</v>
      </c>
      <c r="S423" s="356">
        <f>IF($G$4="mensual",S420,IF($G$4="trimestral",S420,0))</f>
        <v>10000</v>
      </c>
      <c r="U423" s="356">
        <f t="shared" si="153"/>
        <v>142556.95456938233</v>
      </c>
      <c r="V423" s="359">
        <f t="shared" si="135"/>
        <v>-322.4877019012407</v>
      </c>
      <c r="X423" s="359">
        <f t="shared" si="134"/>
        <v>-20902.784195644075</v>
      </c>
      <c r="Y423" s="356">
        <f t="shared" si="138"/>
        <v>17998738.76377339</v>
      </c>
      <c r="AA423" s="357">
        <f>+Bono!J423</f>
        <v>418175.75576422527</v>
      </c>
      <c r="AC423" s="378">
        <f t="shared" si="139"/>
        <v>33.333333333333336</v>
      </c>
      <c r="AD423" s="356">
        <f t="shared" si="140"/>
        <v>19066137.115745008</v>
      </c>
    </row>
    <row r="424" spans="1:30" x14ac:dyDescent="0.25">
      <c r="A424" s="356">
        <f t="shared" si="141"/>
        <v>33.416666666666664</v>
      </c>
      <c r="B424" s="356">
        <f t="shared" si="142"/>
        <v>401</v>
      </c>
      <c r="C424" s="357">
        <f t="shared" si="147"/>
        <v>33</v>
      </c>
      <c r="D424" s="357">
        <f t="shared" si="148"/>
        <v>5</v>
      </c>
      <c r="E424" s="357">
        <f t="shared" si="149"/>
        <v>62</v>
      </c>
      <c r="F424" s="356">
        <f t="shared" si="143"/>
        <v>649222.5962073944</v>
      </c>
      <c r="H424" s="356">
        <f t="shared" si="136"/>
        <v>5176.992151775247</v>
      </c>
      <c r="I424" s="356">
        <v>0</v>
      </c>
      <c r="J424" s="356">
        <v>0</v>
      </c>
      <c r="K424" s="356">
        <f t="shared" si="144"/>
        <v>-759.1035224966367</v>
      </c>
      <c r="L424" s="356">
        <f t="shared" si="137"/>
        <v>653640.484836673</v>
      </c>
      <c r="N424" s="356">
        <f t="shared" si="145"/>
        <v>401</v>
      </c>
      <c r="O424" s="357">
        <f t="shared" si="150"/>
        <v>33</v>
      </c>
      <c r="P424" s="357">
        <f t="shared" si="151"/>
        <v>5</v>
      </c>
      <c r="Q424" s="357">
        <f t="shared" si="152"/>
        <v>33</v>
      </c>
      <c r="R424" s="356">
        <f t="shared" si="146"/>
        <v>17998738.76377339</v>
      </c>
      <c r="S424" s="356">
        <f>IF($G$4="mensual",S423,0)</f>
        <v>10000</v>
      </c>
      <c r="U424" s="356">
        <f t="shared" si="153"/>
        <v>143604.2118497718</v>
      </c>
      <c r="V424" s="359">
        <f t="shared" si="135"/>
        <v>-322.4877019012407</v>
      </c>
      <c r="X424" s="359">
        <f t="shared" si="134"/>
        <v>-21056.343765988662</v>
      </c>
      <c r="Y424" s="356">
        <f t="shared" si="138"/>
        <v>18130964.14415527</v>
      </c>
      <c r="AA424" s="357">
        <f>+Bono!J424</f>
        <v>420768.49395534885</v>
      </c>
      <c r="AC424" s="378">
        <f t="shared" si="139"/>
        <v>33.416666666666664</v>
      </c>
      <c r="AD424" s="356">
        <f t="shared" si="140"/>
        <v>19205373.12294729</v>
      </c>
    </row>
    <row r="425" spans="1:30" x14ac:dyDescent="0.25">
      <c r="A425" s="356">
        <f t="shared" si="141"/>
        <v>33.5</v>
      </c>
      <c r="B425" s="356">
        <f t="shared" si="142"/>
        <v>402</v>
      </c>
      <c r="C425" s="357">
        <f t="shared" si="147"/>
        <v>33</v>
      </c>
      <c r="D425" s="357">
        <f t="shared" si="148"/>
        <v>6</v>
      </c>
      <c r="E425" s="357">
        <f t="shared" si="149"/>
        <v>62</v>
      </c>
      <c r="F425" s="356">
        <f t="shared" si="143"/>
        <v>653640.484836673</v>
      </c>
      <c r="H425" s="356">
        <f t="shared" si="136"/>
        <v>5212.221016104372</v>
      </c>
      <c r="I425" s="356">
        <v>0</v>
      </c>
      <c r="J425" s="360">
        <f>-SUM(F425:H425)*$J$21*1.16</f>
        <v>-6878.422249102996</v>
      </c>
      <c r="K425" s="356">
        <f t="shared" si="144"/>
        <v>-756.2901689802623</v>
      </c>
      <c r="L425" s="356">
        <f t="shared" si="137"/>
        <v>651217.9934346941</v>
      </c>
      <c r="N425" s="356">
        <f t="shared" si="145"/>
        <v>402</v>
      </c>
      <c r="O425" s="357">
        <f t="shared" si="150"/>
        <v>33</v>
      </c>
      <c r="P425" s="357">
        <f t="shared" si="151"/>
        <v>6</v>
      </c>
      <c r="Q425" s="357">
        <f t="shared" si="152"/>
        <v>33</v>
      </c>
      <c r="R425" s="356">
        <f t="shared" si="146"/>
        <v>18130964.14415527</v>
      </c>
      <c r="S425" s="356">
        <f>IF($G$4="mensual",S424,0)</f>
        <v>10000</v>
      </c>
      <c r="U425" s="356">
        <f t="shared" si="153"/>
        <v>144658.59560120213</v>
      </c>
      <c r="V425" s="359">
        <f t="shared" si="135"/>
        <v>-322.4877019012407</v>
      </c>
      <c r="X425" s="359">
        <f t="shared" si="134"/>
        <v>-21210.948292383306</v>
      </c>
      <c r="Y425" s="356">
        <f t="shared" si="138"/>
        <v>18264089.30376219</v>
      </c>
      <c r="AA425" s="357">
        <f>+Bono!J425</f>
        <v>419563.0974472037</v>
      </c>
      <c r="AC425" s="378">
        <f t="shared" si="139"/>
        <v>33.5</v>
      </c>
      <c r="AD425" s="356">
        <f t="shared" si="140"/>
        <v>19334870.39464409</v>
      </c>
    </row>
    <row r="426" spans="1:30" x14ac:dyDescent="0.25">
      <c r="A426" s="356">
        <f t="shared" si="141"/>
        <v>33.583333333333336</v>
      </c>
      <c r="B426" s="356">
        <f t="shared" si="142"/>
        <v>403</v>
      </c>
      <c r="C426" s="357">
        <f t="shared" si="147"/>
        <v>33</v>
      </c>
      <c r="D426" s="357">
        <f t="shared" si="148"/>
        <v>7</v>
      </c>
      <c r="E426" s="357">
        <f t="shared" si="149"/>
        <v>62</v>
      </c>
      <c r="F426" s="356">
        <f t="shared" si="143"/>
        <v>651217.9934346941</v>
      </c>
      <c r="H426" s="356">
        <f t="shared" si="136"/>
        <v>5192.903729477181</v>
      </c>
      <c r="I426" s="356">
        <v>0</v>
      </c>
      <c r="J426" s="356">
        <v>0</v>
      </c>
      <c r="K426" s="356">
        <f t="shared" si="144"/>
        <v>-761.4366407104387</v>
      </c>
      <c r="L426" s="356">
        <f t="shared" si="137"/>
        <v>655649.4605234609</v>
      </c>
      <c r="N426" s="356">
        <f t="shared" si="145"/>
        <v>403</v>
      </c>
      <c r="O426" s="357">
        <f t="shared" si="150"/>
        <v>33</v>
      </c>
      <c r="P426" s="357">
        <f t="shared" si="151"/>
        <v>7</v>
      </c>
      <c r="Q426" s="357">
        <f t="shared" si="152"/>
        <v>33</v>
      </c>
      <c r="R426" s="356">
        <f t="shared" si="146"/>
        <v>18264089.30376219</v>
      </c>
      <c r="S426" s="356">
        <f>+IF($G$4="mensual",S420,IF($G$4="trimestral",S420,IF($G$4="semestral",S420,0)))</f>
        <v>10000</v>
      </c>
      <c r="U426" s="356">
        <f t="shared" si="153"/>
        <v>145720.15431852793</v>
      </c>
      <c r="V426" s="359">
        <f t="shared" si="135"/>
        <v>-322.4877019012407</v>
      </c>
      <c r="X426" s="359">
        <f t="shared" si="134"/>
        <v>-21366.604885639426</v>
      </c>
      <c r="Y426" s="356">
        <f t="shared" si="138"/>
        <v>18398120.36549318</v>
      </c>
      <c r="AA426" s="357">
        <f>+Bono!J426</f>
        <v>422164.4373176834</v>
      </c>
      <c r="AC426" s="378">
        <f t="shared" si="139"/>
        <v>33.583333333333336</v>
      </c>
      <c r="AD426" s="356">
        <f t="shared" si="140"/>
        <v>19475934.263334323</v>
      </c>
    </row>
    <row r="427" spans="1:30" x14ac:dyDescent="0.25">
      <c r="A427" s="356">
        <f t="shared" si="141"/>
        <v>33.666666666666664</v>
      </c>
      <c r="B427" s="356">
        <f t="shared" si="142"/>
        <v>404</v>
      </c>
      <c r="C427" s="357">
        <f t="shared" si="147"/>
        <v>33</v>
      </c>
      <c r="D427" s="357">
        <f t="shared" si="148"/>
        <v>8</v>
      </c>
      <c r="E427" s="357">
        <f t="shared" si="149"/>
        <v>62</v>
      </c>
      <c r="F427" s="356">
        <f t="shared" si="143"/>
        <v>655649.4605234609</v>
      </c>
      <c r="H427" s="356">
        <f t="shared" si="136"/>
        <v>5228.240870349072</v>
      </c>
      <c r="I427" s="356">
        <v>0</v>
      </c>
      <c r="J427" s="356">
        <v>0</v>
      </c>
      <c r="K427" s="356">
        <f t="shared" si="144"/>
        <v>-766.6181336168195</v>
      </c>
      <c r="L427" s="356">
        <f t="shared" si="137"/>
        <v>660111.0832601931</v>
      </c>
      <c r="N427" s="356">
        <f t="shared" si="145"/>
        <v>404</v>
      </c>
      <c r="O427" s="357">
        <f t="shared" si="150"/>
        <v>33</v>
      </c>
      <c r="P427" s="357">
        <f t="shared" si="151"/>
        <v>8</v>
      </c>
      <c r="Q427" s="357">
        <f t="shared" si="152"/>
        <v>33</v>
      </c>
      <c r="R427" s="356">
        <f t="shared" si="146"/>
        <v>18398120.36549318</v>
      </c>
      <c r="S427" s="356">
        <f>IF($G$4="mensual",S426,0)</f>
        <v>10000</v>
      </c>
      <c r="U427" s="356">
        <f t="shared" si="153"/>
        <v>146788.9368266059</v>
      </c>
      <c r="V427" s="359">
        <f t="shared" si="135"/>
        <v>-322.4877019012407</v>
      </c>
      <c r="X427" s="359">
        <f t="shared" ref="X427:X490" si="154">-SUM(R427:V427)*0.1%*1.16</f>
        <v>-21523.320704956743</v>
      </c>
      <c r="Y427" s="356">
        <f t="shared" si="138"/>
        <v>18533063.493912928</v>
      </c>
      <c r="AA427" s="357">
        <f>+Bono!J427</f>
        <v>424781.9057970969</v>
      </c>
      <c r="AC427" s="378">
        <f t="shared" si="139"/>
        <v>33.666666666666664</v>
      </c>
      <c r="AD427" s="356">
        <f t="shared" si="140"/>
        <v>19617956.48297022</v>
      </c>
    </row>
    <row r="428" spans="1:30" x14ac:dyDescent="0.25">
      <c r="A428" s="356">
        <f t="shared" si="141"/>
        <v>33.75</v>
      </c>
      <c r="B428" s="356">
        <f t="shared" si="142"/>
        <v>405</v>
      </c>
      <c r="C428" s="357">
        <f t="shared" si="147"/>
        <v>33</v>
      </c>
      <c r="D428" s="357">
        <f t="shared" si="148"/>
        <v>9</v>
      </c>
      <c r="E428" s="357">
        <f t="shared" si="149"/>
        <v>62</v>
      </c>
      <c r="F428" s="356">
        <f t="shared" si="143"/>
        <v>660111.0832601931</v>
      </c>
      <c r="H428" s="356">
        <f t="shared" si="136"/>
        <v>5263.818476592564</v>
      </c>
      <c r="I428" s="356">
        <v>0</v>
      </c>
      <c r="J428" s="360">
        <f>-SUM(F428:H428)*$J$21*1.16</f>
        <v>-6946.513974132043</v>
      </c>
      <c r="K428" s="356">
        <f t="shared" si="144"/>
        <v>-763.7769298046782</v>
      </c>
      <c r="L428" s="356">
        <f t="shared" si="137"/>
        <v>657664.6108328489</v>
      </c>
      <c r="N428" s="356">
        <f t="shared" si="145"/>
        <v>405</v>
      </c>
      <c r="O428" s="357">
        <f t="shared" si="150"/>
        <v>33</v>
      </c>
      <c r="P428" s="357">
        <f t="shared" si="151"/>
        <v>9</v>
      </c>
      <c r="Q428" s="357">
        <f t="shared" si="152"/>
        <v>33</v>
      </c>
      <c r="R428" s="356">
        <f t="shared" si="146"/>
        <v>18533063.493912928</v>
      </c>
      <c r="S428" s="356">
        <f>IF($G$4="mensual",S427,0)</f>
        <v>10000</v>
      </c>
      <c r="U428" s="356">
        <f t="shared" si="153"/>
        <v>147864.99228254057</v>
      </c>
      <c r="V428" s="359">
        <f t="shared" si="135"/>
        <v>-322.4877019012407</v>
      </c>
      <c r="X428" s="359">
        <f t="shared" si="154"/>
        <v>-21681.102958252537</v>
      </c>
      <c r="Y428" s="356">
        <f t="shared" si="138"/>
        <v>18668924.895535316</v>
      </c>
      <c r="AA428" s="357">
        <f>+Bono!J428</f>
        <v>423565.0118677111</v>
      </c>
      <c r="AC428" s="378">
        <f t="shared" si="139"/>
        <v>33.75</v>
      </c>
      <c r="AD428" s="356">
        <f t="shared" si="140"/>
        <v>19750154.518235873</v>
      </c>
    </row>
    <row r="429" spans="1:30" x14ac:dyDescent="0.25">
      <c r="A429" s="356">
        <f t="shared" si="141"/>
        <v>33.833333333333336</v>
      </c>
      <c r="B429" s="356">
        <f t="shared" si="142"/>
        <v>406</v>
      </c>
      <c r="C429" s="357">
        <f t="shared" si="147"/>
        <v>33</v>
      </c>
      <c r="D429" s="357">
        <f t="shared" si="148"/>
        <v>10</v>
      </c>
      <c r="E429" s="357">
        <f t="shared" si="149"/>
        <v>62</v>
      </c>
      <c r="F429" s="356">
        <f t="shared" si="143"/>
        <v>657664.6108328489</v>
      </c>
      <c r="H429" s="356">
        <f t="shared" si="136"/>
        <v>5244.309961901481</v>
      </c>
      <c r="I429" s="356">
        <v>0</v>
      </c>
      <c r="J429" s="356">
        <v>0</v>
      </c>
      <c r="K429" s="356">
        <f t="shared" si="144"/>
        <v>-768.9743481219105</v>
      </c>
      <c r="L429" s="356">
        <f t="shared" si="137"/>
        <v>662139.9464466285</v>
      </c>
      <c r="N429" s="356">
        <f t="shared" si="145"/>
        <v>406</v>
      </c>
      <c r="O429" s="357">
        <f t="shared" si="150"/>
        <v>33</v>
      </c>
      <c r="P429" s="357">
        <f t="shared" si="151"/>
        <v>10</v>
      </c>
      <c r="Q429" s="357">
        <f t="shared" si="152"/>
        <v>33</v>
      </c>
      <c r="R429" s="356">
        <f t="shared" si="146"/>
        <v>18668924.895535316</v>
      </c>
      <c r="S429" s="356">
        <f>IF($G$4="mensual",S420,IF($G$4="trimestral",S420,0))</f>
        <v>10000</v>
      </c>
      <c r="U429" s="356">
        <f t="shared" si="153"/>
        <v>148948.37017794518</v>
      </c>
      <c r="V429" s="359">
        <f t="shared" si="135"/>
        <v>-322.4877019012407</v>
      </c>
      <c r="X429" s="359">
        <f t="shared" si="154"/>
        <v>-21839.958902493177</v>
      </c>
      <c r="Y429" s="356">
        <f t="shared" si="138"/>
        <v>18805710.81910887</v>
      </c>
      <c r="AA429" s="357">
        <f>+Bono!J429</f>
        <v>426191.16407179134</v>
      </c>
      <c r="AC429" s="378">
        <f t="shared" si="139"/>
        <v>33.833333333333336</v>
      </c>
      <c r="AD429" s="356">
        <f t="shared" si="140"/>
        <v>19894041.929627288</v>
      </c>
    </row>
    <row r="430" spans="1:30" x14ac:dyDescent="0.25">
      <c r="A430" s="356">
        <f t="shared" si="141"/>
        <v>33.916666666666664</v>
      </c>
      <c r="B430" s="356">
        <f t="shared" si="142"/>
        <v>407</v>
      </c>
      <c r="C430" s="357">
        <f t="shared" si="147"/>
        <v>33</v>
      </c>
      <c r="D430" s="357">
        <f t="shared" si="148"/>
        <v>11</v>
      </c>
      <c r="E430" s="357">
        <f t="shared" si="149"/>
        <v>62</v>
      </c>
      <c r="F430" s="356">
        <f t="shared" si="143"/>
        <v>662139.9464466285</v>
      </c>
      <c r="H430" s="356">
        <f t="shared" si="136"/>
        <v>5279.996916552234</v>
      </c>
      <c r="I430" s="356">
        <v>0</v>
      </c>
      <c r="J430" s="356">
        <v>0</v>
      </c>
      <c r="K430" s="356">
        <f t="shared" si="144"/>
        <v>-774.2071343012897</v>
      </c>
      <c r="L430" s="356">
        <f t="shared" si="137"/>
        <v>666645.7362288794</v>
      </c>
      <c r="N430" s="356">
        <f t="shared" si="145"/>
        <v>407</v>
      </c>
      <c r="O430" s="357">
        <f t="shared" si="150"/>
        <v>33</v>
      </c>
      <c r="P430" s="357">
        <f t="shared" si="151"/>
        <v>11</v>
      </c>
      <c r="Q430" s="357">
        <f t="shared" si="152"/>
        <v>33</v>
      </c>
      <c r="R430" s="356">
        <f t="shared" si="146"/>
        <v>18805710.81910887</v>
      </c>
      <c r="S430" s="356">
        <f>IF($G$17="si",S418*(1+$G$20),S418)</f>
        <v>10000</v>
      </c>
      <c r="U430" s="356">
        <f t="shared" si="153"/>
        <v>150039.120341218</v>
      </c>
      <c r="V430" s="359">
        <f t="shared" si="135"/>
        <v>-322.4877019012407</v>
      </c>
      <c r="X430" s="359">
        <f t="shared" si="154"/>
        <v>-21999.8958440279</v>
      </c>
      <c r="Y430" s="356">
        <f t="shared" si="138"/>
        <v>18943427.55590416</v>
      </c>
      <c r="AA430" s="357">
        <f>+Bono!J430</f>
        <v>428833.5987241517</v>
      </c>
      <c r="AC430" s="378">
        <f t="shared" si="139"/>
        <v>33.916666666666664</v>
      </c>
      <c r="AD430" s="356">
        <f t="shared" si="140"/>
        <v>20038906.890857194</v>
      </c>
    </row>
    <row r="431" spans="1:30" x14ac:dyDescent="0.25">
      <c r="A431" s="356">
        <f t="shared" si="141"/>
        <v>34</v>
      </c>
      <c r="B431" s="356">
        <f t="shared" si="142"/>
        <v>408</v>
      </c>
      <c r="C431" s="357">
        <f t="shared" si="147"/>
        <v>33</v>
      </c>
      <c r="D431" s="357">
        <f t="shared" si="148"/>
        <v>12</v>
      </c>
      <c r="E431" s="357">
        <f t="shared" si="149"/>
        <v>62</v>
      </c>
      <c r="F431" s="356">
        <f t="shared" si="143"/>
        <v>666645.7362288794</v>
      </c>
      <c r="H431" s="356">
        <f t="shared" si="136"/>
        <v>5315.926717019022</v>
      </c>
      <c r="I431" s="356">
        <v>0</v>
      </c>
      <c r="J431" s="360">
        <f>-SUM(F431:H431)*$J$21*1.16</f>
        <v>-7015.2797611551805</v>
      </c>
      <c r="K431" s="356">
        <f t="shared" si="144"/>
        <v>-771.3378044943022</v>
      </c>
      <c r="L431" s="356">
        <f t="shared" si="137"/>
        <v>664175.045380249</v>
      </c>
      <c r="N431" s="356">
        <f t="shared" si="145"/>
        <v>408</v>
      </c>
      <c r="O431" s="357">
        <f t="shared" si="150"/>
        <v>33</v>
      </c>
      <c r="P431" s="357">
        <f t="shared" si="151"/>
        <v>12</v>
      </c>
      <c r="Q431" s="357">
        <f t="shared" si="152"/>
        <v>33</v>
      </c>
      <c r="R431" s="356">
        <f t="shared" si="146"/>
        <v>18943427.55590416</v>
      </c>
      <c r="S431" s="356">
        <f>IF($G$4="mensual",S430,0)</f>
        <v>10000</v>
      </c>
      <c r="U431" s="356">
        <f t="shared" si="153"/>
        <v>151137.29293983403</v>
      </c>
      <c r="V431" s="359">
        <f t="shared" si="135"/>
        <v>-322.4877019012407</v>
      </c>
      <c r="X431" s="359">
        <f t="shared" si="154"/>
        <v>-22160.92113892483</v>
      </c>
      <c r="Y431" s="356">
        <f t="shared" si="138"/>
        <v>19082081.44000317</v>
      </c>
      <c r="AA431" s="357">
        <f>+Bono!J431</f>
        <v>427605.0977077894</v>
      </c>
      <c r="AC431" s="378">
        <f t="shared" si="139"/>
        <v>34</v>
      </c>
      <c r="AD431" s="356">
        <f t="shared" si="140"/>
        <v>20173861.58309121</v>
      </c>
    </row>
    <row r="432" spans="1:30" x14ac:dyDescent="0.25">
      <c r="A432" s="356">
        <f t="shared" si="141"/>
        <v>34.083333333333336</v>
      </c>
      <c r="B432" s="356">
        <f t="shared" si="142"/>
        <v>409</v>
      </c>
      <c r="C432" s="357">
        <f t="shared" si="147"/>
        <v>34</v>
      </c>
      <c r="D432" s="357">
        <f t="shared" si="148"/>
        <v>1</v>
      </c>
      <c r="E432" s="357">
        <f t="shared" si="149"/>
        <v>63</v>
      </c>
      <c r="F432" s="356">
        <f t="shared" si="143"/>
        <v>664175.045380249</v>
      </c>
      <c r="H432" s="356">
        <f t="shared" si="136"/>
        <v>5296.225081235636</v>
      </c>
      <c r="I432" s="356">
        <v>0</v>
      </c>
      <c r="J432" s="356">
        <v>0</v>
      </c>
      <c r="K432" s="356">
        <f t="shared" si="144"/>
        <v>-776.5866737353222</v>
      </c>
      <c r="L432" s="356">
        <f t="shared" si="137"/>
        <v>668694.6837877494</v>
      </c>
      <c r="N432" s="356">
        <f t="shared" si="145"/>
        <v>409</v>
      </c>
      <c r="O432" s="357">
        <f t="shared" si="150"/>
        <v>34</v>
      </c>
      <c r="P432" s="357">
        <f t="shared" si="151"/>
        <v>1</v>
      </c>
      <c r="Q432" s="357">
        <f t="shared" si="152"/>
        <v>34</v>
      </c>
      <c r="R432" s="356">
        <f t="shared" si="146"/>
        <v>19082081.44000317</v>
      </c>
      <c r="S432" s="356">
        <f>IF($G$17="si",S420*(1+$G$20),S420)</f>
        <v>10000</v>
      </c>
      <c r="U432" s="356">
        <f t="shared" si="153"/>
        <v>152242.93848265248</v>
      </c>
      <c r="V432" s="359">
        <f>V431*(1+$G$18)</f>
        <v>-335.38720997729035</v>
      </c>
      <c r="X432" s="359">
        <f t="shared" si="154"/>
        <v>-22323.027229879983</v>
      </c>
      <c r="Y432" s="356">
        <f t="shared" si="138"/>
        <v>19221665.964045968</v>
      </c>
      <c r="AA432" s="357">
        <f>+Bono!J432</f>
        <v>430256.29891269904</v>
      </c>
      <c r="AC432" s="378">
        <f t="shared" si="139"/>
        <v>34.083333333333336</v>
      </c>
      <c r="AD432" s="356">
        <f t="shared" si="140"/>
        <v>20320616.946746416</v>
      </c>
    </row>
    <row r="433" spans="1:30" x14ac:dyDescent="0.25">
      <c r="A433" s="356">
        <f t="shared" si="141"/>
        <v>34.166666666666664</v>
      </c>
      <c r="B433" s="356">
        <f t="shared" si="142"/>
        <v>410</v>
      </c>
      <c r="C433" s="357">
        <f t="shared" si="147"/>
        <v>34</v>
      </c>
      <c r="D433" s="357">
        <f t="shared" si="148"/>
        <v>2</v>
      </c>
      <c r="E433" s="357">
        <f t="shared" si="149"/>
        <v>63</v>
      </c>
      <c r="F433" s="356">
        <f t="shared" si="143"/>
        <v>668694.6837877494</v>
      </c>
      <c r="H433" s="356">
        <f t="shared" si="136"/>
        <v>5332.265312584911</v>
      </c>
      <c r="I433" s="356">
        <v>0</v>
      </c>
      <c r="J433" s="356">
        <v>0</v>
      </c>
      <c r="K433" s="356">
        <f t="shared" si="144"/>
        <v>-781.8712609563878</v>
      </c>
      <c r="L433" s="356">
        <f t="shared" si="137"/>
        <v>673245.0778393779</v>
      </c>
      <c r="N433" s="356">
        <f t="shared" si="145"/>
        <v>410</v>
      </c>
      <c r="O433" s="357">
        <f t="shared" si="150"/>
        <v>34</v>
      </c>
      <c r="P433" s="357">
        <f t="shared" si="151"/>
        <v>2</v>
      </c>
      <c r="Q433" s="357">
        <f t="shared" si="152"/>
        <v>34</v>
      </c>
      <c r="R433" s="356">
        <f t="shared" si="146"/>
        <v>19221665.964045968</v>
      </c>
      <c r="S433" s="356">
        <f>IF($G$4="mensual",S432,0)</f>
        <v>10000</v>
      </c>
      <c r="U433" s="356">
        <f t="shared" si="153"/>
        <v>153356.00507907144</v>
      </c>
      <c r="V433" s="359">
        <f t="shared" si="135"/>
        <v>-335.38720997729035</v>
      </c>
      <c r="X433" s="359">
        <f t="shared" si="154"/>
        <v>-22486.23643502147</v>
      </c>
      <c r="Y433" s="356">
        <f t="shared" si="138"/>
        <v>19362200.34548004</v>
      </c>
      <c r="AA433" s="357">
        <f>+Bono!J433</f>
        <v>432923.93787259946</v>
      </c>
      <c r="AC433" s="378">
        <f t="shared" si="139"/>
        <v>34.166666666666664</v>
      </c>
      <c r="AD433" s="356">
        <f t="shared" si="140"/>
        <v>20468369.361192018</v>
      </c>
    </row>
    <row r="434" spans="1:30" x14ac:dyDescent="0.25">
      <c r="A434" s="356">
        <f t="shared" si="141"/>
        <v>34.25</v>
      </c>
      <c r="B434" s="356">
        <f t="shared" si="142"/>
        <v>411</v>
      </c>
      <c r="C434" s="357">
        <f t="shared" si="147"/>
        <v>34</v>
      </c>
      <c r="D434" s="357">
        <f t="shared" si="148"/>
        <v>3</v>
      </c>
      <c r="E434" s="357">
        <f t="shared" si="149"/>
        <v>63</v>
      </c>
      <c r="F434" s="356">
        <f t="shared" si="143"/>
        <v>673245.0778393779</v>
      </c>
      <c r="H434" s="356">
        <f t="shared" si="136"/>
        <v>5368.550793759445</v>
      </c>
      <c r="I434" s="356">
        <v>0</v>
      </c>
      <c r="J434" s="360">
        <f>-SUM(F434:H434)*$J$21*1.16</f>
        <v>-7084.726282929954</v>
      </c>
      <c r="K434" s="356">
        <f t="shared" si="144"/>
        <v>-778.9735267262404</v>
      </c>
      <c r="L434" s="356">
        <f t="shared" si="137"/>
        <v>670749.9288234811</v>
      </c>
      <c r="N434" s="356">
        <f t="shared" si="145"/>
        <v>411</v>
      </c>
      <c r="O434" s="357">
        <f t="shared" si="150"/>
        <v>34</v>
      </c>
      <c r="P434" s="357">
        <f t="shared" si="151"/>
        <v>3</v>
      </c>
      <c r="Q434" s="357">
        <f t="shared" si="152"/>
        <v>34</v>
      </c>
      <c r="R434" s="356">
        <f t="shared" si="146"/>
        <v>19362200.34548004</v>
      </c>
      <c r="S434" s="356">
        <f>IF($G$4="mensual",S433,0)</f>
        <v>10000</v>
      </c>
      <c r="U434" s="356">
        <f t="shared" si="153"/>
        <v>154476.64597171586</v>
      </c>
      <c r="V434" s="359">
        <f t="shared" si="135"/>
        <v>-335.38720997729035</v>
      </c>
      <c r="X434" s="359">
        <f t="shared" si="154"/>
        <v>-22650.55626092046</v>
      </c>
      <c r="Y434" s="356">
        <f t="shared" si="138"/>
        <v>19503691.047980856</v>
      </c>
      <c r="AA434" s="357">
        <f>+Bono!J434</f>
        <v>431683.71905750094</v>
      </c>
      <c r="AC434" s="378">
        <f t="shared" si="139"/>
        <v>34.25</v>
      </c>
      <c r="AD434" s="356">
        <f t="shared" si="140"/>
        <v>20606124.69586184</v>
      </c>
    </row>
    <row r="435" spans="1:30" x14ac:dyDescent="0.25">
      <c r="A435" s="356">
        <f t="shared" si="141"/>
        <v>34.333333333333336</v>
      </c>
      <c r="B435" s="356">
        <f t="shared" si="142"/>
        <v>412</v>
      </c>
      <c r="C435" s="357">
        <f t="shared" si="147"/>
        <v>34</v>
      </c>
      <c r="D435" s="357">
        <f t="shared" si="148"/>
        <v>4</v>
      </c>
      <c r="E435" s="357">
        <f t="shared" si="149"/>
        <v>63</v>
      </c>
      <c r="F435" s="356">
        <f t="shared" si="143"/>
        <v>670749.9288234811</v>
      </c>
      <c r="H435" s="356">
        <f t="shared" si="136"/>
        <v>5348.654125115643</v>
      </c>
      <c r="I435" s="356">
        <v>0</v>
      </c>
      <c r="J435" s="356">
        <v>0</v>
      </c>
      <c r="K435" s="356">
        <f t="shared" si="144"/>
        <v>-784.274356220372</v>
      </c>
      <c r="L435" s="356">
        <f t="shared" si="137"/>
        <v>675314.3085923763</v>
      </c>
      <c r="N435" s="356">
        <f t="shared" si="145"/>
        <v>412</v>
      </c>
      <c r="O435" s="357">
        <f t="shared" si="150"/>
        <v>34</v>
      </c>
      <c r="P435" s="357">
        <f t="shared" si="151"/>
        <v>4</v>
      </c>
      <c r="Q435" s="357">
        <f t="shared" si="152"/>
        <v>34</v>
      </c>
      <c r="R435" s="356">
        <f t="shared" si="146"/>
        <v>19503691.047980856</v>
      </c>
      <c r="S435" s="356">
        <f>IF($G$4="mensual",S432,IF($G$4="trimestral",S432,0))</f>
        <v>10000</v>
      </c>
      <c r="U435" s="356">
        <f t="shared" si="153"/>
        <v>155604.9127028416</v>
      </c>
      <c r="V435" s="359">
        <f t="shared" si="135"/>
        <v>-335.38720997729035</v>
      </c>
      <c r="X435" s="359">
        <f t="shared" si="154"/>
        <v>-22815.994265229514</v>
      </c>
      <c r="Y435" s="356">
        <f t="shared" si="138"/>
        <v>19646144.57920849</v>
      </c>
      <c r="AA435" s="357">
        <f>+Bono!J435</f>
        <v>434360.20818786963</v>
      </c>
      <c r="AC435" s="378">
        <f t="shared" si="139"/>
        <v>34.333333333333336</v>
      </c>
      <c r="AD435" s="356">
        <f t="shared" si="140"/>
        <v>20755819.095988736</v>
      </c>
    </row>
    <row r="436" spans="1:30" x14ac:dyDescent="0.25">
      <c r="A436" s="356">
        <f t="shared" si="141"/>
        <v>34.416666666666664</v>
      </c>
      <c r="B436" s="356">
        <f t="shared" si="142"/>
        <v>413</v>
      </c>
      <c r="C436" s="357">
        <f t="shared" si="147"/>
        <v>34</v>
      </c>
      <c r="D436" s="357">
        <f t="shared" si="148"/>
        <v>5</v>
      </c>
      <c r="E436" s="357">
        <f t="shared" si="149"/>
        <v>63</v>
      </c>
      <c r="F436" s="356">
        <f t="shared" si="143"/>
        <v>675314.3085923763</v>
      </c>
      <c r="H436" s="356">
        <f t="shared" si="136"/>
        <v>5385.05113036366</v>
      </c>
      <c r="I436" s="356">
        <v>0</v>
      </c>
      <c r="J436" s="356">
        <v>0</v>
      </c>
      <c r="K436" s="356">
        <f t="shared" si="144"/>
        <v>-789.6112572783784</v>
      </c>
      <c r="L436" s="356">
        <f t="shared" si="137"/>
        <v>679909.7484654617</v>
      </c>
      <c r="N436" s="356">
        <f t="shared" si="145"/>
        <v>413</v>
      </c>
      <c r="O436" s="357">
        <f t="shared" si="150"/>
        <v>34</v>
      </c>
      <c r="P436" s="357">
        <f t="shared" si="151"/>
        <v>5</v>
      </c>
      <c r="Q436" s="357">
        <f t="shared" si="152"/>
        <v>34</v>
      </c>
      <c r="R436" s="356">
        <f t="shared" si="146"/>
        <v>19646144.57920849</v>
      </c>
      <c r="S436" s="356">
        <f>IF($G$4="mensual",S435,0)</f>
        <v>10000</v>
      </c>
      <c r="U436" s="356">
        <f t="shared" si="153"/>
        <v>156740.85716544397</v>
      </c>
      <c r="V436" s="359">
        <f t="shared" si="135"/>
        <v>-335.38720997729035</v>
      </c>
      <c r="X436" s="359">
        <f t="shared" si="154"/>
        <v>-22982.55805703019</v>
      </c>
      <c r="Y436" s="356">
        <f t="shared" si="138"/>
        <v>19789567.491106927</v>
      </c>
      <c r="AA436" s="357">
        <f>+Bono!J436</f>
        <v>437053.2918613001</v>
      </c>
      <c r="AC436" s="378">
        <f t="shared" si="139"/>
        <v>34.416666666666664</v>
      </c>
      <c r="AD436" s="356">
        <f t="shared" si="140"/>
        <v>20906530.531433687</v>
      </c>
    </row>
    <row r="437" spans="1:30" x14ac:dyDescent="0.25">
      <c r="A437" s="356">
        <f t="shared" si="141"/>
        <v>34.5</v>
      </c>
      <c r="B437" s="356">
        <f t="shared" si="142"/>
        <v>414</v>
      </c>
      <c r="C437" s="357">
        <f t="shared" si="147"/>
        <v>34</v>
      </c>
      <c r="D437" s="357">
        <f t="shared" si="148"/>
        <v>6</v>
      </c>
      <c r="E437" s="357">
        <f t="shared" si="149"/>
        <v>63</v>
      </c>
      <c r="F437" s="356">
        <f t="shared" si="143"/>
        <v>679909.7484654617</v>
      </c>
      <c r="H437" s="356">
        <f t="shared" si="136"/>
        <v>5421.695813244227</v>
      </c>
      <c r="I437" s="356">
        <v>0</v>
      </c>
      <c r="J437" s="360">
        <f>-SUM(F437:H437)*$J$21*1.16</f>
        <v>-7154.86027826969</v>
      </c>
      <c r="K437" s="356">
        <f t="shared" si="144"/>
        <v>-786.6848374405059</v>
      </c>
      <c r="L437" s="356">
        <f t="shared" si="137"/>
        <v>677389.8991629956</v>
      </c>
      <c r="N437" s="356">
        <f t="shared" si="145"/>
        <v>414</v>
      </c>
      <c r="O437" s="357">
        <f t="shared" si="150"/>
        <v>34</v>
      </c>
      <c r="P437" s="357">
        <f t="shared" si="151"/>
        <v>6</v>
      </c>
      <c r="Q437" s="357">
        <f t="shared" si="152"/>
        <v>34</v>
      </c>
      <c r="R437" s="356">
        <f t="shared" si="146"/>
        <v>19789567.491106927</v>
      </c>
      <c r="S437" s="356">
        <f>IF($G$4="mensual",S436,0)</f>
        <v>10000</v>
      </c>
      <c r="U437" s="356">
        <f t="shared" si="153"/>
        <v>157884.5316056444</v>
      </c>
      <c r="V437" s="359">
        <f t="shared" si="135"/>
        <v>-335.38720997729035</v>
      </c>
      <c r="X437" s="359">
        <f t="shared" si="154"/>
        <v>-23150.25529718301</v>
      </c>
      <c r="Y437" s="356">
        <f t="shared" si="138"/>
        <v>19933966.38020541</v>
      </c>
      <c r="AA437" s="357">
        <f>+Bono!J437</f>
        <v>435801.24347970507</v>
      </c>
      <c r="AC437" s="378">
        <f t="shared" si="139"/>
        <v>34.5</v>
      </c>
      <c r="AD437" s="356">
        <f t="shared" si="140"/>
        <v>21047157.522848114</v>
      </c>
    </row>
    <row r="438" spans="1:30" x14ac:dyDescent="0.25">
      <c r="A438" s="356">
        <f t="shared" si="141"/>
        <v>34.583333333333336</v>
      </c>
      <c r="B438" s="356">
        <f t="shared" si="142"/>
        <v>415</v>
      </c>
      <c r="C438" s="357">
        <f t="shared" si="147"/>
        <v>34</v>
      </c>
      <c r="D438" s="357">
        <f t="shared" si="148"/>
        <v>7</v>
      </c>
      <c r="E438" s="357">
        <f t="shared" si="149"/>
        <v>63</v>
      </c>
      <c r="F438" s="356">
        <f t="shared" si="143"/>
        <v>677389.8991629956</v>
      </c>
      <c r="H438" s="356">
        <f t="shared" si="136"/>
        <v>5401.602181046687</v>
      </c>
      <c r="I438" s="356">
        <v>0</v>
      </c>
      <c r="J438" s="356">
        <v>0</v>
      </c>
      <c r="K438" s="356">
        <f t="shared" si="144"/>
        <v>-792.038141559089</v>
      </c>
      <c r="L438" s="356">
        <f t="shared" si="137"/>
        <v>681999.4632024833</v>
      </c>
      <c r="N438" s="356">
        <f t="shared" si="145"/>
        <v>415</v>
      </c>
      <c r="O438" s="357">
        <f t="shared" si="150"/>
        <v>34</v>
      </c>
      <c r="P438" s="357">
        <f t="shared" si="151"/>
        <v>7</v>
      </c>
      <c r="Q438" s="357">
        <f t="shared" si="152"/>
        <v>34</v>
      </c>
      <c r="R438" s="356">
        <f t="shared" si="146"/>
        <v>19933966.38020541</v>
      </c>
      <c r="S438" s="356">
        <f>+IF($G$4="mensual",S432,IF($G$4="trimestral",S432,IF($G$4="semestral",S432,0)))</f>
        <v>10000</v>
      </c>
      <c r="U438" s="356">
        <f t="shared" si="153"/>
        <v>159035.98862509342</v>
      </c>
      <c r="V438" s="359">
        <f t="shared" si="135"/>
        <v>-335.38720997729035</v>
      </c>
      <c r="X438" s="359">
        <f t="shared" si="154"/>
        <v>-23319.09369867981</v>
      </c>
      <c r="Y438" s="356">
        <f t="shared" si="138"/>
        <v>20079347.887921847</v>
      </c>
      <c r="AA438" s="357">
        <f>+Bono!J438</f>
        <v>438503.2617390947</v>
      </c>
      <c r="AC438" s="378">
        <f t="shared" si="139"/>
        <v>34.583333333333336</v>
      </c>
      <c r="AD438" s="356">
        <f t="shared" si="140"/>
        <v>21199850.612863425</v>
      </c>
    </row>
    <row r="439" spans="1:30" x14ac:dyDescent="0.25">
      <c r="A439" s="356">
        <f t="shared" si="141"/>
        <v>34.666666666666664</v>
      </c>
      <c r="B439" s="356">
        <f t="shared" si="142"/>
        <v>416</v>
      </c>
      <c r="C439" s="357">
        <f t="shared" si="147"/>
        <v>34</v>
      </c>
      <c r="D439" s="357">
        <f t="shared" si="148"/>
        <v>8</v>
      </c>
      <c r="E439" s="357">
        <f t="shared" si="149"/>
        <v>63</v>
      </c>
      <c r="F439" s="356">
        <f t="shared" si="143"/>
        <v>681999.4632024833</v>
      </c>
      <c r="H439" s="356">
        <f t="shared" si="136"/>
        <v>5438.3594920135865</v>
      </c>
      <c r="I439" s="356">
        <v>0</v>
      </c>
      <c r="J439" s="356">
        <v>0</v>
      </c>
      <c r="K439" s="356">
        <f t="shared" si="144"/>
        <v>-797.4278743256162</v>
      </c>
      <c r="L439" s="356">
        <f t="shared" si="137"/>
        <v>686640.3948201712</v>
      </c>
      <c r="N439" s="356">
        <f t="shared" si="145"/>
        <v>416</v>
      </c>
      <c r="O439" s="357">
        <f t="shared" si="150"/>
        <v>34</v>
      </c>
      <c r="P439" s="357">
        <f t="shared" si="151"/>
        <v>8</v>
      </c>
      <c r="Q439" s="357">
        <f t="shared" si="152"/>
        <v>34</v>
      </c>
      <c r="R439" s="356">
        <f t="shared" si="146"/>
        <v>20079347.887921847</v>
      </c>
      <c r="S439" s="356">
        <f>IF($G$4="mensual",S438,0)</f>
        <v>10000</v>
      </c>
      <c r="U439" s="356">
        <f t="shared" si="153"/>
        <v>160195.28118339006</v>
      </c>
      <c r="V439" s="359">
        <f t="shared" si="135"/>
        <v>-335.38720997729035</v>
      </c>
      <c r="X439" s="359">
        <f t="shared" si="154"/>
        <v>-23489.0810269985</v>
      </c>
      <c r="Y439" s="356">
        <f t="shared" si="138"/>
        <v>20225718.700868264</v>
      </c>
      <c r="AA439" s="357">
        <f>+Bono!J439</f>
        <v>441222.0328251073</v>
      </c>
      <c r="AC439" s="378">
        <f t="shared" si="139"/>
        <v>34.666666666666664</v>
      </c>
      <c r="AD439" s="356">
        <f t="shared" si="140"/>
        <v>21353581.128513545</v>
      </c>
    </row>
    <row r="440" spans="1:30" x14ac:dyDescent="0.25">
      <c r="A440" s="356">
        <f t="shared" si="141"/>
        <v>34.75</v>
      </c>
      <c r="B440" s="356">
        <f t="shared" si="142"/>
        <v>417</v>
      </c>
      <c r="C440" s="357">
        <f t="shared" si="147"/>
        <v>34</v>
      </c>
      <c r="D440" s="357">
        <f t="shared" si="148"/>
        <v>9</v>
      </c>
      <c r="E440" s="357">
        <f t="shared" si="149"/>
        <v>63</v>
      </c>
      <c r="F440" s="356">
        <f t="shared" si="143"/>
        <v>686640.3948201712</v>
      </c>
      <c r="H440" s="356">
        <f t="shared" si="136"/>
        <v>5475.36693245397</v>
      </c>
      <c r="I440" s="356">
        <v>0</v>
      </c>
      <c r="J440" s="360">
        <f>-SUM(F440:H440)*$J$21*1.16</f>
        <v>-7225.6885526974065</v>
      </c>
      <c r="K440" s="356">
        <f t="shared" si="144"/>
        <v>-794.472484911916</v>
      </c>
      <c r="L440" s="356">
        <f t="shared" si="137"/>
        <v>684095.6007150158</v>
      </c>
      <c r="N440" s="356">
        <f t="shared" si="145"/>
        <v>417</v>
      </c>
      <c r="O440" s="357">
        <f t="shared" si="150"/>
        <v>34</v>
      </c>
      <c r="P440" s="357">
        <f t="shared" si="151"/>
        <v>9</v>
      </c>
      <c r="Q440" s="357">
        <f t="shared" si="152"/>
        <v>34</v>
      </c>
      <c r="R440" s="356">
        <f t="shared" si="146"/>
        <v>20225718.700868264</v>
      </c>
      <c r="S440" s="356">
        <f>IF($G$4="mensual",S439,0)</f>
        <v>10000</v>
      </c>
      <c r="U440" s="356">
        <f t="shared" si="153"/>
        <v>161362.46260051758</v>
      </c>
      <c r="V440" s="359">
        <f t="shared" si="135"/>
        <v>-335.38720997729035</v>
      </c>
      <c r="X440" s="359">
        <f t="shared" si="154"/>
        <v>-23660.22510046021</v>
      </c>
      <c r="Y440" s="356">
        <f t="shared" si="138"/>
        <v>20373085.551158343</v>
      </c>
      <c r="AA440" s="357">
        <f>+Bono!J440</f>
        <v>439958.0420431821</v>
      </c>
      <c r="AC440" s="378">
        <f t="shared" si="139"/>
        <v>34.75</v>
      </c>
      <c r="AD440" s="356">
        <f t="shared" si="140"/>
        <v>21497139.19391654</v>
      </c>
    </row>
    <row r="441" spans="1:30" x14ac:dyDescent="0.25">
      <c r="A441" s="356">
        <f t="shared" si="141"/>
        <v>34.833333333333336</v>
      </c>
      <c r="B441" s="356">
        <f t="shared" si="142"/>
        <v>418</v>
      </c>
      <c r="C441" s="357">
        <f t="shared" si="147"/>
        <v>34</v>
      </c>
      <c r="D441" s="357">
        <f t="shared" si="148"/>
        <v>10</v>
      </c>
      <c r="E441" s="357">
        <f t="shared" si="149"/>
        <v>63</v>
      </c>
      <c r="F441" s="356">
        <f t="shared" si="143"/>
        <v>684095.6007150158</v>
      </c>
      <c r="H441" s="356">
        <f t="shared" si="136"/>
        <v>5455.074386896814</v>
      </c>
      <c r="I441" s="356">
        <v>0</v>
      </c>
      <c r="J441" s="356">
        <v>0</v>
      </c>
      <c r="K441" s="356">
        <f t="shared" si="144"/>
        <v>-799.8787831182185</v>
      </c>
      <c r="L441" s="356">
        <f t="shared" si="137"/>
        <v>688750.7963187944</v>
      </c>
      <c r="N441" s="356">
        <f t="shared" si="145"/>
        <v>418</v>
      </c>
      <c r="O441" s="357">
        <f t="shared" si="150"/>
        <v>34</v>
      </c>
      <c r="P441" s="357">
        <f t="shared" si="151"/>
        <v>10</v>
      </c>
      <c r="Q441" s="357">
        <f t="shared" si="152"/>
        <v>34</v>
      </c>
      <c r="R441" s="356">
        <f t="shared" si="146"/>
        <v>20373085.551158343</v>
      </c>
      <c r="S441" s="356">
        <f>IF($G$4="mensual",S432,IF($G$4="trimestral",S432,0))</f>
        <v>10000</v>
      </c>
      <c r="U441" s="356">
        <f t="shared" si="153"/>
        <v>162537.58655929592</v>
      </c>
      <c r="V441" s="359">
        <f t="shared" si="135"/>
        <v>-335.38720997729035</v>
      </c>
      <c r="X441" s="359">
        <f t="shared" si="154"/>
        <v>-23832.533790588885</v>
      </c>
      <c r="Y441" s="356">
        <f t="shared" si="138"/>
        <v>20521455.21671707</v>
      </c>
      <c r="AA441" s="357">
        <f>+Bono!J441</f>
        <v>442685.83293582406</v>
      </c>
      <c r="AC441" s="378">
        <f t="shared" si="139"/>
        <v>34.833333333333336</v>
      </c>
      <c r="AD441" s="356">
        <f t="shared" si="140"/>
        <v>21652891.845971692</v>
      </c>
    </row>
    <row r="442" spans="1:30" x14ac:dyDescent="0.25">
      <c r="A442" s="356">
        <f t="shared" si="141"/>
        <v>34.916666666666664</v>
      </c>
      <c r="B442" s="356">
        <f t="shared" si="142"/>
        <v>419</v>
      </c>
      <c r="C442" s="357">
        <f t="shared" si="147"/>
        <v>34</v>
      </c>
      <c r="D442" s="357">
        <f t="shared" si="148"/>
        <v>11</v>
      </c>
      <c r="E442" s="357">
        <f t="shared" si="149"/>
        <v>63</v>
      </c>
      <c r="F442" s="356">
        <f t="shared" si="143"/>
        <v>688750.7963187944</v>
      </c>
      <c r="H442" s="356">
        <f t="shared" si="136"/>
        <v>5492.19557036536</v>
      </c>
      <c r="I442" s="356">
        <v>0</v>
      </c>
      <c r="J442" s="356">
        <v>0</v>
      </c>
      <c r="K442" s="356">
        <f t="shared" si="144"/>
        <v>-805.3218705914254</v>
      </c>
      <c r="L442" s="356">
        <f t="shared" si="137"/>
        <v>693437.6700185684</v>
      </c>
      <c r="N442" s="356">
        <f t="shared" si="145"/>
        <v>419</v>
      </c>
      <c r="O442" s="357">
        <f t="shared" si="150"/>
        <v>34</v>
      </c>
      <c r="P442" s="357">
        <f t="shared" si="151"/>
        <v>11</v>
      </c>
      <c r="Q442" s="357">
        <f t="shared" si="152"/>
        <v>34</v>
      </c>
      <c r="R442" s="356">
        <f t="shared" si="146"/>
        <v>20521455.21671707</v>
      </c>
      <c r="S442" s="356">
        <f>IF($G$17="si",S430*(1+$G$20),S430)</f>
        <v>10000</v>
      </c>
      <c r="U442" s="356">
        <f t="shared" si="153"/>
        <v>163720.7071078507</v>
      </c>
      <c r="V442" s="359">
        <f t="shared" si="135"/>
        <v>-335.38720997729035</v>
      </c>
      <c r="X442" s="359">
        <f t="shared" si="154"/>
        <v>-24006.015022473333</v>
      </c>
      <c r="Y442" s="356">
        <f t="shared" si="138"/>
        <v>20670834.52159247</v>
      </c>
      <c r="AA442" s="357">
        <f>+Bono!J442</f>
        <v>445430.53644840454</v>
      </c>
      <c r="AC442" s="378">
        <f t="shared" si="139"/>
        <v>34.916666666666664</v>
      </c>
      <c r="AD442" s="356">
        <f t="shared" si="140"/>
        <v>21809702.728059445</v>
      </c>
    </row>
    <row r="443" spans="1:30" x14ac:dyDescent="0.25">
      <c r="A443" s="356">
        <f t="shared" si="141"/>
        <v>35</v>
      </c>
      <c r="B443" s="356">
        <f t="shared" si="142"/>
        <v>420</v>
      </c>
      <c r="C443" s="357">
        <f t="shared" si="147"/>
        <v>34</v>
      </c>
      <c r="D443" s="357">
        <f t="shared" si="148"/>
        <v>12</v>
      </c>
      <c r="E443" s="357">
        <f t="shared" si="149"/>
        <v>63</v>
      </c>
      <c r="F443" s="356">
        <f t="shared" si="143"/>
        <v>693437.6700185684</v>
      </c>
      <c r="H443" s="356">
        <f t="shared" si="136"/>
        <v>5529.569359419894</v>
      </c>
      <c r="I443" s="356">
        <v>0</v>
      </c>
      <c r="J443" s="360">
        <f>-SUM(F443:H443)*$J$21*1.16</f>
        <v>-7297.217979106198</v>
      </c>
      <c r="K443" s="356">
        <f t="shared" si="144"/>
        <v>-802.3372248227031</v>
      </c>
      <c r="L443" s="356">
        <f t="shared" si="137"/>
        <v>690867.6841740593</v>
      </c>
      <c r="N443" s="356">
        <f t="shared" si="145"/>
        <v>420</v>
      </c>
      <c r="O443" s="357">
        <f t="shared" si="150"/>
        <v>34</v>
      </c>
      <c r="P443" s="357">
        <f t="shared" si="151"/>
        <v>12</v>
      </c>
      <c r="Q443" s="357">
        <f t="shared" si="152"/>
        <v>34</v>
      </c>
      <c r="R443" s="356">
        <f t="shared" si="146"/>
        <v>20670834.52159247</v>
      </c>
      <c r="S443" s="356">
        <f>IF($G$4="mensual",S442,0)</f>
        <v>10000</v>
      </c>
      <c r="U443" s="356">
        <f t="shared" si="153"/>
        <v>164911.87866209916</v>
      </c>
      <c r="V443" s="359">
        <f t="shared" si="135"/>
        <v>-335.38720997729035</v>
      </c>
      <c r="X443" s="359">
        <f t="shared" si="154"/>
        <v>-24180.676775131724</v>
      </c>
      <c r="Y443" s="356">
        <f t="shared" si="138"/>
        <v>20821230.33626946</v>
      </c>
      <c r="AA443" s="357">
        <f>+Bono!J443</f>
        <v>444154.4893560737</v>
      </c>
      <c r="AC443" s="378">
        <f t="shared" si="139"/>
        <v>35</v>
      </c>
      <c r="AD443" s="356">
        <f t="shared" si="140"/>
        <v>21956252.509799596</v>
      </c>
    </row>
    <row r="444" spans="1:30" x14ac:dyDescent="0.25">
      <c r="A444" s="356">
        <f t="shared" si="141"/>
        <v>35.083333333333336</v>
      </c>
      <c r="B444" s="356">
        <f t="shared" si="142"/>
        <v>421</v>
      </c>
      <c r="C444" s="357">
        <f t="shared" si="147"/>
        <v>35</v>
      </c>
      <c r="D444" s="357">
        <f t="shared" si="148"/>
        <v>1</v>
      </c>
      <c r="E444" s="357">
        <f t="shared" si="149"/>
        <v>64</v>
      </c>
      <c r="F444" s="356">
        <f t="shared" si="143"/>
        <v>690867.6841740593</v>
      </c>
      <c r="H444" s="356">
        <f t="shared" si="136"/>
        <v>5509.075931395484</v>
      </c>
      <c r="I444" s="356">
        <v>0</v>
      </c>
      <c r="J444" s="356">
        <v>0</v>
      </c>
      <c r="K444" s="356">
        <f t="shared" si="144"/>
        <v>-807.7970417223275</v>
      </c>
      <c r="L444" s="356">
        <f t="shared" si="137"/>
        <v>695568.9630637325</v>
      </c>
      <c r="N444" s="356">
        <f t="shared" si="145"/>
        <v>421</v>
      </c>
      <c r="O444" s="357">
        <f t="shared" si="150"/>
        <v>35</v>
      </c>
      <c r="P444" s="357">
        <f t="shared" si="151"/>
        <v>1</v>
      </c>
      <c r="Q444" s="357">
        <f t="shared" si="152"/>
        <v>35</v>
      </c>
      <c r="R444" s="356">
        <f t="shared" si="146"/>
        <v>20821230.33626946</v>
      </c>
      <c r="S444" s="356">
        <f>IF($G$17="si",S432*(1+$G$20),S432)</f>
        <v>10000</v>
      </c>
      <c r="U444" s="356">
        <f t="shared" si="153"/>
        <v>166111.15600825287</v>
      </c>
      <c r="V444" s="359">
        <f>V443*(1+$G$18)</f>
        <v>-348.80269837638195</v>
      </c>
      <c r="X444" s="359">
        <f t="shared" si="154"/>
        <v>-24356.511519912026</v>
      </c>
      <c r="Y444" s="356">
        <f t="shared" si="138"/>
        <v>20972636.17805942</v>
      </c>
      <c r="AA444" s="357">
        <f>+Bono!J444</f>
        <v>446908.2987088134</v>
      </c>
      <c r="AC444" s="378">
        <f t="shared" si="139"/>
        <v>35.083333333333336</v>
      </c>
      <c r="AD444" s="356">
        <f t="shared" si="140"/>
        <v>22115113.43983197</v>
      </c>
    </row>
    <row r="445" spans="1:30" x14ac:dyDescent="0.25">
      <c r="A445" s="356">
        <f t="shared" si="141"/>
        <v>35.166666666666664</v>
      </c>
      <c r="B445" s="356">
        <f t="shared" si="142"/>
        <v>422</v>
      </c>
      <c r="C445" s="357">
        <f t="shared" si="147"/>
        <v>35</v>
      </c>
      <c r="D445" s="357">
        <f t="shared" si="148"/>
        <v>2</v>
      </c>
      <c r="E445" s="357">
        <f t="shared" si="149"/>
        <v>64</v>
      </c>
      <c r="F445" s="356">
        <f t="shared" si="143"/>
        <v>695568.9630637325</v>
      </c>
      <c r="H445" s="356">
        <f t="shared" si="136"/>
        <v>5546.564589457178</v>
      </c>
      <c r="I445" s="356">
        <v>0</v>
      </c>
      <c r="J445" s="356">
        <v>0</v>
      </c>
      <c r="K445" s="356">
        <f t="shared" si="144"/>
        <v>-813.2940120776999</v>
      </c>
      <c r="L445" s="356">
        <f t="shared" si="137"/>
        <v>700302.2336411119</v>
      </c>
      <c r="N445" s="356">
        <f t="shared" si="145"/>
        <v>422</v>
      </c>
      <c r="O445" s="357">
        <f t="shared" si="150"/>
        <v>35</v>
      </c>
      <c r="P445" s="357">
        <f t="shared" si="151"/>
        <v>2</v>
      </c>
      <c r="Q445" s="357">
        <f t="shared" si="152"/>
        <v>35</v>
      </c>
      <c r="R445" s="356">
        <f t="shared" si="146"/>
        <v>20972636.17805942</v>
      </c>
      <c r="S445" s="356">
        <f>IF($G$4="mensual",S444,0)</f>
        <v>10000</v>
      </c>
      <c r="U445" s="356">
        <f t="shared" si="153"/>
        <v>167318.4874524424</v>
      </c>
      <c r="V445" s="359">
        <f t="shared" si="135"/>
        <v>-348.80269837638195</v>
      </c>
      <c r="X445" s="359">
        <f t="shared" si="154"/>
        <v>-24533.542800863645</v>
      </c>
      <c r="Y445" s="356">
        <f t="shared" si="138"/>
        <v>21125072.320012625</v>
      </c>
      <c r="AA445" s="357">
        <f>+Bono!J445</f>
        <v>449679.1819989622</v>
      </c>
      <c r="AC445" s="378">
        <f t="shared" si="139"/>
        <v>35.166666666666664</v>
      </c>
      <c r="AD445" s="356">
        <f t="shared" si="140"/>
        <v>22275053.735652696</v>
      </c>
    </row>
    <row r="446" spans="1:30" x14ac:dyDescent="0.25">
      <c r="A446" s="356">
        <f t="shared" si="141"/>
        <v>35.25</v>
      </c>
      <c r="B446" s="356">
        <f t="shared" si="142"/>
        <v>423</v>
      </c>
      <c r="C446" s="357">
        <f t="shared" si="147"/>
        <v>35</v>
      </c>
      <c r="D446" s="357">
        <f t="shared" si="148"/>
        <v>3</v>
      </c>
      <c r="E446" s="357">
        <f t="shared" si="149"/>
        <v>64</v>
      </c>
      <c r="F446" s="356">
        <f t="shared" si="143"/>
        <v>700302.2336411119</v>
      </c>
      <c r="H446" s="356">
        <f t="shared" si="136"/>
        <v>5584.3083537292</v>
      </c>
      <c r="I446" s="356">
        <v>0</v>
      </c>
      <c r="J446" s="360">
        <f>-SUM(F446:H446)*$J$21*1.16</f>
        <v>-7369.455498426141</v>
      </c>
      <c r="K446" s="356">
        <f t="shared" si="144"/>
        <v>-810.2798203358414</v>
      </c>
      <c r="L446" s="356">
        <f t="shared" si="137"/>
        <v>697706.8066760792</v>
      </c>
      <c r="N446" s="356">
        <f t="shared" si="145"/>
        <v>423</v>
      </c>
      <c r="O446" s="357">
        <f t="shared" si="150"/>
        <v>35</v>
      </c>
      <c r="P446" s="357">
        <f t="shared" si="151"/>
        <v>3</v>
      </c>
      <c r="Q446" s="357">
        <f t="shared" si="152"/>
        <v>35</v>
      </c>
      <c r="R446" s="356">
        <f t="shared" si="146"/>
        <v>21125072.320012625</v>
      </c>
      <c r="S446" s="356">
        <f>IF($G$4="mensual",S445,0)</f>
        <v>10000</v>
      </c>
      <c r="U446" s="356">
        <f t="shared" si="153"/>
        <v>168534.03465481754</v>
      </c>
      <c r="V446" s="359">
        <f t="shared" si="135"/>
        <v>-348.80269837638195</v>
      </c>
      <c r="X446" s="359">
        <f t="shared" si="154"/>
        <v>-24711.778760284113</v>
      </c>
      <c r="Y446" s="356">
        <f t="shared" si="138"/>
        <v>21278545.773208782</v>
      </c>
      <c r="AA446" s="357">
        <f>+Bono!J446</f>
        <v>448390.9635996429</v>
      </c>
      <c r="AC446" s="378">
        <f t="shared" si="139"/>
        <v>35.25</v>
      </c>
      <c r="AD446" s="356">
        <f t="shared" si="140"/>
        <v>22424643.543484505</v>
      </c>
    </row>
    <row r="447" spans="1:30" x14ac:dyDescent="0.25">
      <c r="A447" s="356">
        <f t="shared" si="141"/>
        <v>35.333333333333336</v>
      </c>
      <c r="B447" s="356">
        <f t="shared" si="142"/>
        <v>424</v>
      </c>
      <c r="C447" s="357">
        <f t="shared" si="147"/>
        <v>35</v>
      </c>
      <c r="D447" s="357">
        <f t="shared" si="148"/>
        <v>4</v>
      </c>
      <c r="E447" s="357">
        <f t="shared" si="149"/>
        <v>64</v>
      </c>
      <c r="F447" s="356">
        <f t="shared" si="143"/>
        <v>697706.8066760792</v>
      </c>
      <c r="H447" s="356">
        <f t="shared" si="136"/>
        <v>5563.612054637066</v>
      </c>
      <c r="I447" s="356">
        <v>0</v>
      </c>
      <c r="J447" s="356">
        <v>0</v>
      </c>
      <c r="K447" s="356">
        <f t="shared" si="144"/>
        <v>-815.7936857276308</v>
      </c>
      <c r="L447" s="356">
        <f t="shared" si="137"/>
        <v>702454.6250449886</v>
      </c>
      <c r="N447" s="356">
        <f t="shared" si="145"/>
        <v>424</v>
      </c>
      <c r="O447" s="357">
        <f t="shared" si="150"/>
        <v>35</v>
      </c>
      <c r="P447" s="357">
        <f t="shared" si="151"/>
        <v>4</v>
      </c>
      <c r="Q447" s="357">
        <f t="shared" si="152"/>
        <v>35</v>
      </c>
      <c r="R447" s="356">
        <f t="shared" si="146"/>
        <v>21278545.773208782</v>
      </c>
      <c r="S447" s="356">
        <f>IF($G$4="mensual",S444,IF($G$4="trimestral",S444,0))</f>
        <v>10000</v>
      </c>
      <c r="U447" s="356">
        <f t="shared" si="153"/>
        <v>169757.8535227125</v>
      </c>
      <c r="V447" s="359">
        <f t="shared" si="135"/>
        <v>-348.80269837638195</v>
      </c>
      <c r="X447" s="359">
        <f t="shared" si="154"/>
        <v>-24891.22759587842</v>
      </c>
      <c r="Y447" s="356">
        <f t="shared" si="138"/>
        <v>21433063.596437242</v>
      </c>
      <c r="AA447" s="357">
        <f>+Bono!J447</f>
        <v>451171.03958409326</v>
      </c>
      <c r="AC447" s="378">
        <f t="shared" si="139"/>
        <v>35.333333333333336</v>
      </c>
      <c r="AD447" s="356">
        <f t="shared" si="140"/>
        <v>22586689.261066325</v>
      </c>
    </row>
    <row r="448" spans="1:30" x14ac:dyDescent="0.25">
      <c r="A448" s="356">
        <f t="shared" si="141"/>
        <v>35.416666666666664</v>
      </c>
      <c r="B448" s="356">
        <f t="shared" si="142"/>
        <v>425</v>
      </c>
      <c r="C448" s="357">
        <f t="shared" si="147"/>
        <v>35</v>
      </c>
      <c r="D448" s="357">
        <f t="shared" si="148"/>
        <v>5</v>
      </c>
      <c r="E448" s="357">
        <f t="shared" si="149"/>
        <v>64</v>
      </c>
      <c r="F448" s="356">
        <f t="shared" si="143"/>
        <v>702454.6250449886</v>
      </c>
      <c r="H448" s="356">
        <f t="shared" si="136"/>
        <v>5601.471825041678</v>
      </c>
      <c r="I448" s="356">
        <v>0</v>
      </c>
      <c r="J448" s="356">
        <v>0</v>
      </c>
      <c r="K448" s="356">
        <f t="shared" si="144"/>
        <v>-821.345072369235</v>
      </c>
      <c r="L448" s="356">
        <f t="shared" si="137"/>
        <v>707234.7517976611</v>
      </c>
      <c r="N448" s="356">
        <f t="shared" si="145"/>
        <v>425</v>
      </c>
      <c r="O448" s="357">
        <f t="shared" si="150"/>
        <v>35</v>
      </c>
      <c r="P448" s="357">
        <f t="shared" si="151"/>
        <v>5</v>
      </c>
      <c r="Q448" s="357">
        <f t="shared" si="152"/>
        <v>35</v>
      </c>
      <c r="R448" s="356">
        <f t="shared" si="146"/>
        <v>21433063.596437242</v>
      </c>
      <c r="S448" s="356">
        <f>IF($G$4="mensual",S447,0)</f>
        <v>10000</v>
      </c>
      <c r="U448" s="356">
        <f t="shared" si="153"/>
        <v>170990.00034390477</v>
      </c>
      <c r="V448" s="359">
        <f t="shared" si="135"/>
        <v>-348.80269837638195</v>
      </c>
      <c r="X448" s="359">
        <f t="shared" si="154"/>
        <v>-25071.89756113601</v>
      </c>
      <c r="Y448" s="356">
        <f t="shared" si="138"/>
        <v>21588632.89652163</v>
      </c>
      <c r="AA448" s="357">
        <f>+Bono!J448</f>
        <v>453968.3523621161</v>
      </c>
      <c r="AC448" s="378">
        <f t="shared" si="139"/>
        <v>35.416666666666664</v>
      </c>
      <c r="AD448" s="356">
        <f t="shared" si="140"/>
        <v>22749836.000681408</v>
      </c>
    </row>
    <row r="449" spans="1:30" x14ac:dyDescent="0.25">
      <c r="A449" s="356">
        <f t="shared" si="141"/>
        <v>35.5</v>
      </c>
      <c r="B449" s="356">
        <f t="shared" si="142"/>
        <v>426</v>
      </c>
      <c r="C449" s="357">
        <f t="shared" si="147"/>
        <v>35</v>
      </c>
      <c r="D449" s="357">
        <f t="shared" si="148"/>
        <v>6</v>
      </c>
      <c r="E449" s="357">
        <f t="shared" si="149"/>
        <v>64</v>
      </c>
      <c r="F449" s="356">
        <f t="shared" si="143"/>
        <v>707234.7517976611</v>
      </c>
      <c r="H449" s="356">
        <f t="shared" si="136"/>
        <v>5639.589227035448</v>
      </c>
      <c r="I449" s="356">
        <v>0</v>
      </c>
      <c r="J449" s="360">
        <f>-SUM(F449:H449)*$J$21*1.16</f>
        <v>-7442.408120297831</v>
      </c>
      <c r="K449" s="356">
        <f t="shared" si="144"/>
        <v>-818.3010421691024</v>
      </c>
      <c r="L449" s="356">
        <f t="shared" si="137"/>
        <v>704613.6318622296</v>
      </c>
      <c r="N449" s="356">
        <f t="shared" si="145"/>
        <v>426</v>
      </c>
      <c r="O449" s="357">
        <f t="shared" si="150"/>
        <v>35</v>
      </c>
      <c r="P449" s="357">
        <f t="shared" si="151"/>
        <v>6</v>
      </c>
      <c r="Q449" s="357">
        <f t="shared" si="152"/>
        <v>35</v>
      </c>
      <c r="R449" s="356">
        <f t="shared" si="146"/>
        <v>21588632.89652163</v>
      </c>
      <c r="S449" s="356">
        <f>IF($G$4="mensual",S448,0)</f>
        <v>10000</v>
      </c>
      <c r="U449" s="356">
        <f t="shared" si="153"/>
        <v>172230.53178920396</v>
      </c>
      <c r="V449" s="359">
        <f t="shared" si="135"/>
        <v>-348.80269837638195</v>
      </c>
      <c r="X449" s="359">
        <f t="shared" si="154"/>
        <v>-25253.796965710448</v>
      </c>
      <c r="Y449" s="356">
        <f t="shared" si="138"/>
        <v>21745260.828646746</v>
      </c>
      <c r="AA449" s="357">
        <f>+Bono!J449</f>
        <v>452667.84656235494</v>
      </c>
      <c r="AC449" s="378">
        <f t="shared" si="139"/>
        <v>35.5</v>
      </c>
      <c r="AD449" s="356">
        <f t="shared" si="140"/>
        <v>22902542.307071332</v>
      </c>
    </row>
    <row r="450" spans="1:30" x14ac:dyDescent="0.25">
      <c r="A450" s="356">
        <f t="shared" si="141"/>
        <v>35.583333333333336</v>
      </c>
      <c r="B450" s="356">
        <f t="shared" si="142"/>
        <v>427</v>
      </c>
      <c r="C450" s="357">
        <f t="shared" si="147"/>
        <v>35</v>
      </c>
      <c r="D450" s="357">
        <f t="shared" si="148"/>
        <v>7</v>
      </c>
      <c r="E450" s="357">
        <f t="shared" si="149"/>
        <v>64</v>
      </c>
      <c r="F450" s="356">
        <f t="shared" si="143"/>
        <v>704613.6318622296</v>
      </c>
      <c r="H450" s="356">
        <f t="shared" si="136"/>
        <v>5618.688048589318</v>
      </c>
      <c r="I450" s="356">
        <v>0</v>
      </c>
      <c r="J450" s="356">
        <v>0</v>
      </c>
      <c r="K450" s="356">
        <f t="shared" si="144"/>
        <v>-823.8694910965498</v>
      </c>
      <c r="L450" s="356">
        <f t="shared" si="137"/>
        <v>709408.4504197222</v>
      </c>
      <c r="N450" s="356">
        <f t="shared" si="145"/>
        <v>427</v>
      </c>
      <c r="O450" s="357">
        <f t="shared" si="150"/>
        <v>35</v>
      </c>
      <c r="P450" s="357">
        <f t="shared" si="151"/>
        <v>7</v>
      </c>
      <c r="Q450" s="357">
        <f t="shared" si="152"/>
        <v>35</v>
      </c>
      <c r="R450" s="356">
        <f t="shared" si="146"/>
        <v>21745260.828646746</v>
      </c>
      <c r="S450" s="356">
        <f>+IF($G$4="mensual",S444,IF($G$4="trimestral",S444,IF($G$4="semestral",S444,0)))</f>
        <v>10000</v>
      </c>
      <c r="U450" s="356">
        <f t="shared" si="153"/>
        <v>173479.5049150584</v>
      </c>
      <c r="V450" s="359">
        <f t="shared" si="135"/>
        <v>-348.80269837638195</v>
      </c>
      <c r="X450" s="359">
        <f t="shared" si="154"/>
        <v>-25436.934175801576</v>
      </c>
      <c r="Y450" s="356">
        <f t="shared" si="138"/>
        <v>21902954.596687626</v>
      </c>
      <c r="AA450" s="357">
        <f>+Bono!J450</f>
        <v>455474.4397172619</v>
      </c>
      <c r="AC450" s="378">
        <f t="shared" si="139"/>
        <v>35.583333333333336</v>
      </c>
      <c r="AD450" s="356">
        <f t="shared" si="140"/>
        <v>23067837.486824613</v>
      </c>
    </row>
    <row r="451" spans="1:30" x14ac:dyDescent="0.25">
      <c r="A451" s="356">
        <f t="shared" si="141"/>
        <v>35.666666666666664</v>
      </c>
      <c r="B451" s="356">
        <f t="shared" si="142"/>
        <v>428</v>
      </c>
      <c r="C451" s="357">
        <f t="shared" si="147"/>
        <v>35</v>
      </c>
      <c r="D451" s="357">
        <f t="shared" si="148"/>
        <v>8</v>
      </c>
      <c r="E451" s="357">
        <f t="shared" si="149"/>
        <v>64</v>
      </c>
      <c r="F451" s="356">
        <f t="shared" si="143"/>
        <v>709408.4504197222</v>
      </c>
      <c r="H451" s="356">
        <f t="shared" si="136"/>
        <v>5656.922605097879</v>
      </c>
      <c r="I451" s="356">
        <v>0</v>
      </c>
      <c r="J451" s="356">
        <v>0</v>
      </c>
      <c r="K451" s="356">
        <f t="shared" si="144"/>
        <v>-829.4758327087912</v>
      </c>
      <c r="L451" s="356">
        <f t="shared" si="137"/>
        <v>714235.8971921114</v>
      </c>
      <c r="N451" s="356">
        <f t="shared" si="145"/>
        <v>428</v>
      </c>
      <c r="O451" s="357">
        <f t="shared" si="150"/>
        <v>35</v>
      </c>
      <c r="P451" s="357">
        <f t="shared" si="151"/>
        <v>8</v>
      </c>
      <c r="Q451" s="357">
        <f t="shared" si="152"/>
        <v>35</v>
      </c>
      <c r="R451" s="356">
        <f t="shared" si="146"/>
        <v>21902954.596687626</v>
      </c>
      <c r="S451" s="356">
        <f>IF($G$4="mensual",S450,0)</f>
        <v>10000</v>
      </c>
      <c r="U451" s="356">
        <f t="shared" si="153"/>
        <v>174736.9771661794</v>
      </c>
      <c r="V451" s="359">
        <f t="shared" si="135"/>
        <v>-348.80269837638195</v>
      </c>
      <c r="X451" s="359">
        <f t="shared" si="154"/>
        <v>-25621.317614540294</v>
      </c>
      <c r="Y451" s="356">
        <f t="shared" si="138"/>
        <v>22061721.453540888</v>
      </c>
      <c r="AA451" s="357">
        <f>+Bono!J451</f>
        <v>458298.43407527386</v>
      </c>
      <c r="AC451" s="378">
        <f t="shared" si="139"/>
        <v>35.666666666666664</v>
      </c>
      <c r="AD451" s="356">
        <f t="shared" si="140"/>
        <v>23234255.784808274</v>
      </c>
    </row>
    <row r="452" spans="1:30" x14ac:dyDescent="0.25">
      <c r="A452" s="356">
        <f t="shared" si="141"/>
        <v>35.75</v>
      </c>
      <c r="B452" s="356">
        <f t="shared" si="142"/>
        <v>429</v>
      </c>
      <c r="C452" s="357">
        <f t="shared" si="147"/>
        <v>35</v>
      </c>
      <c r="D452" s="357">
        <f t="shared" si="148"/>
        <v>9</v>
      </c>
      <c r="E452" s="357">
        <f t="shared" si="149"/>
        <v>64</v>
      </c>
      <c r="F452" s="356">
        <f t="shared" si="143"/>
        <v>714235.8971921114</v>
      </c>
      <c r="H452" s="356">
        <f t="shared" si="136"/>
        <v>5695.417343573968</v>
      </c>
      <c r="I452" s="356">
        <v>0</v>
      </c>
      <c r="J452" s="360">
        <f>-SUM(F452:H452)*$J$21*1.16</f>
        <v>-7516.082923752555</v>
      </c>
      <c r="K452" s="356">
        <f t="shared" si="144"/>
        <v>-826.4016686698419</v>
      </c>
      <c r="L452" s="356">
        <f t="shared" si="137"/>
        <v>711588.8299432629</v>
      </c>
      <c r="N452" s="356">
        <f t="shared" si="145"/>
        <v>429</v>
      </c>
      <c r="O452" s="357">
        <f t="shared" si="150"/>
        <v>35</v>
      </c>
      <c r="P452" s="357">
        <f t="shared" si="151"/>
        <v>9</v>
      </c>
      <c r="Q452" s="357">
        <f t="shared" si="152"/>
        <v>35</v>
      </c>
      <c r="R452" s="356">
        <f t="shared" si="146"/>
        <v>22061721.453540888</v>
      </c>
      <c r="S452" s="356">
        <f>IF($G$4="mensual",S451,0)</f>
        <v>10000</v>
      </c>
      <c r="U452" s="356">
        <f t="shared" si="153"/>
        <v>176003.00637818294</v>
      </c>
      <c r="V452" s="359">
        <f t="shared" si="135"/>
        <v>-348.80269837638195</v>
      </c>
      <c r="X452" s="359">
        <f t="shared" si="154"/>
        <v>-25806.955762376</v>
      </c>
      <c r="Y452" s="356">
        <f t="shared" si="138"/>
        <v>22221568.701458316</v>
      </c>
      <c r="AA452" s="357">
        <f>+Bono!J452</f>
        <v>456985.52367428417</v>
      </c>
      <c r="AC452" s="378">
        <f t="shared" si="139"/>
        <v>35.75</v>
      </c>
      <c r="AD452" s="356">
        <f t="shared" si="140"/>
        <v>23390143.05507586</v>
      </c>
    </row>
    <row r="453" spans="1:30" x14ac:dyDescent="0.25">
      <c r="A453" s="356">
        <f t="shared" si="141"/>
        <v>35.833333333333336</v>
      </c>
      <c r="B453" s="356">
        <f t="shared" si="142"/>
        <v>430</v>
      </c>
      <c r="C453" s="357">
        <f t="shared" si="147"/>
        <v>35</v>
      </c>
      <c r="D453" s="357">
        <f t="shared" si="148"/>
        <v>10</v>
      </c>
      <c r="E453" s="357">
        <f t="shared" si="149"/>
        <v>64</v>
      </c>
      <c r="F453" s="356">
        <f t="shared" si="143"/>
        <v>711588.8299432629</v>
      </c>
      <c r="H453" s="356">
        <f t="shared" si="136"/>
        <v>5674.3092576068975</v>
      </c>
      <c r="I453" s="356">
        <v>0</v>
      </c>
      <c r="J453" s="356">
        <v>0</v>
      </c>
      <c r="K453" s="356">
        <f t="shared" si="144"/>
        <v>-832.0252414730089</v>
      </c>
      <c r="L453" s="356">
        <f t="shared" si="137"/>
        <v>716431.1139593967</v>
      </c>
      <c r="N453" s="356">
        <f t="shared" si="145"/>
        <v>430</v>
      </c>
      <c r="O453" s="357">
        <f t="shared" si="150"/>
        <v>35</v>
      </c>
      <c r="P453" s="357">
        <f t="shared" si="151"/>
        <v>10</v>
      </c>
      <c r="Q453" s="357">
        <f t="shared" si="152"/>
        <v>35</v>
      </c>
      <c r="R453" s="356">
        <f t="shared" si="146"/>
        <v>22221568.701458316</v>
      </c>
      <c r="S453" s="356">
        <f>IF($G$4="mensual",S444,IF($G$4="trimestral",S444,0))</f>
        <v>10000</v>
      </c>
      <c r="U453" s="356">
        <f t="shared" si="153"/>
        <v>177277.65078025032</v>
      </c>
      <c r="V453" s="359">
        <f>V452</f>
        <v>-348.80269837638195</v>
      </c>
      <c r="X453" s="359">
        <f t="shared" si="154"/>
        <v>-25993.857157466617</v>
      </c>
      <c r="Y453" s="356">
        <f t="shared" si="138"/>
        <v>22382503.692382723</v>
      </c>
      <c r="AA453" s="357">
        <f>+Bono!J453</f>
        <v>459818.88692810456</v>
      </c>
      <c r="AC453" s="378">
        <f t="shared" si="139"/>
        <v>35.833333333333336</v>
      </c>
      <c r="AD453" s="356">
        <f t="shared" si="140"/>
        <v>23558753.693270225</v>
      </c>
    </row>
    <row r="454" spans="1:30" x14ac:dyDescent="0.25">
      <c r="A454" s="356">
        <f t="shared" si="141"/>
        <v>35.916666666666664</v>
      </c>
      <c r="B454" s="356">
        <f t="shared" si="142"/>
        <v>431</v>
      </c>
      <c r="C454" s="357">
        <f t="shared" si="147"/>
        <v>35</v>
      </c>
      <c r="D454" s="357">
        <f t="shared" si="148"/>
        <v>11</v>
      </c>
      <c r="E454" s="357">
        <f t="shared" si="149"/>
        <v>64</v>
      </c>
      <c r="F454" s="356">
        <f t="shared" si="143"/>
        <v>716431.1139593967</v>
      </c>
      <c r="H454" s="356">
        <f t="shared" si="136"/>
        <v>5712.922310348185</v>
      </c>
      <c r="I454" s="356">
        <v>0</v>
      </c>
      <c r="J454" s="356">
        <v>0</v>
      </c>
      <c r="K454" s="356">
        <f t="shared" si="144"/>
        <v>-837.687082072904</v>
      </c>
      <c r="L454" s="356">
        <f t="shared" si="137"/>
        <v>721306.3491876719</v>
      </c>
      <c r="N454" s="356">
        <f t="shared" si="145"/>
        <v>431</v>
      </c>
      <c r="O454" s="357">
        <f t="shared" si="150"/>
        <v>35</v>
      </c>
      <c r="P454" s="357">
        <f t="shared" si="151"/>
        <v>11</v>
      </c>
      <c r="Q454" s="357">
        <f t="shared" si="152"/>
        <v>35</v>
      </c>
      <c r="R454" s="356">
        <f t="shared" si="146"/>
        <v>22382503.692382723</v>
      </c>
      <c r="S454" s="356">
        <f>IF($G$17="si",S442*(1+$G$20),S442)</f>
        <v>10000</v>
      </c>
      <c r="U454" s="356">
        <f t="shared" si="153"/>
        <v>178560.9689978059</v>
      </c>
      <c r="V454" s="359">
        <f>V453</f>
        <v>-348.80269837638195</v>
      </c>
      <c r="X454" s="359">
        <f t="shared" si="154"/>
        <v>-26182.030396071295</v>
      </c>
      <c r="Y454" s="356">
        <f t="shared" si="138"/>
        <v>22544533.82828608</v>
      </c>
      <c r="AA454" s="357">
        <f>+Bono!J454</f>
        <v>462669.8173627485</v>
      </c>
      <c r="AC454" s="378">
        <f t="shared" si="139"/>
        <v>35.916666666666664</v>
      </c>
      <c r="AD454" s="356">
        <f t="shared" si="140"/>
        <v>23728509.9948365</v>
      </c>
    </row>
    <row r="455" spans="1:30" x14ac:dyDescent="0.25">
      <c r="A455" s="356">
        <f t="shared" si="141"/>
        <v>36</v>
      </c>
      <c r="B455" s="356">
        <f t="shared" si="142"/>
        <v>432</v>
      </c>
      <c r="C455" s="357">
        <f t="shared" si="147"/>
        <v>35</v>
      </c>
      <c r="D455" s="357">
        <f t="shared" si="148"/>
        <v>12</v>
      </c>
      <c r="E455" s="357">
        <f t="shared" si="149"/>
        <v>64</v>
      </c>
      <c r="F455" s="356">
        <f t="shared" si="143"/>
        <v>721306.3491876719</v>
      </c>
      <c r="H455" s="356">
        <f t="shared" si="136"/>
        <v>5751.798120682391</v>
      </c>
      <c r="I455" s="356">
        <v>0</v>
      </c>
      <c r="J455" s="360">
        <f>-SUM(F455:H455)*$J$21*1.16</f>
        <v>-7590.487057899219</v>
      </c>
      <c r="K455" s="356">
        <f t="shared" si="144"/>
        <v>-834.5824858905279</v>
      </c>
      <c r="L455" s="356">
        <f t="shared" si="137"/>
        <v>718633.0777645645</v>
      </c>
      <c r="N455" s="356">
        <f t="shared" si="145"/>
        <v>432</v>
      </c>
      <c r="O455" s="357">
        <f t="shared" si="150"/>
        <v>35</v>
      </c>
      <c r="P455" s="357">
        <f t="shared" si="151"/>
        <v>12</v>
      </c>
      <c r="Q455" s="357">
        <f t="shared" si="152"/>
        <v>35</v>
      </c>
      <c r="R455" s="356">
        <f t="shared" si="146"/>
        <v>22544533.82828608</v>
      </c>
      <c r="S455" s="356">
        <f>IF($G$4="mensual",S454,0)</f>
        <v>10000</v>
      </c>
      <c r="U455" s="356">
        <f t="shared" si="153"/>
        <v>179853.02005521362</v>
      </c>
      <c r="V455" s="359">
        <f>V454</f>
        <v>-348.80269837638195</v>
      </c>
      <c r="X455" s="359">
        <f t="shared" si="154"/>
        <v>-26371.48413294578</v>
      </c>
      <c r="Y455" s="356">
        <f t="shared" si="138"/>
        <v>22707666.56150997</v>
      </c>
      <c r="AA455" s="357">
        <f>+Bono!J455</f>
        <v>461344.38404184877</v>
      </c>
      <c r="AC455" s="378">
        <f t="shared" si="139"/>
        <v>36</v>
      </c>
      <c r="AD455" s="356">
        <f t="shared" si="140"/>
        <v>23887644.023316383</v>
      </c>
    </row>
    <row r="456" spans="1:30" x14ac:dyDescent="0.25">
      <c r="A456" s="356">
        <f t="shared" si="141"/>
        <v>36.083333333333336</v>
      </c>
      <c r="B456" s="356">
        <f t="shared" si="142"/>
        <v>433</v>
      </c>
      <c r="C456" s="357">
        <f t="shared" si="147"/>
        <v>36</v>
      </c>
      <c r="D456" s="357">
        <f t="shared" si="148"/>
        <v>1</v>
      </c>
      <c r="E456" s="357">
        <f t="shared" si="149"/>
        <v>65</v>
      </c>
      <c r="F456" s="356">
        <f t="shared" si="143"/>
        <v>718633.0777645645</v>
      </c>
      <c r="H456" s="356">
        <f t="shared" si="136"/>
        <v>5730.481078949957</v>
      </c>
      <c r="I456" s="356">
        <v>0</v>
      </c>
      <c r="J456" s="356">
        <v>0</v>
      </c>
      <c r="K456" s="356">
        <f t="shared" si="144"/>
        <v>-840.2617282584768</v>
      </c>
      <c r="L456" s="356">
        <f t="shared" si="137"/>
        <v>723523.2971152561</v>
      </c>
      <c r="N456" s="356">
        <f t="shared" si="145"/>
        <v>433</v>
      </c>
      <c r="O456" s="357">
        <f t="shared" si="150"/>
        <v>36</v>
      </c>
      <c r="P456" s="357">
        <f t="shared" si="151"/>
        <v>1</v>
      </c>
      <c r="Q456" s="357">
        <f t="shared" si="152"/>
        <v>36</v>
      </c>
      <c r="R456" s="356">
        <f t="shared" si="146"/>
        <v>22707666.56150997</v>
      </c>
      <c r="S456" s="356">
        <f>IF($G$17="si",S444*(1+$G$20),S444)</f>
        <v>10000</v>
      </c>
      <c r="U456" s="356">
        <f t="shared" si="153"/>
        <v>181153.86337849183</v>
      </c>
      <c r="V456" s="359">
        <f>V455*(1+$G$18)</f>
        <v>-362.7548063114372</v>
      </c>
      <c r="X456" s="359">
        <f t="shared" si="154"/>
        <v>-26562.210897295296</v>
      </c>
      <c r="Y456" s="356">
        <f t="shared" si="138"/>
        <v>22871895.459184855</v>
      </c>
      <c r="AA456" s="357">
        <f>+Bono!J456</f>
        <v>464204.77273554454</v>
      </c>
      <c r="AC456" s="378">
        <f t="shared" si="139"/>
        <v>36.083333333333336</v>
      </c>
      <c r="AD456" s="356">
        <f t="shared" si="140"/>
        <v>24059623.529035654</v>
      </c>
    </row>
    <row r="457" spans="1:30" x14ac:dyDescent="0.25">
      <c r="A457" s="356">
        <f t="shared" si="141"/>
        <v>36.166666666666664</v>
      </c>
      <c r="B457" s="356">
        <f t="shared" si="142"/>
        <v>434</v>
      </c>
      <c r="C457" s="357">
        <f t="shared" si="147"/>
        <v>36</v>
      </c>
      <c r="D457" s="357">
        <f t="shared" si="148"/>
        <v>2</v>
      </c>
      <c r="E457" s="357">
        <f t="shared" si="149"/>
        <v>65</v>
      </c>
      <c r="F457" s="356">
        <f t="shared" si="143"/>
        <v>723523.2971152561</v>
      </c>
      <c r="H457" s="356">
        <f t="shared" si="136"/>
        <v>5769.476374780514</v>
      </c>
      <c r="I457" s="356">
        <v>0</v>
      </c>
      <c r="J457" s="356">
        <v>0</v>
      </c>
      <c r="K457" s="356">
        <f t="shared" si="144"/>
        <v>-845.9796172484424</v>
      </c>
      <c r="L457" s="356">
        <f t="shared" si="137"/>
        <v>728446.7938727882</v>
      </c>
      <c r="N457" s="356">
        <f t="shared" si="145"/>
        <v>434</v>
      </c>
      <c r="O457" s="357">
        <f t="shared" si="150"/>
        <v>36</v>
      </c>
      <c r="P457" s="357">
        <f t="shared" si="151"/>
        <v>2</v>
      </c>
      <c r="Q457" s="357">
        <f t="shared" si="152"/>
        <v>36</v>
      </c>
      <c r="R457" s="356">
        <f t="shared" si="146"/>
        <v>22871895.459184855</v>
      </c>
      <c r="S457" s="356">
        <f>IF($G$4="mensual",S456,0)</f>
        <v>10000</v>
      </c>
      <c r="U457" s="356">
        <f t="shared" si="153"/>
        <v>182463.44767103542</v>
      </c>
      <c r="V457" s="359">
        <f t="shared" ref="V457:V520" si="155">V456</f>
        <v>-362.7548063114372</v>
      </c>
      <c r="X457" s="359">
        <f t="shared" si="154"/>
        <v>-26754.235536377513</v>
      </c>
      <c r="Y457" s="356">
        <f t="shared" si="138"/>
        <v>23037241.916513205</v>
      </c>
      <c r="AA457" s="357">
        <f>+Bono!J457</f>
        <v>467082.8961709258</v>
      </c>
      <c r="AC457" s="378">
        <f t="shared" si="139"/>
        <v>36.166666666666664</v>
      </c>
      <c r="AD457" s="356">
        <f t="shared" si="140"/>
        <v>24232771.60655692</v>
      </c>
    </row>
    <row r="458" spans="1:30" x14ac:dyDescent="0.25">
      <c r="A458" s="356">
        <f t="shared" si="141"/>
        <v>36.25</v>
      </c>
      <c r="B458" s="356">
        <f t="shared" si="142"/>
        <v>435</v>
      </c>
      <c r="C458" s="357">
        <f t="shared" si="147"/>
        <v>36</v>
      </c>
      <c r="D458" s="357">
        <f t="shared" si="148"/>
        <v>3</v>
      </c>
      <c r="E458" s="357">
        <f t="shared" si="149"/>
        <v>65</v>
      </c>
      <c r="F458" s="356">
        <f t="shared" si="143"/>
        <v>728446.7938727882</v>
      </c>
      <c r="H458" s="356">
        <f t="shared" si="136"/>
        <v>5808.7370293263275</v>
      </c>
      <c r="I458" s="356">
        <v>0</v>
      </c>
      <c r="J458" s="360">
        <f>-SUM(F458:H458)*$J$21*1.16</f>
        <v>-7665.627742618076</v>
      </c>
      <c r="K458" s="356">
        <f t="shared" si="144"/>
        <v>-842.8442876650159</v>
      </c>
      <c r="L458" s="356">
        <f t="shared" si="137"/>
        <v>725747.0588718315</v>
      </c>
      <c r="N458" s="356">
        <f t="shared" si="145"/>
        <v>435</v>
      </c>
      <c r="O458" s="357">
        <f t="shared" si="150"/>
        <v>36</v>
      </c>
      <c r="P458" s="357">
        <f t="shared" si="151"/>
        <v>3</v>
      </c>
      <c r="Q458" s="357">
        <f t="shared" si="152"/>
        <v>36</v>
      </c>
      <c r="R458" s="356">
        <f t="shared" si="146"/>
        <v>23037241.916513205</v>
      </c>
      <c r="S458" s="356">
        <f>IF($G$4="mensual",S457,0)</f>
        <v>10000</v>
      </c>
      <c r="U458" s="356">
        <f t="shared" si="153"/>
        <v>183781.9435411934</v>
      </c>
      <c r="V458" s="359">
        <f t="shared" si="155"/>
        <v>-362.7548063114372</v>
      </c>
      <c r="X458" s="359">
        <f t="shared" si="154"/>
        <v>-26947.566882087784</v>
      </c>
      <c r="Y458" s="356">
        <f t="shared" si="138"/>
        <v>23203713.538366</v>
      </c>
      <c r="AA458" s="357">
        <f>+Bono!J458</f>
        <v>465744.82048287656</v>
      </c>
      <c r="AC458" s="378">
        <f t="shared" si="139"/>
        <v>36.25</v>
      </c>
      <c r="AD458" s="356">
        <f t="shared" si="140"/>
        <v>24395205.41772071</v>
      </c>
    </row>
    <row r="459" spans="1:30" x14ac:dyDescent="0.25">
      <c r="A459" s="356">
        <f t="shared" si="141"/>
        <v>36.333333333333336</v>
      </c>
      <c r="B459" s="356">
        <f t="shared" si="142"/>
        <v>436</v>
      </c>
      <c r="C459" s="357">
        <f t="shared" si="147"/>
        <v>36</v>
      </c>
      <c r="D459" s="357">
        <f t="shared" si="148"/>
        <v>4</v>
      </c>
      <c r="E459" s="357">
        <f t="shared" si="149"/>
        <v>65</v>
      </c>
      <c r="F459" s="356">
        <f t="shared" si="143"/>
        <v>725747.0588718315</v>
      </c>
      <c r="H459" s="356">
        <f t="shared" si="136"/>
        <v>5787.208963307872</v>
      </c>
      <c r="I459" s="356">
        <v>0</v>
      </c>
      <c r="J459" s="356">
        <v>0</v>
      </c>
      <c r="K459" s="356">
        <f t="shared" si="144"/>
        <v>-848.5797506887617</v>
      </c>
      <c r="L459" s="356">
        <f t="shared" si="137"/>
        <v>730685.6880844507</v>
      </c>
      <c r="N459" s="356">
        <f t="shared" si="145"/>
        <v>436</v>
      </c>
      <c r="O459" s="357">
        <f t="shared" si="150"/>
        <v>36</v>
      </c>
      <c r="P459" s="357">
        <f t="shared" si="151"/>
        <v>4</v>
      </c>
      <c r="Q459" s="357">
        <f t="shared" si="152"/>
        <v>36</v>
      </c>
      <c r="R459" s="356">
        <f t="shared" si="146"/>
        <v>23203713.538366</v>
      </c>
      <c r="S459" s="356">
        <f>IF($G$4="mensual",S456,IF($G$4="trimestral",S456,0))</f>
        <v>10000</v>
      </c>
      <c r="U459" s="356">
        <f t="shared" si="153"/>
        <v>185109.411631275</v>
      </c>
      <c r="V459" s="359">
        <f t="shared" si="155"/>
        <v>-362.7548063114372</v>
      </c>
      <c r="X459" s="359">
        <f t="shared" si="154"/>
        <v>-27142.21382642152</v>
      </c>
      <c r="Y459" s="356">
        <f t="shared" si="138"/>
        <v>23371317.981364544</v>
      </c>
      <c r="AA459" s="357">
        <f>+Bono!J459</f>
        <v>468632.4923929258</v>
      </c>
      <c r="AC459" s="378">
        <f t="shared" si="139"/>
        <v>36.333333333333336</v>
      </c>
      <c r="AD459" s="356">
        <f t="shared" si="140"/>
        <v>24570636.16184192</v>
      </c>
    </row>
    <row r="460" spans="1:30" x14ac:dyDescent="0.25">
      <c r="A460" s="356">
        <f t="shared" si="141"/>
        <v>36.416666666666664</v>
      </c>
      <c r="B460" s="356">
        <f t="shared" si="142"/>
        <v>437</v>
      </c>
      <c r="C460" s="357">
        <f t="shared" si="147"/>
        <v>36</v>
      </c>
      <c r="D460" s="357">
        <f t="shared" si="148"/>
        <v>5</v>
      </c>
      <c r="E460" s="357">
        <f t="shared" si="149"/>
        <v>65</v>
      </c>
      <c r="F460" s="356">
        <f t="shared" si="143"/>
        <v>730685.6880844507</v>
      </c>
      <c r="H460" s="356">
        <f t="shared" si="136"/>
        <v>5826.590286175584</v>
      </c>
      <c r="I460" s="356">
        <v>0</v>
      </c>
      <c r="J460" s="356">
        <v>0</v>
      </c>
      <c r="K460" s="356">
        <f t="shared" si="144"/>
        <v>-854.3542429099265</v>
      </c>
      <c r="L460" s="356">
        <f t="shared" si="137"/>
        <v>735657.9241277163</v>
      </c>
      <c r="N460" s="356">
        <f t="shared" si="145"/>
        <v>437</v>
      </c>
      <c r="O460" s="357">
        <f t="shared" si="150"/>
        <v>36</v>
      </c>
      <c r="P460" s="357">
        <f t="shared" si="151"/>
        <v>5</v>
      </c>
      <c r="Q460" s="357">
        <f t="shared" si="152"/>
        <v>36</v>
      </c>
      <c r="R460" s="356">
        <f t="shared" si="146"/>
        <v>23371317.981364544</v>
      </c>
      <c r="S460" s="356">
        <f>IF($G$4="mensual",S459,0)</f>
        <v>10000</v>
      </c>
      <c r="U460" s="356">
        <f t="shared" si="153"/>
        <v>186445.91299625355</v>
      </c>
      <c r="V460" s="359">
        <f t="shared" si="155"/>
        <v>-362.7548063114372</v>
      </c>
      <c r="X460" s="359">
        <f t="shared" si="154"/>
        <v>-27338.185321883208</v>
      </c>
      <c r="Y460" s="356">
        <f t="shared" si="138"/>
        <v>23540062.954232607</v>
      </c>
      <c r="AA460" s="357">
        <f>+Bono!J460</f>
        <v>471538.06820376654</v>
      </c>
      <c r="AC460" s="378">
        <f t="shared" si="139"/>
        <v>36.416666666666664</v>
      </c>
      <c r="AD460" s="356">
        <f t="shared" si="140"/>
        <v>24747258.94656409</v>
      </c>
    </row>
    <row r="461" spans="1:30" x14ac:dyDescent="0.25">
      <c r="A461" s="356">
        <f t="shared" si="141"/>
        <v>36.5</v>
      </c>
      <c r="B461" s="356">
        <f t="shared" si="142"/>
        <v>438</v>
      </c>
      <c r="C461" s="357">
        <f t="shared" si="147"/>
        <v>36</v>
      </c>
      <c r="D461" s="357">
        <f t="shared" si="148"/>
        <v>6</v>
      </c>
      <c r="E461" s="357">
        <f t="shared" si="149"/>
        <v>65</v>
      </c>
      <c r="F461" s="356">
        <f t="shared" si="143"/>
        <v>735657.9241277163</v>
      </c>
      <c r="H461" s="356">
        <f t="shared" si="136"/>
        <v>5866.239594630241</v>
      </c>
      <c r="I461" s="356">
        <v>0</v>
      </c>
      <c r="J461" s="360">
        <f>-SUM(F461:H461)*$J$21*1.16</f>
        <v>-7741.512269261298</v>
      </c>
      <c r="K461" s="356">
        <f t="shared" si="144"/>
        <v>-851.1878756855788</v>
      </c>
      <c r="L461" s="356">
        <f t="shared" si="137"/>
        <v>732931.4635773996</v>
      </c>
      <c r="N461" s="356">
        <f t="shared" si="145"/>
        <v>438</v>
      </c>
      <c r="O461" s="357">
        <f t="shared" si="150"/>
        <v>36</v>
      </c>
      <c r="P461" s="357">
        <f t="shared" si="151"/>
        <v>6</v>
      </c>
      <c r="Q461" s="357">
        <f t="shared" si="152"/>
        <v>36</v>
      </c>
      <c r="R461" s="356">
        <f t="shared" si="146"/>
        <v>23540062.954232607</v>
      </c>
      <c r="S461" s="356">
        <f>IF($G$4="mensual",S460,0)</f>
        <v>10000</v>
      </c>
      <c r="U461" s="356">
        <f t="shared" si="153"/>
        <v>187791.50910657505</v>
      </c>
      <c r="V461" s="359">
        <f t="shared" si="155"/>
        <v>-362.7548063114372</v>
      </c>
      <c r="X461" s="359">
        <f t="shared" si="154"/>
        <v>-27535.490381898133</v>
      </c>
      <c r="Y461" s="356">
        <f t="shared" si="138"/>
        <v>23709956.218150977</v>
      </c>
      <c r="AA461" s="357">
        <f>+Bono!J461</f>
        <v>470187.22956200584</v>
      </c>
      <c r="AC461" s="378">
        <f t="shared" si="139"/>
        <v>36.5</v>
      </c>
      <c r="AD461" s="356">
        <f t="shared" si="140"/>
        <v>24913074.911290385</v>
      </c>
    </row>
    <row r="462" spans="1:30" x14ac:dyDescent="0.25">
      <c r="A462" s="356">
        <f t="shared" si="141"/>
        <v>36.583333333333336</v>
      </c>
      <c r="B462" s="356">
        <f t="shared" si="142"/>
        <v>439</v>
      </c>
      <c r="C462" s="357">
        <f t="shared" si="147"/>
        <v>36</v>
      </c>
      <c r="D462" s="357">
        <f t="shared" si="148"/>
        <v>7</v>
      </c>
      <c r="E462" s="357">
        <f t="shared" si="149"/>
        <v>65</v>
      </c>
      <c r="F462" s="356">
        <f t="shared" si="143"/>
        <v>732931.4635773996</v>
      </c>
      <c r="H462" s="356">
        <f t="shared" si="136"/>
        <v>5844.498415328149</v>
      </c>
      <c r="I462" s="356">
        <v>0</v>
      </c>
      <c r="J462" s="356">
        <v>0</v>
      </c>
      <c r="K462" s="356">
        <f t="shared" si="144"/>
        <v>-856.9801159115641</v>
      </c>
      <c r="L462" s="356">
        <f t="shared" si="137"/>
        <v>737918.9818768161</v>
      </c>
      <c r="N462" s="356">
        <f t="shared" si="145"/>
        <v>439</v>
      </c>
      <c r="O462" s="357">
        <f t="shared" si="150"/>
        <v>36</v>
      </c>
      <c r="P462" s="357">
        <f t="shared" si="151"/>
        <v>7</v>
      </c>
      <c r="Q462" s="357">
        <f t="shared" si="152"/>
        <v>36</v>
      </c>
      <c r="R462" s="356">
        <f t="shared" si="146"/>
        <v>23709956.218150977</v>
      </c>
      <c r="S462" s="356">
        <f>+IF($G$4="mensual",S456,IF($G$4="trimestral",S456,IF($G$4="semestral",S456,0)))</f>
        <v>10000</v>
      </c>
      <c r="U462" s="356">
        <f t="shared" si="153"/>
        <v>189146.26185098494</v>
      </c>
      <c r="V462" s="359">
        <f t="shared" si="155"/>
        <v>-362.7548063114372</v>
      </c>
      <c r="X462" s="359">
        <f t="shared" si="154"/>
        <v>-27734.138081226956</v>
      </c>
      <c r="Y462" s="356">
        <f t="shared" si="138"/>
        <v>23881005.587114427</v>
      </c>
      <c r="AA462" s="357">
        <f>+Bono!J462</f>
        <v>473102.44492363324</v>
      </c>
      <c r="AC462" s="378">
        <f t="shared" si="139"/>
        <v>36.583333333333336</v>
      </c>
      <c r="AD462" s="356">
        <f t="shared" si="140"/>
        <v>25092027.013914876</v>
      </c>
    </row>
    <row r="463" spans="1:30" x14ac:dyDescent="0.25">
      <c r="A463" s="356">
        <f t="shared" si="141"/>
        <v>36.666666666666664</v>
      </c>
      <c r="B463" s="356">
        <f t="shared" si="142"/>
        <v>440</v>
      </c>
      <c r="C463" s="357">
        <f t="shared" si="147"/>
        <v>36</v>
      </c>
      <c r="D463" s="357">
        <f t="shared" si="148"/>
        <v>8</v>
      </c>
      <c r="E463" s="357">
        <f t="shared" si="149"/>
        <v>65</v>
      </c>
      <c r="F463" s="356">
        <f t="shared" si="143"/>
        <v>737918.9818768161</v>
      </c>
      <c r="H463" s="356">
        <f t="shared" si="136"/>
        <v>5884.269586639423</v>
      </c>
      <c r="I463" s="356">
        <v>0</v>
      </c>
      <c r="J463" s="356">
        <v>0</v>
      </c>
      <c r="K463" s="356">
        <f t="shared" si="144"/>
        <v>-862.8117716976084</v>
      </c>
      <c r="L463" s="356">
        <f t="shared" si="137"/>
        <v>742940.439691758</v>
      </c>
      <c r="N463" s="356">
        <f t="shared" si="145"/>
        <v>440</v>
      </c>
      <c r="O463" s="357">
        <f t="shared" si="150"/>
        <v>36</v>
      </c>
      <c r="P463" s="357">
        <f t="shared" si="151"/>
        <v>8</v>
      </c>
      <c r="Q463" s="357">
        <f t="shared" si="152"/>
        <v>36</v>
      </c>
      <c r="R463" s="356">
        <f t="shared" si="146"/>
        <v>23881005.587114427</v>
      </c>
      <c r="S463" s="356">
        <f>IF($G$4="mensual",S462,0)</f>
        <v>10000</v>
      </c>
      <c r="U463" s="356">
        <f t="shared" si="153"/>
        <v>190510.23353937487</v>
      </c>
      <c r="V463" s="359">
        <f t="shared" si="155"/>
        <v>-362.7548063114372</v>
      </c>
      <c r="X463" s="359">
        <f t="shared" si="154"/>
        <v>-27934.13755638309</v>
      </c>
      <c r="Y463" s="356">
        <f t="shared" si="138"/>
        <v>24053218.928291112</v>
      </c>
      <c r="AA463" s="357">
        <f>+Bono!J463</f>
        <v>476035.7349586468</v>
      </c>
      <c r="AC463" s="378">
        <f t="shared" si="139"/>
        <v>36.666666666666664</v>
      </c>
      <c r="AD463" s="356">
        <f t="shared" si="140"/>
        <v>25272195.10294152</v>
      </c>
    </row>
    <row r="464" spans="1:30" x14ac:dyDescent="0.25">
      <c r="A464" s="356">
        <f t="shared" si="141"/>
        <v>36.75</v>
      </c>
      <c r="B464" s="356">
        <f t="shared" si="142"/>
        <v>441</v>
      </c>
      <c r="C464" s="357">
        <f t="shared" si="147"/>
        <v>36</v>
      </c>
      <c r="D464" s="357">
        <f t="shared" si="148"/>
        <v>9</v>
      </c>
      <c r="E464" s="357">
        <f t="shared" si="149"/>
        <v>65</v>
      </c>
      <c r="F464" s="356">
        <f t="shared" si="143"/>
        <v>742940.439691758</v>
      </c>
      <c r="H464" s="356">
        <f t="shared" si="136"/>
        <v>5924.311396413586</v>
      </c>
      <c r="I464" s="356">
        <v>0</v>
      </c>
      <c r="J464" s="360">
        <f>-SUM(F464:H464)*$J$21*1.16</f>
        <v>-7818.148001360512</v>
      </c>
      <c r="K464" s="356">
        <f t="shared" si="144"/>
        <v>-859.6140595807009</v>
      </c>
      <c r="L464" s="356">
        <f t="shared" si="137"/>
        <v>740186.9890272304</v>
      </c>
      <c r="N464" s="356">
        <f t="shared" si="145"/>
        <v>441</v>
      </c>
      <c r="O464" s="357">
        <f t="shared" si="150"/>
        <v>36</v>
      </c>
      <c r="P464" s="357">
        <f t="shared" si="151"/>
        <v>9</v>
      </c>
      <c r="Q464" s="357">
        <f t="shared" si="152"/>
        <v>36</v>
      </c>
      <c r="R464" s="356">
        <f t="shared" si="146"/>
        <v>24053218.928291112</v>
      </c>
      <c r="S464" s="356">
        <f>IF($G$4="mensual",S463,0)</f>
        <v>10000</v>
      </c>
      <c r="U464" s="356">
        <f t="shared" si="153"/>
        <v>191883.48690564846</v>
      </c>
      <c r="V464" s="359">
        <f t="shared" si="155"/>
        <v>-362.7548063114372</v>
      </c>
      <c r="X464" s="359">
        <f t="shared" si="154"/>
        <v>-28135.498006052923</v>
      </c>
      <c r="Y464" s="356">
        <f t="shared" si="138"/>
        <v>24226604.1623844</v>
      </c>
      <c r="AA464" s="357">
        <f>+Bono!J464</f>
        <v>474672.0116264233</v>
      </c>
      <c r="AC464" s="378">
        <f t="shared" si="139"/>
        <v>36.75</v>
      </c>
      <c r="AD464" s="356">
        <f t="shared" si="140"/>
        <v>25441463.163038053</v>
      </c>
    </row>
    <row r="465" spans="1:30" x14ac:dyDescent="0.25">
      <c r="A465" s="356">
        <f t="shared" si="141"/>
        <v>36.833333333333336</v>
      </c>
      <c r="B465" s="356">
        <f t="shared" si="142"/>
        <v>442</v>
      </c>
      <c r="C465" s="357">
        <f t="shared" si="147"/>
        <v>36</v>
      </c>
      <c r="D465" s="357">
        <f t="shared" si="148"/>
        <v>10</v>
      </c>
      <c r="E465" s="357">
        <f t="shared" si="149"/>
        <v>65</v>
      </c>
      <c r="F465" s="356">
        <f t="shared" si="143"/>
        <v>740186.9890272304</v>
      </c>
      <c r="H465" s="356">
        <f t="shared" si="136"/>
        <v>5902.354994150585</v>
      </c>
      <c r="I465" s="356">
        <v>0</v>
      </c>
      <c r="J465" s="356">
        <v>0</v>
      </c>
      <c r="K465" s="356">
        <f t="shared" si="144"/>
        <v>-865.463639064802</v>
      </c>
      <c r="L465" s="356">
        <f t="shared" si="137"/>
        <v>745223.8803823162</v>
      </c>
      <c r="N465" s="356">
        <f t="shared" si="145"/>
        <v>442</v>
      </c>
      <c r="O465" s="357">
        <f t="shared" si="150"/>
        <v>36</v>
      </c>
      <c r="P465" s="357">
        <f t="shared" si="151"/>
        <v>10</v>
      </c>
      <c r="Q465" s="357">
        <f t="shared" si="152"/>
        <v>36</v>
      </c>
      <c r="R465" s="356">
        <f t="shared" si="146"/>
        <v>24226604.1623844</v>
      </c>
      <c r="S465" s="356">
        <f>IF($G$4="mensual",S456,IF($G$4="trimestral",S456,0))</f>
        <v>10000</v>
      </c>
      <c r="U465" s="356">
        <f t="shared" si="153"/>
        <v>193266.08511060668</v>
      </c>
      <c r="V465" s="359">
        <f t="shared" si="155"/>
        <v>-362.7548063114372</v>
      </c>
      <c r="X465" s="359">
        <f t="shared" si="154"/>
        <v>-28338.22869151889</v>
      </c>
      <c r="Y465" s="356">
        <f t="shared" si="138"/>
        <v>24401169.26399718</v>
      </c>
      <c r="AA465" s="357">
        <f>+Bono!J465</f>
        <v>477615.0331570526</v>
      </c>
      <c r="AC465" s="378">
        <f t="shared" si="139"/>
        <v>36.833333333333336</v>
      </c>
      <c r="AD465" s="356">
        <f t="shared" si="140"/>
        <v>25624008.177536547</v>
      </c>
    </row>
    <row r="466" spans="1:30" x14ac:dyDescent="0.25">
      <c r="A466" s="356">
        <f t="shared" si="141"/>
        <v>36.916666666666664</v>
      </c>
      <c r="B466" s="356">
        <f t="shared" si="142"/>
        <v>443</v>
      </c>
      <c r="C466" s="357">
        <f t="shared" si="147"/>
        <v>36</v>
      </c>
      <c r="D466" s="357">
        <f t="shared" si="148"/>
        <v>11</v>
      </c>
      <c r="E466" s="357">
        <f t="shared" si="149"/>
        <v>65</v>
      </c>
      <c r="F466" s="356">
        <f t="shared" si="143"/>
        <v>745223.8803823162</v>
      </c>
      <c r="H466" s="356">
        <f t="shared" si="136"/>
        <v>5942.51987314117</v>
      </c>
      <c r="I466" s="356">
        <v>0</v>
      </c>
      <c r="J466" s="356">
        <v>0</v>
      </c>
      <c r="K466" s="356">
        <f t="shared" si="144"/>
        <v>-871.3530242963304</v>
      </c>
      <c r="L466" s="356">
        <f t="shared" si="137"/>
        <v>750295.047231161</v>
      </c>
      <c r="N466" s="356">
        <f t="shared" si="145"/>
        <v>443</v>
      </c>
      <c r="O466" s="357">
        <f t="shared" si="150"/>
        <v>36</v>
      </c>
      <c r="P466" s="357">
        <f t="shared" si="151"/>
        <v>11</v>
      </c>
      <c r="Q466" s="357">
        <f t="shared" si="152"/>
        <v>36</v>
      </c>
      <c r="R466" s="356">
        <f t="shared" si="146"/>
        <v>24401169.26399718</v>
      </c>
      <c r="S466" s="356">
        <f>IF($G$17="si",S454*(1+$G$20),S454)</f>
        <v>10000</v>
      </c>
      <c r="U466" s="356">
        <f t="shared" si="153"/>
        <v>194658.09174485286</v>
      </c>
      <c r="V466" s="359">
        <f t="shared" si="155"/>
        <v>-362.7548063114372</v>
      </c>
      <c r="X466" s="359">
        <f t="shared" si="154"/>
        <v>-28542.338937085435</v>
      </c>
      <c r="Y466" s="356">
        <f t="shared" si="138"/>
        <v>24576922.261998635</v>
      </c>
      <c r="AA466" s="357">
        <f>+Bono!J466</f>
        <v>480576.3017625411</v>
      </c>
      <c r="AC466" s="378">
        <f t="shared" si="139"/>
        <v>36.916666666666664</v>
      </c>
      <c r="AD466" s="356">
        <f t="shared" si="140"/>
        <v>25807793.610992335</v>
      </c>
    </row>
    <row r="467" spans="1:30" x14ac:dyDescent="0.25">
      <c r="A467" s="356">
        <f t="shared" si="141"/>
        <v>37</v>
      </c>
      <c r="B467" s="356">
        <f t="shared" si="142"/>
        <v>444</v>
      </c>
      <c r="C467" s="357">
        <f t="shared" si="147"/>
        <v>36</v>
      </c>
      <c r="D467" s="357">
        <f t="shared" si="148"/>
        <v>12</v>
      </c>
      <c r="E467" s="357">
        <f t="shared" si="149"/>
        <v>65</v>
      </c>
      <c r="F467" s="356">
        <f t="shared" si="143"/>
        <v>750295.047231161</v>
      </c>
      <c r="H467" s="356">
        <f t="shared" si="136"/>
        <v>5982.958069732261</v>
      </c>
      <c r="I467" s="356">
        <v>0</v>
      </c>
      <c r="J467" s="360">
        <f>-SUM(F467:H467)*$J$21*1.16</f>
        <v>-7895.542375341327</v>
      </c>
      <c r="K467" s="356">
        <f t="shared" si="144"/>
        <v>-868.1236569936403</v>
      </c>
      <c r="L467" s="356">
        <f t="shared" si="137"/>
        <v>747514.3392685584</v>
      </c>
      <c r="N467" s="356">
        <f t="shared" si="145"/>
        <v>444</v>
      </c>
      <c r="O467" s="357">
        <f t="shared" si="150"/>
        <v>36</v>
      </c>
      <c r="P467" s="357">
        <f t="shared" si="151"/>
        <v>12</v>
      </c>
      <c r="Q467" s="357">
        <f t="shared" si="152"/>
        <v>36</v>
      </c>
      <c r="R467" s="356">
        <f t="shared" si="146"/>
        <v>24576922.261998635</v>
      </c>
      <c r="S467" s="356">
        <f>IF($G$4="mensual",S466,0)</f>
        <v>10000</v>
      </c>
      <c r="U467" s="356">
        <f t="shared" si="153"/>
        <v>196059.5708317173</v>
      </c>
      <c r="V467" s="359">
        <f t="shared" si="155"/>
        <v>-362.7548063114372</v>
      </c>
      <c r="X467" s="359">
        <f t="shared" si="154"/>
        <v>-28747.838130507887</v>
      </c>
      <c r="Y467" s="356">
        <f t="shared" si="138"/>
        <v>24753871.239893533</v>
      </c>
      <c r="AA467" s="357">
        <f>+Bono!J467</f>
        <v>479199.5708419428</v>
      </c>
      <c r="AC467" s="378">
        <f t="shared" si="139"/>
        <v>37</v>
      </c>
      <c r="AD467" s="356">
        <f t="shared" si="140"/>
        <v>25980585.150004033</v>
      </c>
    </row>
    <row r="468" spans="1:30" x14ac:dyDescent="0.25">
      <c r="A468" s="356">
        <f t="shared" si="141"/>
        <v>37.083333333333336</v>
      </c>
      <c r="B468" s="356">
        <f t="shared" si="142"/>
        <v>445</v>
      </c>
      <c r="C468" s="357">
        <f t="shared" si="147"/>
        <v>37</v>
      </c>
      <c r="D468" s="357">
        <f t="shared" si="148"/>
        <v>1</v>
      </c>
      <c r="E468" s="357">
        <f t="shared" si="149"/>
        <v>66</v>
      </c>
      <c r="F468" s="356">
        <f t="shared" si="143"/>
        <v>747514.3392685584</v>
      </c>
      <c r="H468" s="356">
        <f t="shared" si="136"/>
        <v>5960.784313946697</v>
      </c>
      <c r="I468" s="356">
        <v>0</v>
      </c>
      <c r="J468" s="356">
        <v>0</v>
      </c>
      <c r="K468" s="356">
        <f t="shared" si="144"/>
        <v>-874.0311433557059</v>
      </c>
      <c r="L468" s="356">
        <f t="shared" si="137"/>
        <v>752601.0924391495</v>
      </c>
      <c r="N468" s="356">
        <f t="shared" si="145"/>
        <v>445</v>
      </c>
      <c r="O468" s="357">
        <f t="shared" si="150"/>
        <v>37</v>
      </c>
      <c r="P468" s="357">
        <f t="shared" si="151"/>
        <v>1</v>
      </c>
      <c r="Q468" s="357">
        <f t="shared" si="152"/>
        <v>37</v>
      </c>
      <c r="R468" s="356">
        <f t="shared" si="146"/>
        <v>24753871.239893533</v>
      </c>
      <c r="S468" s="356">
        <f>IF($G$17="si",S456*(1+$G$20),S456)</f>
        <v>10000</v>
      </c>
      <c r="U468" s="356">
        <f t="shared" si="153"/>
        <v>197470.5868302022</v>
      </c>
      <c r="V468" s="359">
        <f>V467*(1+$G$18)</f>
        <v>-377.2649985638947</v>
      </c>
      <c r="X468" s="359">
        <f t="shared" si="154"/>
        <v>-28954.7188916012</v>
      </c>
      <c r="Y468" s="356">
        <f t="shared" si="138"/>
        <v>24932009.84283357</v>
      </c>
      <c r="AA468" s="357">
        <f>+Bono!J468</f>
        <v>482170.66376487265</v>
      </c>
      <c r="AC468" s="378">
        <f t="shared" si="139"/>
        <v>37.083333333333336</v>
      </c>
      <c r="AD468" s="356">
        <f t="shared" si="140"/>
        <v>26166781.59903759</v>
      </c>
    </row>
    <row r="469" spans="1:30" x14ac:dyDescent="0.25">
      <c r="A469" s="356">
        <f t="shared" si="141"/>
        <v>37.166666666666664</v>
      </c>
      <c r="B469" s="356">
        <f t="shared" si="142"/>
        <v>446</v>
      </c>
      <c r="C469" s="357">
        <f t="shared" si="147"/>
        <v>37</v>
      </c>
      <c r="D469" s="357">
        <f t="shared" si="148"/>
        <v>2</v>
      </c>
      <c r="E469" s="357">
        <f t="shared" si="149"/>
        <v>66</v>
      </c>
      <c r="F469" s="356">
        <f t="shared" si="143"/>
        <v>752601.0924391495</v>
      </c>
      <c r="H469" s="356">
        <f t="shared" si="136"/>
        <v>6001.346798056161</v>
      </c>
      <c r="I469" s="356">
        <v>0</v>
      </c>
      <c r="J469" s="356">
        <v>0</v>
      </c>
      <c r="K469" s="356">
        <f t="shared" si="144"/>
        <v>-879.9788295151585</v>
      </c>
      <c r="L469" s="356">
        <f t="shared" si="137"/>
        <v>757722.4604076905</v>
      </c>
      <c r="N469" s="356">
        <f t="shared" si="145"/>
        <v>446</v>
      </c>
      <c r="O469" s="357">
        <f t="shared" si="150"/>
        <v>37</v>
      </c>
      <c r="P469" s="357">
        <f t="shared" si="151"/>
        <v>2</v>
      </c>
      <c r="Q469" s="357">
        <f t="shared" si="152"/>
        <v>37</v>
      </c>
      <c r="R469" s="356">
        <f t="shared" si="146"/>
        <v>24932009.84283357</v>
      </c>
      <c r="S469" s="356">
        <f>IF($G$4="mensual",S468,0)</f>
        <v>10000</v>
      </c>
      <c r="U469" s="356">
        <f t="shared" si="153"/>
        <v>198891.08906585482</v>
      </c>
      <c r="V469" s="359">
        <f t="shared" si="155"/>
        <v>-377.2649985638947</v>
      </c>
      <c r="X469" s="359">
        <f t="shared" si="154"/>
        <v>-29163.007453604998</v>
      </c>
      <c r="Y469" s="356">
        <f t="shared" si="138"/>
        <v>25111360.659447256</v>
      </c>
      <c r="AA469" s="357">
        <f>+Bono!J469</f>
        <v>485160.1778085501</v>
      </c>
      <c r="AC469" s="378">
        <f t="shared" si="139"/>
        <v>37.166666666666664</v>
      </c>
      <c r="AD469" s="356">
        <f t="shared" si="140"/>
        <v>26354243.297663495</v>
      </c>
    </row>
    <row r="470" spans="1:30" x14ac:dyDescent="0.25">
      <c r="A470" s="356">
        <f t="shared" si="141"/>
        <v>37.25</v>
      </c>
      <c r="B470" s="356">
        <f t="shared" si="142"/>
        <v>447</v>
      </c>
      <c r="C470" s="357">
        <f t="shared" si="147"/>
        <v>37</v>
      </c>
      <c r="D470" s="357">
        <f t="shared" si="148"/>
        <v>3</v>
      </c>
      <c r="E470" s="357">
        <f t="shared" si="149"/>
        <v>66</v>
      </c>
      <c r="F470" s="356">
        <f t="shared" si="143"/>
        <v>757722.4604076905</v>
      </c>
      <c r="H470" s="356">
        <f t="shared" si="136"/>
        <v>6042.185305425397</v>
      </c>
      <c r="I470" s="356">
        <v>0</v>
      </c>
      <c r="J470" s="360">
        <f>-SUM(F470:H470)*$J$21*1.16</f>
        <v>-7973.70290124493</v>
      </c>
      <c r="K470" s="356">
        <f t="shared" si="144"/>
        <v>-876.7174936617703</v>
      </c>
      <c r="L470" s="356">
        <f t="shared" si="137"/>
        <v>754914.2253182092</v>
      </c>
      <c r="N470" s="356">
        <f t="shared" si="145"/>
        <v>447</v>
      </c>
      <c r="O470" s="357">
        <f t="shared" si="150"/>
        <v>37</v>
      </c>
      <c r="P470" s="357">
        <f t="shared" si="151"/>
        <v>3</v>
      </c>
      <c r="Q470" s="357">
        <f t="shared" si="152"/>
        <v>37</v>
      </c>
      <c r="R470" s="356">
        <f t="shared" si="146"/>
        <v>25111360.659447256</v>
      </c>
      <c r="S470" s="356">
        <f>IF($G$4="mensual",S469,0)</f>
        <v>10000</v>
      </c>
      <c r="U470" s="356">
        <f t="shared" si="153"/>
        <v>200321.2576635709</v>
      </c>
      <c r="V470" s="359">
        <f t="shared" si="155"/>
        <v>-377.2649985638947</v>
      </c>
      <c r="X470" s="359">
        <f t="shared" si="154"/>
        <v>-29372.713396450225</v>
      </c>
      <c r="Y470" s="356">
        <f t="shared" si="138"/>
        <v>25291931.938715816</v>
      </c>
      <c r="AA470" s="357">
        <f>+Bono!J470</f>
        <v>483770.3152294294</v>
      </c>
      <c r="AC470" s="378">
        <f t="shared" si="139"/>
        <v>37.25</v>
      </c>
      <c r="AD470" s="356">
        <f t="shared" si="140"/>
        <v>26530616.479263455</v>
      </c>
    </row>
    <row r="471" spans="1:30" x14ac:dyDescent="0.25">
      <c r="A471" s="356">
        <f t="shared" si="141"/>
        <v>37.333333333333336</v>
      </c>
      <c r="B471" s="356">
        <f t="shared" si="142"/>
        <v>448</v>
      </c>
      <c r="C471" s="357">
        <f t="shared" si="147"/>
        <v>37</v>
      </c>
      <c r="D471" s="357">
        <f t="shared" si="148"/>
        <v>4</v>
      </c>
      <c r="E471" s="357">
        <f t="shared" si="149"/>
        <v>66</v>
      </c>
      <c r="F471" s="356">
        <f t="shared" si="143"/>
        <v>754914.2253182092</v>
      </c>
      <c r="H471" s="356">
        <f t="shared" si="136"/>
        <v>6019.792044464497</v>
      </c>
      <c r="I471" s="356">
        <v>0</v>
      </c>
      <c r="J471" s="356">
        <v>0</v>
      </c>
      <c r="K471" s="356">
        <f t="shared" si="144"/>
        <v>-882.6834601407014</v>
      </c>
      <c r="L471" s="356">
        <f t="shared" si="137"/>
        <v>760051.3339025329</v>
      </c>
      <c r="N471" s="356">
        <f t="shared" si="145"/>
        <v>448</v>
      </c>
      <c r="O471" s="357">
        <f t="shared" si="150"/>
        <v>37</v>
      </c>
      <c r="P471" s="357">
        <f t="shared" si="151"/>
        <v>4</v>
      </c>
      <c r="Q471" s="357">
        <f t="shared" si="152"/>
        <v>37</v>
      </c>
      <c r="R471" s="356">
        <f t="shared" si="146"/>
        <v>25291931.938715816</v>
      </c>
      <c r="S471" s="356">
        <f>IF($G$4="mensual",S468,IF($G$4="trimestral",S468,0))</f>
        <v>10000</v>
      </c>
      <c r="U471" s="356">
        <f t="shared" si="153"/>
        <v>201761.1584018852</v>
      </c>
      <c r="V471" s="359">
        <f t="shared" si="155"/>
        <v>-377.2649985638947</v>
      </c>
      <c r="X471" s="359">
        <f t="shared" si="154"/>
        <v>-29583.846365258196</v>
      </c>
      <c r="Y471" s="356">
        <f t="shared" si="138"/>
        <v>25473731.98575388</v>
      </c>
      <c r="AA471" s="357">
        <f>+Bono!J471</f>
        <v>486769.74729773524</v>
      </c>
      <c r="AC471" s="378">
        <f t="shared" si="139"/>
        <v>37.333333333333336</v>
      </c>
      <c r="AD471" s="356">
        <f t="shared" si="140"/>
        <v>26720553.066954147</v>
      </c>
    </row>
    <row r="472" spans="1:30" x14ac:dyDescent="0.25">
      <c r="A472" s="356">
        <f t="shared" si="141"/>
        <v>37.416666666666664</v>
      </c>
      <c r="B472" s="356">
        <f t="shared" si="142"/>
        <v>449</v>
      </c>
      <c r="C472" s="357">
        <f t="shared" si="147"/>
        <v>37</v>
      </c>
      <c r="D472" s="357">
        <f t="shared" si="148"/>
        <v>5</v>
      </c>
      <c r="E472" s="357">
        <f t="shared" si="149"/>
        <v>66</v>
      </c>
      <c r="F472" s="356">
        <f t="shared" si="143"/>
        <v>760051.3339025329</v>
      </c>
      <c r="H472" s="356">
        <f t="shared" ref="H472:H535" si="156">SUM(F472:G472)*$G$8</f>
        <v>6060.756069714422</v>
      </c>
      <c r="I472" s="356">
        <v>0</v>
      </c>
      <c r="J472" s="356">
        <v>0</v>
      </c>
      <c r="K472" s="356">
        <f t="shared" si="144"/>
        <v>-888.6900243678069</v>
      </c>
      <c r="L472" s="356">
        <f t="shared" ref="L472:L535" si="157">SUM(F472:K472)</f>
        <v>765223.3999478796</v>
      </c>
      <c r="N472" s="356">
        <f t="shared" si="145"/>
        <v>449</v>
      </c>
      <c r="O472" s="357">
        <f t="shared" si="150"/>
        <v>37</v>
      </c>
      <c r="P472" s="357">
        <f t="shared" si="151"/>
        <v>5</v>
      </c>
      <c r="Q472" s="357">
        <f t="shared" si="152"/>
        <v>37</v>
      </c>
      <c r="R472" s="356">
        <f t="shared" si="146"/>
        <v>25473731.98575388</v>
      </c>
      <c r="S472" s="356">
        <f>IF($G$4="mensual",S471,0)</f>
        <v>10000</v>
      </c>
      <c r="U472" s="356">
        <f t="shared" si="153"/>
        <v>203210.857506948</v>
      </c>
      <c r="V472" s="359">
        <f t="shared" si="155"/>
        <v>-377.2649985638947</v>
      </c>
      <c r="X472" s="359">
        <f t="shared" si="154"/>
        <v>-29796.416070784227</v>
      </c>
      <c r="Y472" s="356">
        <f t="shared" ref="Y472:Y535" si="158">SUM(R472:X472)</f>
        <v>25656769.16219148</v>
      </c>
      <c r="AA472" s="357">
        <f>+Bono!J472</f>
        <v>489787.77619277715</v>
      </c>
      <c r="AC472" s="378">
        <f t="shared" ref="AC472:AC535" si="159">+B472/12</f>
        <v>37.416666666666664</v>
      </c>
      <c r="AD472" s="356">
        <f t="shared" ref="AD472:AD535" si="160">+AA472+Y472+L472</f>
        <v>26911780.338332135</v>
      </c>
    </row>
    <row r="473" spans="1:30" x14ac:dyDescent="0.25">
      <c r="A473" s="356">
        <f t="shared" ref="A473:A536" si="161">+B473/12</f>
        <v>37.5</v>
      </c>
      <c r="B473" s="356">
        <f t="shared" ref="B473:B536" si="162">+B472+1</f>
        <v>450</v>
      </c>
      <c r="C473" s="357">
        <f t="shared" si="147"/>
        <v>37</v>
      </c>
      <c r="D473" s="357">
        <f t="shared" si="148"/>
        <v>6</v>
      </c>
      <c r="E473" s="357">
        <f t="shared" si="149"/>
        <v>66</v>
      </c>
      <c r="F473" s="356">
        <f t="shared" ref="F473:F536" si="163">L472</f>
        <v>765223.3999478796</v>
      </c>
      <c r="H473" s="356">
        <f t="shared" si="156"/>
        <v>6101.998850667582</v>
      </c>
      <c r="I473" s="356">
        <v>0</v>
      </c>
      <c r="J473" s="360">
        <f>-SUM(F473:H473)*$J$21*1.16</f>
        <v>-8052.637163456833</v>
      </c>
      <c r="K473" s="356">
        <f t="shared" ref="K473:K536" si="164">-SUM(F473:J473)*0.1%*1.16</f>
        <v>-885.3964034967047</v>
      </c>
      <c r="L473" s="356">
        <f t="shared" si="157"/>
        <v>762387.3652315936</v>
      </c>
      <c r="N473" s="356">
        <f t="shared" ref="N473:N536" si="165">+N472+1</f>
        <v>450</v>
      </c>
      <c r="O473" s="357">
        <f t="shared" si="150"/>
        <v>37</v>
      </c>
      <c r="P473" s="357">
        <f t="shared" si="151"/>
        <v>6</v>
      </c>
      <c r="Q473" s="357">
        <f t="shared" si="152"/>
        <v>37</v>
      </c>
      <c r="R473" s="356">
        <f t="shared" ref="R473:R536" si="166">Y472</f>
        <v>25656769.16219148</v>
      </c>
      <c r="S473" s="356">
        <f>IF($G$4="mensual",S472,0)</f>
        <v>10000</v>
      </c>
      <c r="U473" s="356">
        <f t="shared" si="153"/>
        <v>204670.4216555715</v>
      </c>
      <c r="V473" s="359">
        <f t="shared" si="155"/>
        <v>-377.2649985638947</v>
      </c>
      <c r="X473" s="359">
        <f t="shared" si="154"/>
        <v>-30010.432289864246</v>
      </c>
      <c r="Y473" s="356">
        <f t="shared" si="158"/>
        <v>25841051.886558626</v>
      </c>
      <c r="AA473" s="357">
        <f>+Bono!J473</f>
        <v>488384.6567015692</v>
      </c>
      <c r="AC473" s="378">
        <f t="shared" si="159"/>
        <v>37.5</v>
      </c>
      <c r="AD473" s="356">
        <f t="shared" si="160"/>
        <v>27091823.908491787</v>
      </c>
    </row>
    <row r="474" spans="1:30" x14ac:dyDescent="0.25">
      <c r="A474" s="356">
        <f t="shared" si="161"/>
        <v>37.583333333333336</v>
      </c>
      <c r="B474" s="356">
        <f t="shared" si="162"/>
        <v>451</v>
      </c>
      <c r="C474" s="357">
        <f t="shared" si="147"/>
        <v>37</v>
      </c>
      <c r="D474" s="357">
        <f t="shared" si="148"/>
        <v>7</v>
      </c>
      <c r="E474" s="357">
        <f t="shared" si="149"/>
        <v>66</v>
      </c>
      <c r="F474" s="356">
        <f t="shared" si="163"/>
        <v>762387.3652315936</v>
      </c>
      <c r="H474" s="356">
        <f t="shared" si="156"/>
        <v>6079.38391157867</v>
      </c>
      <c r="I474" s="356">
        <v>0</v>
      </c>
      <c r="J474" s="356">
        <v>0</v>
      </c>
      <c r="K474" s="356">
        <f t="shared" si="164"/>
        <v>-891.4214290060797</v>
      </c>
      <c r="L474" s="356">
        <f t="shared" si="157"/>
        <v>767575.3277141663</v>
      </c>
      <c r="N474" s="356">
        <f t="shared" si="165"/>
        <v>451</v>
      </c>
      <c r="O474" s="357">
        <f t="shared" si="150"/>
        <v>37</v>
      </c>
      <c r="P474" s="357">
        <f t="shared" si="151"/>
        <v>7</v>
      </c>
      <c r="Q474" s="357">
        <f t="shared" si="152"/>
        <v>37</v>
      </c>
      <c r="R474" s="356">
        <f t="shared" si="166"/>
        <v>25841051.886558626</v>
      </c>
      <c r="S474" s="356">
        <f>+IF($G$4="mensual",S468,IF($G$4="trimestral",S468,IF($G$4="semestral",S468,0)))</f>
        <v>10000</v>
      </c>
      <c r="U474" s="356">
        <f t="shared" si="153"/>
        <v>206139.91797829606</v>
      </c>
      <c r="V474" s="359">
        <f t="shared" si="155"/>
        <v>-377.2649985638947</v>
      </c>
      <c r="X474" s="359">
        <f t="shared" si="154"/>
        <v>-30225.904865864497</v>
      </c>
      <c r="Y474" s="356">
        <f t="shared" si="158"/>
        <v>26026588.634672496</v>
      </c>
      <c r="AA474" s="357">
        <f>+Bono!J474</f>
        <v>491412.6982222328</v>
      </c>
      <c r="AC474" s="378">
        <f t="shared" si="159"/>
        <v>37.583333333333336</v>
      </c>
      <c r="AD474" s="356">
        <f t="shared" si="160"/>
        <v>27285576.660608895</v>
      </c>
    </row>
    <row r="475" spans="1:30" x14ac:dyDescent="0.25">
      <c r="A475" s="356">
        <f t="shared" si="161"/>
        <v>37.666666666666664</v>
      </c>
      <c r="B475" s="356">
        <f t="shared" si="162"/>
        <v>452</v>
      </c>
      <c r="C475" s="357">
        <f t="shared" si="147"/>
        <v>37</v>
      </c>
      <c r="D475" s="357">
        <f t="shared" si="148"/>
        <v>8</v>
      </c>
      <c r="E475" s="357">
        <f t="shared" si="149"/>
        <v>66</v>
      </c>
      <c r="F475" s="356">
        <f t="shared" si="163"/>
        <v>767575.3277141663</v>
      </c>
      <c r="H475" s="356">
        <f t="shared" si="156"/>
        <v>6120.753452954589</v>
      </c>
      <c r="I475" s="356">
        <v>0</v>
      </c>
      <c r="J475" s="356">
        <v>0</v>
      </c>
      <c r="K475" s="356">
        <f t="shared" si="164"/>
        <v>-897.4874541538601</v>
      </c>
      <c r="L475" s="356">
        <f t="shared" si="157"/>
        <v>772798.593712967</v>
      </c>
      <c r="N475" s="356">
        <f t="shared" si="165"/>
        <v>452</v>
      </c>
      <c r="O475" s="357">
        <f t="shared" si="150"/>
        <v>37</v>
      </c>
      <c r="P475" s="357">
        <f t="shared" si="151"/>
        <v>8</v>
      </c>
      <c r="Q475" s="357">
        <f t="shared" si="152"/>
        <v>37</v>
      </c>
      <c r="R475" s="356">
        <f t="shared" si="166"/>
        <v>26026588.634672496</v>
      </c>
      <c r="S475" s="356">
        <f>IF($G$4="mensual",S474,0)</f>
        <v>10000</v>
      </c>
      <c r="U475" s="356">
        <f t="shared" si="153"/>
        <v>207619.4140624782</v>
      </c>
      <c r="V475" s="359">
        <f t="shared" si="155"/>
        <v>-377.2649985638947</v>
      </c>
      <c r="X475" s="359">
        <f t="shared" si="154"/>
        <v>-30442.843709134235</v>
      </c>
      <c r="Y475" s="356">
        <f t="shared" si="158"/>
        <v>26213387.940027278</v>
      </c>
      <c r="AA475" s="357">
        <f>+Bono!J475</f>
        <v>494459.5139515556</v>
      </c>
      <c r="AC475" s="378">
        <f t="shared" si="159"/>
        <v>37.666666666666664</v>
      </c>
      <c r="AD475" s="356">
        <f t="shared" si="160"/>
        <v>27480646.0476918</v>
      </c>
    </row>
    <row r="476" spans="1:30" x14ac:dyDescent="0.25">
      <c r="A476" s="356">
        <f t="shared" si="161"/>
        <v>37.75</v>
      </c>
      <c r="B476" s="356">
        <f t="shared" si="162"/>
        <v>453</v>
      </c>
      <c r="C476" s="357">
        <f t="shared" si="147"/>
        <v>37</v>
      </c>
      <c r="D476" s="357">
        <f t="shared" si="148"/>
        <v>9</v>
      </c>
      <c r="E476" s="357">
        <f t="shared" si="149"/>
        <v>66</v>
      </c>
      <c r="F476" s="356">
        <f t="shared" si="163"/>
        <v>772798.593712967</v>
      </c>
      <c r="H476" s="356">
        <f t="shared" si="156"/>
        <v>6162.404509526545</v>
      </c>
      <c r="I476" s="356">
        <v>0</v>
      </c>
      <c r="J476" s="360">
        <f>-SUM(F476:H476)*$J$21*1.16</f>
        <v>-8132.352821442833</v>
      </c>
      <c r="K476" s="356">
        <f t="shared" si="164"/>
        <v>-894.1612286652188</v>
      </c>
      <c r="L476" s="356">
        <f t="shared" si="157"/>
        <v>769934.4841723854</v>
      </c>
      <c r="N476" s="356">
        <f t="shared" si="165"/>
        <v>453</v>
      </c>
      <c r="O476" s="357">
        <f t="shared" si="150"/>
        <v>37</v>
      </c>
      <c r="P476" s="357">
        <f t="shared" si="151"/>
        <v>9</v>
      </c>
      <c r="Q476" s="357">
        <f t="shared" si="152"/>
        <v>37</v>
      </c>
      <c r="R476" s="356">
        <f t="shared" si="166"/>
        <v>26213387.940027278</v>
      </c>
      <c r="S476" s="356">
        <f>IF($G$4="mensual",S475,0)</f>
        <v>10000</v>
      </c>
      <c r="U476" s="356">
        <f t="shared" si="153"/>
        <v>209108.9779553989</v>
      </c>
      <c r="V476" s="359">
        <f t="shared" si="155"/>
        <v>-377.2649985638947</v>
      </c>
      <c r="X476" s="359">
        <f t="shared" si="154"/>
        <v>-30661.25879746157</v>
      </c>
      <c r="Y476" s="356">
        <f t="shared" si="158"/>
        <v>26401458.39418665</v>
      </c>
      <c r="AA476" s="357">
        <f>+Bono!J476</f>
        <v>493043.0110999908</v>
      </c>
      <c r="AC476" s="378">
        <f t="shared" si="159"/>
        <v>37.75</v>
      </c>
      <c r="AD476" s="356">
        <f t="shared" si="160"/>
        <v>27664435.889459025</v>
      </c>
    </row>
    <row r="477" spans="1:30" x14ac:dyDescent="0.25">
      <c r="A477" s="356">
        <f t="shared" si="161"/>
        <v>37.833333333333336</v>
      </c>
      <c r="B477" s="356">
        <f t="shared" si="162"/>
        <v>454</v>
      </c>
      <c r="C477" s="357">
        <f t="shared" si="147"/>
        <v>37</v>
      </c>
      <c r="D477" s="357">
        <f t="shared" si="148"/>
        <v>10</v>
      </c>
      <c r="E477" s="357">
        <f t="shared" si="149"/>
        <v>66</v>
      </c>
      <c r="F477" s="356">
        <f t="shared" si="163"/>
        <v>769934.4841723854</v>
      </c>
      <c r="H477" s="356">
        <f t="shared" si="156"/>
        <v>6139.565697846184</v>
      </c>
      <c r="I477" s="356">
        <v>0</v>
      </c>
      <c r="J477" s="356">
        <v>0</v>
      </c>
      <c r="K477" s="356">
        <f t="shared" si="164"/>
        <v>-900.2458978494686</v>
      </c>
      <c r="L477" s="356">
        <f t="shared" si="157"/>
        <v>775173.8039723822</v>
      </c>
      <c r="N477" s="356">
        <f t="shared" si="165"/>
        <v>454</v>
      </c>
      <c r="O477" s="357">
        <f t="shared" si="150"/>
        <v>37</v>
      </c>
      <c r="P477" s="357">
        <f t="shared" si="151"/>
        <v>10</v>
      </c>
      <c r="Q477" s="357">
        <f t="shared" si="152"/>
        <v>37</v>
      </c>
      <c r="R477" s="356">
        <f t="shared" si="166"/>
        <v>26401458.39418665</v>
      </c>
      <c r="S477" s="356">
        <f>IF($G$4="mensual",S468,IF($G$4="trimestral",S468,0))</f>
        <v>10000</v>
      </c>
      <c r="U477" s="356">
        <f t="shared" si="153"/>
        <v>210608.67816739346</v>
      </c>
      <c r="V477" s="359">
        <f t="shared" si="155"/>
        <v>-377.2649985638947</v>
      </c>
      <c r="X477" s="359">
        <f t="shared" si="154"/>
        <v>-30881.160176532358</v>
      </c>
      <c r="Y477" s="356">
        <f t="shared" si="158"/>
        <v>26590808.647178948</v>
      </c>
      <c r="AA477" s="357">
        <f>+Bono!J477</f>
        <v>496099.9349582603</v>
      </c>
      <c r="AC477" s="378">
        <f t="shared" si="159"/>
        <v>37.833333333333336</v>
      </c>
      <c r="AD477" s="356">
        <f t="shared" si="160"/>
        <v>27862082.38610959</v>
      </c>
    </row>
    <row r="478" spans="1:30" x14ac:dyDescent="0.25">
      <c r="A478" s="356">
        <f t="shared" si="161"/>
        <v>37.916666666666664</v>
      </c>
      <c r="B478" s="356">
        <f t="shared" si="162"/>
        <v>455</v>
      </c>
      <c r="C478" s="357">
        <f t="shared" si="147"/>
        <v>37</v>
      </c>
      <c r="D478" s="357">
        <f t="shared" si="148"/>
        <v>11</v>
      </c>
      <c r="E478" s="357">
        <f t="shared" si="149"/>
        <v>66</v>
      </c>
      <c r="F478" s="356">
        <f t="shared" si="163"/>
        <v>775173.8039723822</v>
      </c>
      <c r="H478" s="356">
        <f t="shared" si="156"/>
        <v>6181.3447696832945</v>
      </c>
      <c r="I478" s="356">
        <v>0</v>
      </c>
      <c r="J478" s="356">
        <v>0</v>
      </c>
      <c r="K478" s="356">
        <f t="shared" si="164"/>
        <v>-906.371972540796</v>
      </c>
      <c r="L478" s="356">
        <f t="shared" si="157"/>
        <v>780448.7767695248</v>
      </c>
      <c r="N478" s="356">
        <f t="shared" si="165"/>
        <v>455</v>
      </c>
      <c r="O478" s="357">
        <f t="shared" si="150"/>
        <v>37</v>
      </c>
      <c r="P478" s="357">
        <f t="shared" si="151"/>
        <v>11</v>
      </c>
      <c r="Q478" s="357">
        <f t="shared" si="152"/>
        <v>37</v>
      </c>
      <c r="R478" s="356">
        <f t="shared" si="166"/>
        <v>26590808.647178948</v>
      </c>
      <c r="S478" s="356">
        <f>IF($G$17="si",S466*(1+$G$20),S466)</f>
        <v>10000</v>
      </c>
      <c r="U478" s="356">
        <f t="shared" si="153"/>
        <v>212118.5836750025</v>
      </c>
      <c r="V478" s="359">
        <f t="shared" si="155"/>
        <v>-377.2649985638947</v>
      </c>
      <c r="X478" s="359">
        <f t="shared" si="154"/>
        <v>-31102.557960392245</v>
      </c>
      <c r="Y478" s="356">
        <f t="shared" si="158"/>
        <v>26781447.407894995</v>
      </c>
      <c r="AA478" s="357">
        <f>+Bono!J478</f>
        <v>499175.8120990322</v>
      </c>
      <c r="AC478" s="378">
        <f t="shared" si="159"/>
        <v>37.916666666666664</v>
      </c>
      <c r="AD478" s="356">
        <f t="shared" si="160"/>
        <v>28061071.996763553</v>
      </c>
    </row>
    <row r="479" spans="1:30" x14ac:dyDescent="0.25">
      <c r="A479" s="356">
        <f t="shared" si="161"/>
        <v>38</v>
      </c>
      <c r="B479" s="356">
        <f t="shared" si="162"/>
        <v>456</v>
      </c>
      <c r="C479" s="357">
        <f t="shared" si="147"/>
        <v>37</v>
      </c>
      <c r="D479" s="357">
        <f t="shared" si="148"/>
        <v>12</v>
      </c>
      <c r="E479" s="357">
        <f t="shared" si="149"/>
        <v>66</v>
      </c>
      <c r="F479" s="356">
        <f t="shared" si="163"/>
        <v>780448.7767695248</v>
      </c>
      <c r="H479" s="356">
        <f t="shared" si="156"/>
        <v>6223.408143526357</v>
      </c>
      <c r="I479" s="356">
        <v>0</v>
      </c>
      <c r="J479" s="360">
        <f>-SUM(F479:H479)*$J$21*1.16</f>
        <v>-8212.857610492254</v>
      </c>
      <c r="K479" s="356">
        <f t="shared" si="164"/>
        <v>-903.0128196709683</v>
      </c>
      <c r="L479" s="356">
        <f t="shared" si="157"/>
        <v>777556.314482888</v>
      </c>
      <c r="N479" s="356">
        <f t="shared" si="165"/>
        <v>456</v>
      </c>
      <c r="O479" s="357">
        <f t="shared" si="150"/>
        <v>37</v>
      </c>
      <c r="P479" s="357">
        <f t="shared" si="151"/>
        <v>12</v>
      </c>
      <c r="Q479" s="357">
        <f t="shared" si="152"/>
        <v>37</v>
      </c>
      <c r="R479" s="356">
        <f t="shared" si="166"/>
        <v>26781447.407894995</v>
      </c>
      <c r="S479" s="356">
        <f>IF($G$4="mensual",S478,0)</f>
        <v>10000</v>
      </c>
      <c r="U479" s="356">
        <f t="shared" si="153"/>
        <v>213638.76392414444</v>
      </c>
      <c r="V479" s="359">
        <f t="shared" si="155"/>
        <v>-377.2649985638947</v>
      </c>
      <c r="X479" s="359">
        <f t="shared" si="154"/>
        <v>-31325.46233191187</v>
      </c>
      <c r="Y479" s="356">
        <f t="shared" si="158"/>
        <v>26973383.444488663</v>
      </c>
      <c r="AA479" s="357">
        <f>+Bono!J479</f>
        <v>497745.7982327408</v>
      </c>
      <c r="AC479" s="378">
        <f t="shared" si="159"/>
        <v>38</v>
      </c>
      <c r="AD479" s="356">
        <f t="shared" si="160"/>
        <v>28248685.55720429</v>
      </c>
    </row>
    <row r="480" spans="1:30" x14ac:dyDescent="0.25">
      <c r="A480" s="356">
        <f t="shared" si="161"/>
        <v>38.083333333333336</v>
      </c>
      <c r="B480" s="356">
        <f t="shared" si="162"/>
        <v>457</v>
      </c>
      <c r="C480" s="357">
        <f t="shared" si="147"/>
        <v>38</v>
      </c>
      <c r="D480" s="357">
        <f t="shared" si="148"/>
        <v>1</v>
      </c>
      <c r="E480" s="357">
        <f t="shared" si="149"/>
        <v>67</v>
      </c>
      <c r="F480" s="356">
        <f t="shared" si="163"/>
        <v>777556.314482888</v>
      </c>
      <c r="H480" s="356">
        <f t="shared" si="156"/>
        <v>6200.343243067407</v>
      </c>
      <c r="I480" s="356">
        <v>0</v>
      </c>
      <c r="J480" s="356">
        <v>0</v>
      </c>
      <c r="K480" s="356">
        <f t="shared" si="164"/>
        <v>-909.1577229621082</v>
      </c>
      <c r="L480" s="356">
        <f t="shared" si="157"/>
        <v>782847.5000029933</v>
      </c>
      <c r="N480" s="356">
        <f t="shared" si="165"/>
        <v>457</v>
      </c>
      <c r="O480" s="357">
        <f t="shared" si="150"/>
        <v>38</v>
      </c>
      <c r="P480" s="357">
        <f t="shared" si="151"/>
        <v>1</v>
      </c>
      <c r="Q480" s="357">
        <f t="shared" si="152"/>
        <v>38</v>
      </c>
      <c r="R480" s="356">
        <f t="shared" si="166"/>
        <v>26973383.444488663</v>
      </c>
      <c r="S480" s="356">
        <f>IF($G$17="si",S468*(1+$G$20),S468)</f>
        <v>10000</v>
      </c>
      <c r="U480" s="356">
        <f t="shared" si="153"/>
        <v>215169.28883330955</v>
      </c>
      <c r="V480" s="359">
        <f>V479*(1+$G$18)</f>
        <v>-392.3555985064505</v>
      </c>
      <c r="X480" s="359">
        <f t="shared" si="154"/>
        <v>-31549.86603815922</v>
      </c>
      <c r="Y480" s="356">
        <f t="shared" si="158"/>
        <v>27166610.511685308</v>
      </c>
      <c r="AA480" s="357">
        <f>+Bono!J480</f>
        <v>500831.8799167228</v>
      </c>
      <c r="AC480" s="378">
        <f t="shared" si="159"/>
        <v>38.083333333333336</v>
      </c>
      <c r="AD480" s="356">
        <f t="shared" si="160"/>
        <v>28450289.891605027</v>
      </c>
    </row>
    <row r="481" spans="1:30" x14ac:dyDescent="0.25">
      <c r="A481" s="356">
        <f t="shared" si="161"/>
        <v>38.166666666666664</v>
      </c>
      <c r="B481" s="356">
        <f t="shared" si="162"/>
        <v>458</v>
      </c>
      <c r="C481" s="357">
        <f t="shared" si="147"/>
        <v>38</v>
      </c>
      <c r="D481" s="357">
        <f t="shared" si="148"/>
        <v>2</v>
      </c>
      <c r="E481" s="357">
        <f t="shared" si="149"/>
        <v>67</v>
      </c>
      <c r="F481" s="356">
        <f t="shared" si="163"/>
        <v>782847.5000029933</v>
      </c>
      <c r="H481" s="356">
        <f t="shared" si="156"/>
        <v>6242.535899440109</v>
      </c>
      <c r="I481" s="356">
        <v>0</v>
      </c>
      <c r="J481" s="356">
        <v>0</v>
      </c>
      <c r="K481" s="356">
        <f t="shared" si="164"/>
        <v>-915.3444416468226</v>
      </c>
      <c r="L481" s="356">
        <f t="shared" si="157"/>
        <v>788174.6914607865</v>
      </c>
      <c r="N481" s="356">
        <f t="shared" si="165"/>
        <v>458</v>
      </c>
      <c r="O481" s="357">
        <f t="shared" si="150"/>
        <v>38</v>
      </c>
      <c r="P481" s="357">
        <f t="shared" si="151"/>
        <v>2</v>
      </c>
      <c r="Q481" s="357">
        <f t="shared" si="152"/>
        <v>38</v>
      </c>
      <c r="R481" s="356">
        <f t="shared" si="166"/>
        <v>27166610.511685308</v>
      </c>
      <c r="S481" s="356">
        <f>IF($G$4="mensual",S480,0)</f>
        <v>10000</v>
      </c>
      <c r="U481" s="356">
        <f t="shared" si="153"/>
        <v>216710.10860180084</v>
      </c>
      <c r="V481" s="359">
        <f t="shared" si="155"/>
        <v>-392.3555985064505</v>
      </c>
      <c r="X481" s="359">
        <f t="shared" si="154"/>
        <v>-31775.79678703878</v>
      </c>
      <c r="Y481" s="356">
        <f t="shared" si="158"/>
        <v>27361152.467901565</v>
      </c>
      <c r="AA481" s="357">
        <f>+Bono!J481</f>
        <v>503937.0956651089</v>
      </c>
      <c r="AC481" s="378">
        <f t="shared" si="159"/>
        <v>38.166666666666664</v>
      </c>
      <c r="AD481" s="356">
        <f t="shared" si="160"/>
        <v>28653264.25502746</v>
      </c>
    </row>
    <row r="482" spans="1:30" x14ac:dyDescent="0.25">
      <c r="A482" s="356">
        <f t="shared" si="161"/>
        <v>38.25</v>
      </c>
      <c r="B482" s="356">
        <f t="shared" si="162"/>
        <v>459</v>
      </c>
      <c r="C482" s="357">
        <f t="shared" si="147"/>
        <v>38</v>
      </c>
      <c r="D482" s="357">
        <f t="shared" si="148"/>
        <v>3</v>
      </c>
      <c r="E482" s="357">
        <f t="shared" si="149"/>
        <v>67</v>
      </c>
      <c r="F482" s="356">
        <f t="shared" si="163"/>
        <v>788174.6914607865</v>
      </c>
      <c r="H482" s="356">
        <f t="shared" si="156"/>
        <v>6285.015672216208</v>
      </c>
      <c r="I482" s="356">
        <v>0</v>
      </c>
      <c r="J482" s="360">
        <f>-SUM(F482:H482)*$J$21*1.16</f>
        <v>-8294.159342468549</v>
      </c>
      <c r="K482" s="356">
        <f t="shared" si="164"/>
        <v>-911.9520354370195</v>
      </c>
      <c r="L482" s="356">
        <f t="shared" si="157"/>
        <v>785253.5957550971</v>
      </c>
      <c r="N482" s="356">
        <f t="shared" si="165"/>
        <v>459</v>
      </c>
      <c r="O482" s="357">
        <f t="shared" si="150"/>
        <v>38</v>
      </c>
      <c r="P482" s="357">
        <f t="shared" si="151"/>
        <v>3</v>
      </c>
      <c r="Q482" s="357">
        <f t="shared" si="152"/>
        <v>38</v>
      </c>
      <c r="R482" s="356">
        <f t="shared" si="166"/>
        <v>27361152.467901565</v>
      </c>
      <c r="S482" s="356">
        <f>IF($G$4="mensual",S481,0)</f>
        <v>10000</v>
      </c>
      <c r="U482" s="356">
        <f t="shared" si="153"/>
        <v>218261.4134799829</v>
      </c>
      <c r="V482" s="359">
        <f t="shared" si="155"/>
        <v>-392.3555985064505</v>
      </c>
      <c r="X482" s="359">
        <f t="shared" si="154"/>
        <v>-32003.264969908327</v>
      </c>
      <c r="Y482" s="356">
        <f t="shared" si="158"/>
        <v>27557018.260813136</v>
      </c>
      <c r="AA482" s="357">
        <f>+Bono!J482</f>
        <v>502493.4419121166</v>
      </c>
      <c r="AC482" s="378">
        <f t="shared" si="159"/>
        <v>38.25</v>
      </c>
      <c r="AD482" s="356">
        <f t="shared" si="160"/>
        <v>28844765.29848035</v>
      </c>
    </row>
    <row r="483" spans="1:30" x14ac:dyDescent="0.25">
      <c r="A483" s="356">
        <f t="shared" si="161"/>
        <v>38.333333333333336</v>
      </c>
      <c r="B483" s="356">
        <f t="shared" si="162"/>
        <v>460</v>
      </c>
      <c r="C483" s="357">
        <f t="shared" si="147"/>
        <v>38</v>
      </c>
      <c r="D483" s="357">
        <f t="shared" si="148"/>
        <v>4</v>
      </c>
      <c r="E483" s="357">
        <f t="shared" si="149"/>
        <v>67</v>
      </c>
      <c r="F483" s="356">
        <f t="shared" si="163"/>
        <v>785253.5957550971</v>
      </c>
      <c r="H483" s="356">
        <f t="shared" si="156"/>
        <v>6261.722444852773</v>
      </c>
      <c r="I483" s="356">
        <v>0</v>
      </c>
      <c r="J483" s="356">
        <v>0</v>
      </c>
      <c r="K483" s="356">
        <f t="shared" si="164"/>
        <v>-918.1577691119418</v>
      </c>
      <c r="L483" s="356">
        <f t="shared" si="157"/>
        <v>790597.160430838</v>
      </c>
      <c r="N483" s="356">
        <f t="shared" si="165"/>
        <v>460</v>
      </c>
      <c r="O483" s="357">
        <f t="shared" si="150"/>
        <v>38</v>
      </c>
      <c r="P483" s="357">
        <f t="shared" si="151"/>
        <v>4</v>
      </c>
      <c r="Q483" s="357">
        <f t="shared" si="152"/>
        <v>38</v>
      </c>
      <c r="R483" s="356">
        <f t="shared" si="166"/>
        <v>27557018.260813136</v>
      </c>
      <c r="S483" s="356">
        <f>IF($G$4="mensual",S480,IF($G$4="trimestral",S480,0))</f>
        <v>10000</v>
      </c>
      <c r="U483" s="356">
        <f t="shared" si="153"/>
        <v>219823.27481787835</v>
      </c>
      <c r="V483" s="359">
        <f t="shared" si="155"/>
        <v>-392.3555985064505</v>
      </c>
      <c r="X483" s="359">
        <f t="shared" si="154"/>
        <v>-32232.281048837707</v>
      </c>
      <c r="Y483" s="356">
        <f t="shared" si="158"/>
        <v>27754216.89898367</v>
      </c>
      <c r="AA483" s="357">
        <f>+Bono!J483</f>
        <v>505608.95953760337</v>
      </c>
      <c r="AC483" s="378">
        <f t="shared" si="159"/>
        <v>38.333333333333336</v>
      </c>
      <c r="AD483" s="356">
        <f t="shared" si="160"/>
        <v>29050423.01895211</v>
      </c>
    </row>
    <row r="484" spans="1:30" x14ac:dyDescent="0.25">
      <c r="A484" s="356">
        <f t="shared" si="161"/>
        <v>38.416666666666664</v>
      </c>
      <c r="B484" s="356">
        <f t="shared" si="162"/>
        <v>461</v>
      </c>
      <c r="C484" s="357">
        <f t="shared" ref="C484:C547" si="167">C472+1</f>
        <v>38</v>
      </c>
      <c r="D484" s="357">
        <f t="shared" ref="D484:D547" si="168">D472</f>
        <v>5</v>
      </c>
      <c r="E484" s="357">
        <f t="shared" ref="E484:E547" si="169">E472+1</f>
        <v>67</v>
      </c>
      <c r="F484" s="356">
        <f t="shared" si="163"/>
        <v>790597.160430838</v>
      </c>
      <c r="H484" s="356">
        <f t="shared" si="156"/>
        <v>6304.332779968061</v>
      </c>
      <c r="I484" s="356">
        <v>0</v>
      </c>
      <c r="J484" s="356">
        <v>0</v>
      </c>
      <c r="K484" s="356">
        <f t="shared" si="164"/>
        <v>-924.405732124535</v>
      </c>
      <c r="L484" s="356">
        <f t="shared" si="157"/>
        <v>795977.0874786815</v>
      </c>
      <c r="N484" s="356">
        <f t="shared" si="165"/>
        <v>461</v>
      </c>
      <c r="O484" s="357">
        <f t="shared" ref="O484:O547" si="170">O472+1</f>
        <v>38</v>
      </c>
      <c r="P484" s="357">
        <f t="shared" ref="P484:P547" si="171">P472</f>
        <v>5</v>
      </c>
      <c r="Q484" s="357">
        <f t="shared" ref="Q484:Q547" si="172">Q472+1</f>
        <v>38</v>
      </c>
      <c r="R484" s="356">
        <f t="shared" si="166"/>
        <v>27754216.89898367</v>
      </c>
      <c r="S484" s="356">
        <f>IF($G$4="mensual",S483,0)</f>
        <v>10000</v>
      </c>
      <c r="U484" s="356">
        <f t="shared" ref="U484:U547" si="173">SUM(R484:T484)*$G$8</f>
        <v>221395.76445103876</v>
      </c>
      <c r="V484" s="359">
        <f t="shared" si="155"/>
        <v>-392.3555985064505</v>
      </c>
      <c r="X484" s="359">
        <f t="shared" si="154"/>
        <v>-32462.855557089988</v>
      </c>
      <c r="Y484" s="356">
        <f t="shared" si="158"/>
        <v>27952757.45227911</v>
      </c>
      <c r="AA484" s="357">
        <f>+Bono!J484</f>
        <v>508743.7937337458</v>
      </c>
      <c r="AC484" s="378">
        <f t="shared" si="159"/>
        <v>38.416666666666664</v>
      </c>
      <c r="AD484" s="356">
        <f t="shared" si="160"/>
        <v>29257478.333491538</v>
      </c>
    </row>
    <row r="485" spans="1:30" x14ac:dyDescent="0.25">
      <c r="A485" s="356">
        <f t="shared" si="161"/>
        <v>38.5</v>
      </c>
      <c r="B485" s="356">
        <f t="shared" si="162"/>
        <v>462</v>
      </c>
      <c r="C485" s="357">
        <f t="shared" si="167"/>
        <v>38</v>
      </c>
      <c r="D485" s="357">
        <f t="shared" si="168"/>
        <v>6</v>
      </c>
      <c r="E485" s="357">
        <f t="shared" si="169"/>
        <v>67</v>
      </c>
      <c r="F485" s="356">
        <f t="shared" si="163"/>
        <v>795977.0874786815</v>
      </c>
      <c r="H485" s="356">
        <f t="shared" si="156"/>
        <v>6347.233073744822</v>
      </c>
      <c r="I485" s="356">
        <v>0</v>
      </c>
      <c r="J485" s="360">
        <f>-SUM(F485:H485)*$J$21*1.16</f>
        <v>-8376.26590656733</v>
      </c>
      <c r="K485" s="356">
        <f t="shared" si="164"/>
        <v>-920.9797433891963</v>
      </c>
      <c r="L485" s="356">
        <f t="shared" si="157"/>
        <v>793027.0749024698</v>
      </c>
      <c r="N485" s="356">
        <f t="shared" si="165"/>
        <v>462</v>
      </c>
      <c r="O485" s="357">
        <f t="shared" si="170"/>
        <v>38</v>
      </c>
      <c r="P485" s="357">
        <f t="shared" si="171"/>
        <v>6</v>
      </c>
      <c r="Q485" s="357">
        <f t="shared" si="172"/>
        <v>38</v>
      </c>
      <c r="R485" s="356">
        <f t="shared" si="166"/>
        <v>27952757.45227911</v>
      </c>
      <c r="S485" s="356">
        <f>IF($G$4="mensual",S484,0)</f>
        <v>10000</v>
      </c>
      <c r="U485" s="356">
        <f t="shared" si="173"/>
        <v>222978.95470384887</v>
      </c>
      <c r="V485" s="359">
        <f t="shared" si="155"/>
        <v>-392.3555985064505</v>
      </c>
      <c r="X485" s="359">
        <f t="shared" si="154"/>
        <v>-32694.999099605964</v>
      </c>
      <c r="Y485" s="356">
        <f t="shared" si="158"/>
        <v>28152649.052284848</v>
      </c>
      <c r="AA485" s="357">
        <f>+Bono!J485</f>
        <v>507286.3699928603</v>
      </c>
      <c r="AC485" s="378">
        <f t="shared" si="159"/>
        <v>38.5</v>
      </c>
      <c r="AD485" s="356">
        <f t="shared" si="160"/>
        <v>29452962.49718018</v>
      </c>
    </row>
    <row r="486" spans="1:30" x14ac:dyDescent="0.25">
      <c r="A486" s="356">
        <f t="shared" si="161"/>
        <v>38.583333333333336</v>
      </c>
      <c r="B486" s="356">
        <f t="shared" si="162"/>
        <v>463</v>
      </c>
      <c r="C486" s="357">
        <f t="shared" si="167"/>
        <v>38</v>
      </c>
      <c r="D486" s="357">
        <f t="shared" si="168"/>
        <v>7</v>
      </c>
      <c r="E486" s="357">
        <f t="shared" si="169"/>
        <v>67</v>
      </c>
      <c r="F486" s="356">
        <f t="shared" si="163"/>
        <v>793027.0749024698</v>
      </c>
      <c r="H486" s="356">
        <f t="shared" si="156"/>
        <v>6323.709259195078</v>
      </c>
      <c r="I486" s="356">
        <v>0</v>
      </c>
      <c r="J486" s="356">
        <v>0</v>
      </c>
      <c r="K486" s="356">
        <f t="shared" si="164"/>
        <v>-927.2469096275312</v>
      </c>
      <c r="L486" s="356">
        <f t="shared" si="157"/>
        <v>798423.5372520372</v>
      </c>
      <c r="N486" s="356">
        <f t="shared" si="165"/>
        <v>463</v>
      </c>
      <c r="O486" s="357">
        <f t="shared" si="170"/>
        <v>38</v>
      </c>
      <c r="P486" s="357">
        <f t="shared" si="171"/>
        <v>7</v>
      </c>
      <c r="Q486" s="357">
        <f t="shared" si="172"/>
        <v>38</v>
      </c>
      <c r="R486" s="356">
        <f t="shared" si="166"/>
        <v>28152649.052284848</v>
      </c>
      <c r="S486" s="356">
        <f>+IF($G$4="mensual",S480,IF($G$4="trimestral",S480,IF($G$4="semestral",S480,0)))</f>
        <v>10000</v>
      </c>
      <c r="U486" s="356">
        <f t="shared" si="173"/>
        <v>224572.91839285288</v>
      </c>
      <c r="V486" s="359">
        <f t="shared" si="155"/>
        <v>-392.3555985064505</v>
      </c>
      <c r="X486" s="359">
        <f t="shared" si="154"/>
        <v>-32928.72235349186</v>
      </c>
      <c r="Y486" s="356">
        <f t="shared" si="158"/>
        <v>28353900.892725702</v>
      </c>
      <c r="AA486" s="357">
        <f>+Bono!J486</f>
        <v>510431.60432839295</v>
      </c>
      <c r="AC486" s="378">
        <f t="shared" si="159"/>
        <v>38.583333333333336</v>
      </c>
      <c r="AD486" s="356">
        <f t="shared" si="160"/>
        <v>29662756.034306135</v>
      </c>
    </row>
    <row r="487" spans="1:30" x14ac:dyDescent="0.25">
      <c r="A487" s="356">
        <f t="shared" si="161"/>
        <v>38.666666666666664</v>
      </c>
      <c r="B487" s="356">
        <f t="shared" si="162"/>
        <v>464</v>
      </c>
      <c r="C487" s="357">
        <f t="shared" si="167"/>
        <v>38</v>
      </c>
      <c r="D487" s="357">
        <f t="shared" si="168"/>
        <v>8</v>
      </c>
      <c r="E487" s="357">
        <f t="shared" si="169"/>
        <v>67</v>
      </c>
      <c r="F487" s="356">
        <f t="shared" si="163"/>
        <v>798423.5372520372</v>
      </c>
      <c r="H487" s="356">
        <f t="shared" si="156"/>
        <v>6366.74140778982</v>
      </c>
      <c r="I487" s="356">
        <v>0</v>
      </c>
      <c r="J487" s="356">
        <v>0</v>
      </c>
      <c r="K487" s="356">
        <f t="shared" si="164"/>
        <v>-933.5567232453993</v>
      </c>
      <c r="L487" s="356">
        <f t="shared" si="157"/>
        <v>803856.7219365817</v>
      </c>
      <c r="N487" s="356">
        <f t="shared" si="165"/>
        <v>464</v>
      </c>
      <c r="O487" s="357">
        <f t="shared" si="170"/>
        <v>38</v>
      </c>
      <c r="P487" s="357">
        <f t="shared" si="171"/>
        <v>8</v>
      </c>
      <c r="Q487" s="357">
        <f t="shared" si="172"/>
        <v>38</v>
      </c>
      <c r="R487" s="356">
        <f t="shared" si="166"/>
        <v>28353900.892725702</v>
      </c>
      <c r="S487" s="356">
        <f>IF($G$4="mensual",S486,0)</f>
        <v>10000</v>
      </c>
      <c r="U487" s="356">
        <f t="shared" si="173"/>
        <v>226177.7288301036</v>
      </c>
      <c r="V487" s="359">
        <f t="shared" si="155"/>
        <v>-392.3555985064505</v>
      </c>
      <c r="X487" s="359">
        <f t="shared" si="154"/>
        <v>-33164.03606851047</v>
      </c>
      <c r="Y487" s="356">
        <f t="shared" si="158"/>
        <v>28556522.22988879</v>
      </c>
      <c r="AA487" s="357">
        <f>+Bono!J487</f>
        <v>513596.3394816305</v>
      </c>
      <c r="AC487" s="378">
        <f t="shared" si="159"/>
        <v>38.666666666666664</v>
      </c>
      <c r="AD487" s="356">
        <f t="shared" si="160"/>
        <v>29873975.291307002</v>
      </c>
    </row>
    <row r="488" spans="1:30" x14ac:dyDescent="0.25">
      <c r="A488" s="356">
        <f t="shared" si="161"/>
        <v>38.75</v>
      </c>
      <c r="B488" s="356">
        <f t="shared" si="162"/>
        <v>465</v>
      </c>
      <c r="C488" s="357">
        <f t="shared" si="167"/>
        <v>38</v>
      </c>
      <c r="D488" s="357">
        <f t="shared" si="168"/>
        <v>9</v>
      </c>
      <c r="E488" s="357">
        <f t="shared" si="169"/>
        <v>67</v>
      </c>
      <c r="F488" s="356">
        <f t="shared" si="163"/>
        <v>803856.7219365817</v>
      </c>
      <c r="H488" s="356">
        <f t="shared" si="156"/>
        <v>6410.0663854405475</v>
      </c>
      <c r="I488" s="356">
        <v>0</v>
      </c>
      <c r="J488" s="360">
        <f>-SUM(F488:H488)*$J$21*1.16</f>
        <v>-8459.185270081913</v>
      </c>
      <c r="K488" s="356">
        <f t="shared" si="164"/>
        <v>-930.0968195402506</v>
      </c>
      <c r="L488" s="356">
        <f t="shared" si="157"/>
        <v>800877.5062324001</v>
      </c>
      <c r="N488" s="356">
        <f t="shared" si="165"/>
        <v>465</v>
      </c>
      <c r="O488" s="357">
        <f t="shared" si="170"/>
        <v>38</v>
      </c>
      <c r="P488" s="357">
        <f t="shared" si="171"/>
        <v>9</v>
      </c>
      <c r="Q488" s="357">
        <f t="shared" si="172"/>
        <v>38</v>
      </c>
      <c r="R488" s="356">
        <f t="shared" si="166"/>
        <v>28556522.22988879</v>
      </c>
      <c r="S488" s="356">
        <f>IF($G$4="mensual",S487,0)</f>
        <v>10000</v>
      </c>
      <c r="U488" s="356">
        <f t="shared" si="173"/>
        <v>227793.4598265343</v>
      </c>
      <c r="V488" s="359">
        <f t="shared" si="155"/>
        <v>-392.3555985064505</v>
      </c>
      <c r="X488" s="359">
        <f t="shared" si="154"/>
        <v>-33400.95106757551</v>
      </c>
      <c r="Y488" s="356">
        <f t="shared" si="158"/>
        <v>28760522.383049242</v>
      </c>
      <c r="AA488" s="357">
        <f>+Bono!J488</f>
        <v>512125.01441071625</v>
      </c>
      <c r="AC488" s="378">
        <f t="shared" si="159"/>
        <v>38.75</v>
      </c>
      <c r="AD488" s="356">
        <f t="shared" si="160"/>
        <v>30073524.903692357</v>
      </c>
    </row>
    <row r="489" spans="1:30" x14ac:dyDescent="0.25">
      <c r="A489" s="356">
        <f t="shared" si="161"/>
        <v>38.833333333333336</v>
      </c>
      <c r="B489" s="356">
        <f t="shared" si="162"/>
        <v>466</v>
      </c>
      <c r="C489" s="357">
        <f t="shared" si="167"/>
        <v>38</v>
      </c>
      <c r="D489" s="357">
        <f t="shared" si="168"/>
        <v>10</v>
      </c>
      <c r="E489" s="357">
        <f t="shared" si="169"/>
        <v>67</v>
      </c>
      <c r="F489" s="356">
        <f t="shared" si="163"/>
        <v>800877.5062324001</v>
      </c>
      <c r="H489" s="356">
        <f t="shared" si="156"/>
        <v>6386.3097010474075</v>
      </c>
      <c r="I489" s="356">
        <v>0</v>
      </c>
      <c r="J489" s="356">
        <v>0</v>
      </c>
      <c r="K489" s="356">
        <f t="shared" si="164"/>
        <v>-936.4260264827991</v>
      </c>
      <c r="L489" s="356">
        <f t="shared" si="157"/>
        <v>806327.3899069646</v>
      </c>
      <c r="N489" s="356">
        <f t="shared" si="165"/>
        <v>466</v>
      </c>
      <c r="O489" s="357">
        <f t="shared" si="170"/>
        <v>38</v>
      </c>
      <c r="P489" s="357">
        <f t="shared" si="171"/>
        <v>10</v>
      </c>
      <c r="Q489" s="357">
        <f t="shared" si="172"/>
        <v>38</v>
      </c>
      <c r="R489" s="356">
        <f t="shared" si="166"/>
        <v>28760522.383049242</v>
      </c>
      <c r="S489" s="356">
        <f>IF($G$4="mensual",S480,IF($G$4="trimestral",S480,0))</f>
        <v>10000</v>
      </c>
      <c r="U489" s="356">
        <f t="shared" si="173"/>
        <v>229420.18569535363</v>
      </c>
      <c r="V489" s="359">
        <f t="shared" si="155"/>
        <v>-392.3555985064505</v>
      </c>
      <c r="X489" s="359">
        <f t="shared" si="154"/>
        <v>-33639.47824724946</v>
      </c>
      <c r="Y489" s="356">
        <f t="shared" si="158"/>
        <v>28965910.734898843</v>
      </c>
      <c r="AA489" s="357">
        <f>+Bono!J489</f>
        <v>515300.24890288763</v>
      </c>
      <c r="AC489" s="378">
        <f t="shared" si="159"/>
        <v>38.833333333333336</v>
      </c>
      <c r="AD489" s="356">
        <f t="shared" si="160"/>
        <v>30287538.373708695</v>
      </c>
    </row>
    <row r="490" spans="1:30" x14ac:dyDescent="0.25">
      <c r="A490" s="356">
        <f t="shared" si="161"/>
        <v>38.916666666666664</v>
      </c>
      <c r="B490" s="356">
        <f t="shared" si="162"/>
        <v>467</v>
      </c>
      <c r="C490" s="357">
        <f t="shared" si="167"/>
        <v>38</v>
      </c>
      <c r="D490" s="357">
        <f t="shared" si="168"/>
        <v>11</v>
      </c>
      <c r="E490" s="357">
        <f t="shared" si="169"/>
        <v>67</v>
      </c>
      <c r="F490" s="356">
        <f t="shared" si="163"/>
        <v>806327.3899069646</v>
      </c>
      <c r="H490" s="356">
        <f t="shared" si="156"/>
        <v>6429.767838789576</v>
      </c>
      <c r="I490" s="356">
        <v>0</v>
      </c>
      <c r="J490" s="356">
        <v>0</v>
      </c>
      <c r="K490" s="356">
        <f t="shared" si="164"/>
        <v>-942.7983029850749</v>
      </c>
      <c r="L490" s="356">
        <f t="shared" si="157"/>
        <v>811814.3594427692</v>
      </c>
      <c r="N490" s="356">
        <f t="shared" si="165"/>
        <v>467</v>
      </c>
      <c r="O490" s="357">
        <f t="shared" si="170"/>
        <v>38</v>
      </c>
      <c r="P490" s="357">
        <f t="shared" si="171"/>
        <v>11</v>
      </c>
      <c r="Q490" s="357">
        <f t="shared" si="172"/>
        <v>38</v>
      </c>
      <c r="R490" s="356">
        <f t="shared" si="166"/>
        <v>28965910.734898843</v>
      </c>
      <c r="S490" s="356">
        <f>IF($G$17="si",S478*(1+$G$20),S478)</f>
        <v>10000</v>
      </c>
      <c r="U490" s="356">
        <f t="shared" si="173"/>
        <v>231057.98125546344</v>
      </c>
      <c r="V490" s="359">
        <f t="shared" si="155"/>
        <v>-392.3555985064505</v>
      </c>
      <c r="X490" s="359">
        <f t="shared" si="154"/>
        <v>-33879.62857824473</v>
      </c>
      <c r="Y490" s="356">
        <f t="shared" si="158"/>
        <v>29172696.731977556</v>
      </c>
      <c r="AA490" s="357">
        <f>+Bono!J490</f>
        <v>518495.17021721485</v>
      </c>
      <c r="AC490" s="378">
        <f t="shared" si="159"/>
        <v>38.916666666666664</v>
      </c>
      <c r="AD490" s="356">
        <f t="shared" si="160"/>
        <v>30503006.261637542</v>
      </c>
    </row>
    <row r="491" spans="1:30" x14ac:dyDescent="0.25">
      <c r="A491" s="356">
        <f t="shared" si="161"/>
        <v>39</v>
      </c>
      <c r="B491" s="356">
        <f t="shared" si="162"/>
        <v>468</v>
      </c>
      <c r="C491" s="357">
        <f t="shared" si="167"/>
        <v>38</v>
      </c>
      <c r="D491" s="357">
        <f t="shared" si="168"/>
        <v>12</v>
      </c>
      <c r="E491" s="357">
        <f t="shared" si="169"/>
        <v>67</v>
      </c>
      <c r="F491" s="356">
        <f t="shared" si="163"/>
        <v>811814.3594427692</v>
      </c>
      <c r="H491" s="356">
        <f t="shared" si="156"/>
        <v>6473.521704397198</v>
      </c>
      <c r="I491" s="356">
        <v>0</v>
      </c>
      <c r="J491" s="360">
        <f>-SUM(F491:H491)*$J$21*1.16</f>
        <v>-8542.925479176418</v>
      </c>
      <c r="K491" s="356">
        <f t="shared" si="164"/>
        <v>-939.3041485748683</v>
      </c>
      <c r="L491" s="356">
        <f t="shared" si="157"/>
        <v>808805.6515194151</v>
      </c>
      <c r="N491" s="356">
        <f t="shared" si="165"/>
        <v>468</v>
      </c>
      <c r="O491" s="357">
        <f t="shared" si="170"/>
        <v>38</v>
      </c>
      <c r="P491" s="357">
        <f t="shared" si="171"/>
        <v>12</v>
      </c>
      <c r="Q491" s="357">
        <f t="shared" si="172"/>
        <v>38</v>
      </c>
      <c r="R491" s="356">
        <f t="shared" si="166"/>
        <v>29172696.731977556</v>
      </c>
      <c r="S491" s="356">
        <f>IF($G$4="mensual",S490,0)</f>
        <v>10000</v>
      </c>
      <c r="U491" s="356">
        <f t="shared" si="173"/>
        <v>232706.9218349</v>
      </c>
      <c r="V491" s="359">
        <f t="shared" si="155"/>
        <v>-392.3555985064505</v>
      </c>
      <c r="X491" s="359">
        <f t="shared" ref="X491:X554" si="174">-SUM(R491:V491)*0.1%*1.16</f>
        <v>-34121.41310592818</v>
      </c>
      <c r="Y491" s="356">
        <f t="shared" si="158"/>
        <v>29380889.885108024</v>
      </c>
      <c r="AA491" s="357">
        <f>+Bono!J491</f>
        <v>517009.81122135743</v>
      </c>
      <c r="AC491" s="378">
        <f t="shared" si="159"/>
        <v>39</v>
      </c>
      <c r="AD491" s="356">
        <f t="shared" si="160"/>
        <v>30706705.347848795</v>
      </c>
    </row>
    <row r="492" spans="1:30" x14ac:dyDescent="0.25">
      <c r="A492" s="356">
        <f t="shared" si="161"/>
        <v>39.083333333333336</v>
      </c>
      <c r="B492" s="356">
        <f t="shared" si="162"/>
        <v>469</v>
      </c>
      <c r="C492" s="357">
        <f t="shared" si="167"/>
        <v>39</v>
      </c>
      <c r="D492" s="357">
        <f t="shared" si="168"/>
        <v>1</v>
      </c>
      <c r="E492" s="357">
        <f t="shared" si="169"/>
        <v>68</v>
      </c>
      <c r="F492" s="356">
        <f t="shared" si="163"/>
        <v>808805.6515194151</v>
      </c>
      <c r="H492" s="356">
        <f t="shared" si="156"/>
        <v>6449.529844906817</v>
      </c>
      <c r="I492" s="356">
        <v>0</v>
      </c>
      <c r="J492" s="356">
        <v>0</v>
      </c>
      <c r="K492" s="356">
        <f t="shared" si="164"/>
        <v>-945.6960103826133</v>
      </c>
      <c r="L492" s="356">
        <f t="shared" si="157"/>
        <v>814309.4853539392</v>
      </c>
      <c r="N492" s="356">
        <f t="shared" si="165"/>
        <v>469</v>
      </c>
      <c r="O492" s="357">
        <f t="shared" si="170"/>
        <v>39</v>
      </c>
      <c r="P492" s="357">
        <f t="shared" si="171"/>
        <v>1</v>
      </c>
      <c r="Q492" s="357">
        <f t="shared" si="172"/>
        <v>39</v>
      </c>
      <c r="R492" s="356">
        <f t="shared" si="166"/>
        <v>29380889.885108024</v>
      </c>
      <c r="S492" s="356">
        <f>IF($G$17="si",S480*(1+$G$20),S480)</f>
        <v>10000</v>
      </c>
      <c r="U492" s="356">
        <f t="shared" si="173"/>
        <v>234367.0832742986</v>
      </c>
      <c r="V492" s="359">
        <f>V491*(1+$G$18)</f>
        <v>-408.04982244670856</v>
      </c>
      <c r="X492" s="359">
        <f t="shared" si="174"/>
        <v>-34364.824745529455</v>
      </c>
      <c r="Y492" s="356">
        <f t="shared" si="158"/>
        <v>29590484.093814347</v>
      </c>
      <c r="AA492" s="357">
        <f>+Bono!J492</f>
        <v>520215.33202035615</v>
      </c>
      <c r="AC492" s="378">
        <f t="shared" si="159"/>
        <v>39.083333333333336</v>
      </c>
      <c r="AD492" s="356">
        <f t="shared" si="160"/>
        <v>30925008.911188643</v>
      </c>
    </row>
    <row r="493" spans="1:30" x14ac:dyDescent="0.25">
      <c r="A493" s="356">
        <f t="shared" si="161"/>
        <v>39.166666666666664</v>
      </c>
      <c r="B493" s="356">
        <f t="shared" si="162"/>
        <v>470</v>
      </c>
      <c r="C493" s="357">
        <f t="shared" si="167"/>
        <v>39</v>
      </c>
      <c r="D493" s="357">
        <f t="shared" si="168"/>
        <v>2</v>
      </c>
      <c r="E493" s="357">
        <f t="shared" si="169"/>
        <v>68</v>
      </c>
      <c r="F493" s="356">
        <f t="shared" si="163"/>
        <v>814309.4853539392</v>
      </c>
      <c r="H493" s="356">
        <f t="shared" si="156"/>
        <v>6493.418188800664</v>
      </c>
      <c r="I493" s="356">
        <v>0</v>
      </c>
      <c r="J493" s="356">
        <v>0</v>
      </c>
      <c r="K493" s="356">
        <f t="shared" si="164"/>
        <v>-952.1313681095783</v>
      </c>
      <c r="L493" s="356">
        <f t="shared" si="157"/>
        <v>819850.7721746303</v>
      </c>
      <c r="N493" s="356">
        <f t="shared" si="165"/>
        <v>470</v>
      </c>
      <c r="O493" s="357">
        <f t="shared" si="170"/>
        <v>39</v>
      </c>
      <c r="P493" s="357">
        <f t="shared" si="171"/>
        <v>2</v>
      </c>
      <c r="Q493" s="357">
        <f t="shared" si="172"/>
        <v>39</v>
      </c>
      <c r="R493" s="356">
        <f t="shared" si="166"/>
        <v>29590484.093814347</v>
      </c>
      <c r="S493" s="356">
        <f>IF($G$4="mensual",S492,0)</f>
        <v>10000</v>
      </c>
      <c r="U493" s="356">
        <f t="shared" si="173"/>
        <v>236038.4169276078</v>
      </c>
      <c r="V493" s="359">
        <f t="shared" si="155"/>
        <v>-408.04982244670856</v>
      </c>
      <c r="X493" s="359">
        <f t="shared" si="174"/>
        <v>-34609.89277466663</v>
      </c>
      <c r="Y493" s="356">
        <f t="shared" si="158"/>
        <v>29801504.568144843</v>
      </c>
      <c r="AA493" s="357">
        <f>+Bono!J493</f>
        <v>523440.72742012603</v>
      </c>
      <c r="AC493" s="378">
        <f t="shared" si="159"/>
        <v>39.166666666666664</v>
      </c>
      <c r="AD493" s="356">
        <f t="shared" si="160"/>
        <v>31144796.0677396</v>
      </c>
    </row>
    <row r="494" spans="1:30" x14ac:dyDescent="0.25">
      <c r="A494" s="356">
        <f t="shared" si="161"/>
        <v>39.25</v>
      </c>
      <c r="B494" s="356">
        <f t="shared" si="162"/>
        <v>471</v>
      </c>
      <c r="C494" s="357">
        <f t="shared" si="167"/>
        <v>39</v>
      </c>
      <c r="D494" s="357">
        <f t="shared" si="168"/>
        <v>3</v>
      </c>
      <c r="E494" s="357">
        <f t="shared" si="169"/>
        <v>68</v>
      </c>
      <c r="F494" s="356">
        <f t="shared" si="163"/>
        <v>819850.7721746303</v>
      </c>
      <c r="H494" s="356">
        <f t="shared" si="156"/>
        <v>6537.605188065689</v>
      </c>
      <c r="I494" s="356">
        <v>0</v>
      </c>
      <c r="J494" s="360">
        <f>-SUM(F494:H494)*$J$21*1.16</f>
        <v>-8627.494659666547</v>
      </c>
      <c r="K494" s="356">
        <f t="shared" si="164"/>
        <v>-948.6026239355141</v>
      </c>
      <c r="L494" s="356">
        <f t="shared" si="157"/>
        <v>816812.2800790939</v>
      </c>
      <c r="N494" s="356">
        <f t="shared" si="165"/>
        <v>471</v>
      </c>
      <c r="O494" s="357">
        <f t="shared" si="170"/>
        <v>39</v>
      </c>
      <c r="P494" s="357">
        <f t="shared" si="171"/>
        <v>3</v>
      </c>
      <c r="Q494" s="357">
        <f t="shared" si="172"/>
        <v>39</v>
      </c>
      <c r="R494" s="356">
        <f t="shared" si="166"/>
        <v>29801504.568144843</v>
      </c>
      <c r="S494" s="356">
        <f>IF($G$4="mensual",S493,0)</f>
        <v>10000</v>
      </c>
      <c r="U494" s="356">
        <f t="shared" si="173"/>
        <v>237721.12382329305</v>
      </c>
      <c r="V494" s="359">
        <f t="shared" si="155"/>
        <v>-408.04982244670856</v>
      </c>
      <c r="X494" s="359">
        <f t="shared" si="174"/>
        <v>-34856.628464889</v>
      </c>
      <c r="Y494" s="356">
        <f t="shared" si="158"/>
        <v>30013961.0136808</v>
      </c>
      <c r="AA494" s="357">
        <f>+Bono!J494</f>
        <v>521941.20063968195</v>
      </c>
      <c r="AC494" s="378">
        <f t="shared" si="159"/>
        <v>39.25</v>
      </c>
      <c r="AD494" s="356">
        <f t="shared" si="160"/>
        <v>31352714.494399577</v>
      </c>
    </row>
    <row r="495" spans="1:30" x14ac:dyDescent="0.25">
      <c r="A495" s="356">
        <f t="shared" si="161"/>
        <v>39.333333333333336</v>
      </c>
      <c r="B495" s="356">
        <f t="shared" si="162"/>
        <v>472</v>
      </c>
      <c r="C495" s="357">
        <f t="shared" si="167"/>
        <v>39</v>
      </c>
      <c r="D495" s="357">
        <f t="shared" si="168"/>
        <v>4</v>
      </c>
      <c r="E495" s="357">
        <f t="shared" si="169"/>
        <v>68</v>
      </c>
      <c r="F495" s="356">
        <f t="shared" si="163"/>
        <v>816812.2800790939</v>
      </c>
      <c r="H495" s="356">
        <f t="shared" si="156"/>
        <v>6513.3758254037675</v>
      </c>
      <c r="I495" s="356">
        <v>0</v>
      </c>
      <c r="J495" s="356">
        <v>0</v>
      </c>
      <c r="K495" s="356">
        <f t="shared" si="164"/>
        <v>-955.0577608492172</v>
      </c>
      <c r="L495" s="356">
        <f t="shared" si="157"/>
        <v>822370.5981436484</v>
      </c>
      <c r="N495" s="356">
        <f t="shared" si="165"/>
        <v>472</v>
      </c>
      <c r="O495" s="357">
        <f t="shared" si="170"/>
        <v>39</v>
      </c>
      <c r="P495" s="357">
        <f t="shared" si="171"/>
        <v>4</v>
      </c>
      <c r="Q495" s="357">
        <f t="shared" si="172"/>
        <v>39</v>
      </c>
      <c r="R495" s="356">
        <f t="shared" si="166"/>
        <v>30013961.0136808</v>
      </c>
      <c r="S495" s="356">
        <f>IF($G$4="mensual",S492,IF($G$4="trimestral",S492,0))</f>
        <v>10000</v>
      </c>
      <c r="U495" s="356">
        <f t="shared" si="173"/>
        <v>239415.2813550225</v>
      </c>
      <c r="V495" s="359">
        <f t="shared" si="155"/>
        <v>-408.04982244670856</v>
      </c>
      <c r="X495" s="359">
        <f t="shared" si="174"/>
        <v>-35105.04316444752</v>
      </c>
      <c r="Y495" s="356">
        <f t="shared" si="158"/>
        <v>30227863.20204893</v>
      </c>
      <c r="AA495" s="357">
        <f>+Bono!J495</f>
        <v>525177.29662508</v>
      </c>
      <c r="AC495" s="378">
        <f t="shared" si="159"/>
        <v>39.333333333333336</v>
      </c>
      <c r="AD495" s="356">
        <f t="shared" si="160"/>
        <v>31575411.09681766</v>
      </c>
    </row>
    <row r="496" spans="1:30" x14ac:dyDescent="0.25">
      <c r="A496" s="356">
        <f t="shared" si="161"/>
        <v>39.416666666666664</v>
      </c>
      <c r="B496" s="356">
        <f t="shared" si="162"/>
        <v>473</v>
      </c>
      <c r="C496" s="357">
        <f t="shared" si="167"/>
        <v>39</v>
      </c>
      <c r="D496" s="357">
        <f t="shared" si="168"/>
        <v>5</v>
      </c>
      <c r="E496" s="357">
        <f t="shared" si="169"/>
        <v>68</v>
      </c>
      <c r="F496" s="356">
        <f t="shared" si="163"/>
        <v>822370.5981436484</v>
      </c>
      <c r="H496" s="356">
        <f t="shared" si="156"/>
        <v>6557.698634199037</v>
      </c>
      <c r="I496" s="356">
        <v>0</v>
      </c>
      <c r="J496" s="356">
        <v>0</v>
      </c>
      <c r="K496" s="356">
        <f t="shared" si="164"/>
        <v>-961.5568242623028</v>
      </c>
      <c r="L496" s="356">
        <f t="shared" si="157"/>
        <v>827966.7399535851</v>
      </c>
      <c r="N496" s="356">
        <f t="shared" si="165"/>
        <v>473</v>
      </c>
      <c r="O496" s="357">
        <f t="shared" si="170"/>
        <v>39</v>
      </c>
      <c r="P496" s="357">
        <f t="shared" si="171"/>
        <v>5</v>
      </c>
      <c r="Q496" s="357">
        <f t="shared" si="172"/>
        <v>39</v>
      </c>
      <c r="R496" s="356">
        <f t="shared" si="166"/>
        <v>30227863.20204893</v>
      </c>
      <c r="S496" s="356">
        <f>IF($G$4="mensual",S495,0)</f>
        <v>10000</v>
      </c>
      <c r="U496" s="356">
        <f t="shared" si="173"/>
        <v>241120.96744311982</v>
      </c>
      <c r="V496" s="359">
        <f t="shared" si="155"/>
        <v>-408.04982244670856</v>
      </c>
      <c r="X496" s="359">
        <f t="shared" si="174"/>
        <v>-35355.14829881674</v>
      </c>
      <c r="Y496" s="356">
        <f t="shared" si="158"/>
        <v>30443220.97137079</v>
      </c>
      <c r="AA496" s="357">
        <f>+Bono!J496</f>
        <v>528433.4567809516</v>
      </c>
      <c r="AC496" s="378">
        <f t="shared" si="159"/>
        <v>39.416666666666664</v>
      </c>
      <c r="AD496" s="356">
        <f t="shared" si="160"/>
        <v>31799621.168105327</v>
      </c>
    </row>
    <row r="497" spans="1:30" x14ac:dyDescent="0.25">
      <c r="A497" s="356">
        <f t="shared" si="161"/>
        <v>39.5</v>
      </c>
      <c r="B497" s="356">
        <f t="shared" si="162"/>
        <v>474</v>
      </c>
      <c r="C497" s="357">
        <f t="shared" si="167"/>
        <v>39</v>
      </c>
      <c r="D497" s="357">
        <f t="shared" si="168"/>
        <v>6</v>
      </c>
      <c r="E497" s="357">
        <f t="shared" si="169"/>
        <v>68</v>
      </c>
      <c r="F497" s="356">
        <f t="shared" si="163"/>
        <v>827966.7399535851</v>
      </c>
      <c r="H497" s="356">
        <f t="shared" si="156"/>
        <v>6602.323054851532</v>
      </c>
      <c r="I497" s="356">
        <v>0</v>
      </c>
      <c r="J497" s="360">
        <f>-SUM(F497:H497)*$J$21*1.16</f>
        <v>-8712.901017808079</v>
      </c>
      <c r="K497" s="356">
        <f t="shared" si="164"/>
        <v>-957.993147909129</v>
      </c>
      <c r="L497" s="356">
        <f t="shared" si="157"/>
        <v>824898.1688427193</v>
      </c>
      <c r="N497" s="356">
        <f t="shared" si="165"/>
        <v>474</v>
      </c>
      <c r="O497" s="357">
        <f t="shared" si="170"/>
        <v>39</v>
      </c>
      <c r="P497" s="357">
        <f t="shared" si="171"/>
        <v>6</v>
      </c>
      <c r="Q497" s="357">
        <f t="shared" si="172"/>
        <v>39</v>
      </c>
      <c r="R497" s="356">
        <f t="shared" si="166"/>
        <v>30443220.97137079</v>
      </c>
      <c r="S497" s="356">
        <f>IF($G$4="mensual",S496,0)</f>
        <v>10000</v>
      </c>
      <c r="U497" s="356">
        <f t="shared" si="173"/>
        <v>242838.2605381478</v>
      </c>
      <c r="V497" s="359">
        <f t="shared" si="155"/>
        <v>-408.04982244670856</v>
      </c>
      <c r="X497" s="359">
        <f t="shared" si="174"/>
        <v>-35606.955371220334</v>
      </c>
      <c r="Y497" s="356">
        <f t="shared" si="158"/>
        <v>30660044.226715274</v>
      </c>
      <c r="AA497" s="357">
        <f>+Bono!J497</f>
        <v>526919.6270794853</v>
      </c>
      <c r="AC497" s="378">
        <f t="shared" si="159"/>
        <v>39.5</v>
      </c>
      <c r="AD497" s="356">
        <f t="shared" si="160"/>
        <v>32011862.02263748</v>
      </c>
    </row>
    <row r="498" spans="1:30" x14ac:dyDescent="0.25">
      <c r="A498" s="356">
        <f t="shared" si="161"/>
        <v>39.583333333333336</v>
      </c>
      <c r="B498" s="356">
        <f t="shared" si="162"/>
        <v>475</v>
      </c>
      <c r="C498" s="357">
        <f t="shared" si="167"/>
        <v>39</v>
      </c>
      <c r="D498" s="357">
        <f t="shared" si="168"/>
        <v>7</v>
      </c>
      <c r="E498" s="357">
        <f t="shared" si="169"/>
        <v>68</v>
      </c>
      <c r="F498" s="356">
        <f t="shared" si="163"/>
        <v>824898.1688427193</v>
      </c>
      <c r="H498" s="356">
        <f t="shared" si="156"/>
        <v>6577.853837897412</v>
      </c>
      <c r="I498" s="356">
        <v>0</v>
      </c>
      <c r="J498" s="356">
        <v>0</v>
      </c>
      <c r="K498" s="356">
        <f t="shared" si="164"/>
        <v>-964.5121863095153</v>
      </c>
      <c r="L498" s="356">
        <f t="shared" si="157"/>
        <v>830511.5104943071</v>
      </c>
      <c r="N498" s="356">
        <f t="shared" si="165"/>
        <v>475</v>
      </c>
      <c r="O498" s="357">
        <f t="shared" si="170"/>
        <v>39</v>
      </c>
      <c r="P498" s="357">
        <f t="shared" si="171"/>
        <v>7</v>
      </c>
      <c r="Q498" s="357">
        <f t="shared" si="172"/>
        <v>39</v>
      </c>
      <c r="R498" s="356">
        <f t="shared" si="166"/>
        <v>30660044.226715274</v>
      </c>
      <c r="S498" s="356">
        <f>+IF($G$4="mensual",S492,IF($G$4="trimestral",S492,IF($G$4="semestral",S492,0)))</f>
        <v>10000</v>
      </c>
      <c r="U498" s="356">
        <f t="shared" si="173"/>
        <v>244567.23962451675</v>
      </c>
      <c r="V498" s="359">
        <f t="shared" si="155"/>
        <v>-408.04982244670856</v>
      </c>
      <c r="X498" s="359">
        <f t="shared" si="174"/>
        <v>-35860.47596316011</v>
      </c>
      <c r="Y498" s="356">
        <f t="shared" si="158"/>
        <v>30878342.940554183</v>
      </c>
      <c r="AA498" s="357">
        <f>+Bono!J498</f>
        <v>530186.589886272</v>
      </c>
      <c r="AC498" s="378">
        <f t="shared" si="159"/>
        <v>39.583333333333336</v>
      </c>
      <c r="AD498" s="356">
        <f t="shared" si="160"/>
        <v>32239041.04093476</v>
      </c>
    </row>
    <row r="499" spans="1:30" x14ac:dyDescent="0.25">
      <c r="A499" s="356">
        <f t="shared" si="161"/>
        <v>39.666666666666664</v>
      </c>
      <c r="B499" s="356">
        <f t="shared" si="162"/>
        <v>476</v>
      </c>
      <c r="C499" s="357">
        <f t="shared" si="167"/>
        <v>39</v>
      </c>
      <c r="D499" s="357">
        <f t="shared" si="168"/>
        <v>8</v>
      </c>
      <c r="E499" s="357">
        <f t="shared" si="169"/>
        <v>68</v>
      </c>
      <c r="F499" s="356">
        <f t="shared" si="163"/>
        <v>830511.5104943071</v>
      </c>
      <c r="H499" s="356">
        <f t="shared" si="156"/>
        <v>6622.615412502588</v>
      </c>
      <c r="I499" s="356">
        <v>0</v>
      </c>
      <c r="J499" s="356">
        <v>0</v>
      </c>
      <c r="K499" s="356">
        <f t="shared" si="164"/>
        <v>-971.0755860518992</v>
      </c>
      <c r="L499" s="356">
        <f t="shared" si="157"/>
        <v>836163.0503207578</v>
      </c>
      <c r="N499" s="356">
        <f t="shared" si="165"/>
        <v>476</v>
      </c>
      <c r="O499" s="357">
        <f t="shared" si="170"/>
        <v>39</v>
      </c>
      <c r="P499" s="357">
        <f t="shared" si="171"/>
        <v>8</v>
      </c>
      <c r="Q499" s="357">
        <f t="shared" si="172"/>
        <v>39</v>
      </c>
      <c r="R499" s="356">
        <f t="shared" si="166"/>
        <v>30878342.940554183</v>
      </c>
      <c r="S499" s="356">
        <f>IF($G$4="mensual",S498,0)</f>
        <v>10000</v>
      </c>
      <c r="U499" s="356">
        <f t="shared" si="173"/>
        <v>246307.9842241173</v>
      </c>
      <c r="V499" s="359">
        <f t="shared" si="155"/>
        <v>-408.04982244670856</v>
      </c>
      <c r="X499" s="359">
        <f t="shared" si="174"/>
        <v>-36115.72173494879</v>
      </c>
      <c r="Y499" s="356">
        <f t="shared" si="158"/>
        <v>31098127.153220907</v>
      </c>
      <c r="AA499" s="357">
        <f>+Bono!J499</f>
        <v>533473.808241405</v>
      </c>
      <c r="AC499" s="378">
        <f t="shared" si="159"/>
        <v>39.666666666666664</v>
      </c>
      <c r="AD499" s="356">
        <f t="shared" si="160"/>
        <v>32467764.01178307</v>
      </c>
    </row>
    <row r="500" spans="1:30" x14ac:dyDescent="0.25">
      <c r="A500" s="356">
        <f t="shared" si="161"/>
        <v>39.75</v>
      </c>
      <c r="B500" s="356">
        <f t="shared" si="162"/>
        <v>477</v>
      </c>
      <c r="C500" s="357">
        <f t="shared" si="167"/>
        <v>39</v>
      </c>
      <c r="D500" s="357">
        <f t="shared" si="168"/>
        <v>9</v>
      </c>
      <c r="E500" s="357">
        <f t="shared" si="169"/>
        <v>68</v>
      </c>
      <c r="F500" s="356">
        <f t="shared" si="163"/>
        <v>836163.0503207578</v>
      </c>
      <c r="H500" s="356">
        <f t="shared" si="156"/>
        <v>6667.681584718247</v>
      </c>
      <c r="I500" s="356">
        <v>0</v>
      </c>
      <c r="J500" s="360">
        <f>-SUM(F500:H500)*$J$21*1.16</f>
        <v>-8799.152841093171</v>
      </c>
      <c r="K500" s="356">
        <f t="shared" si="164"/>
        <v>-967.4766317146842</v>
      </c>
      <c r="L500" s="356">
        <f t="shared" si="157"/>
        <v>833064.1024326682</v>
      </c>
      <c r="N500" s="356">
        <f t="shared" si="165"/>
        <v>477</v>
      </c>
      <c r="O500" s="357">
        <f t="shared" si="170"/>
        <v>39</v>
      </c>
      <c r="P500" s="357">
        <f t="shared" si="171"/>
        <v>9</v>
      </c>
      <c r="Q500" s="357">
        <f t="shared" si="172"/>
        <v>39</v>
      </c>
      <c r="R500" s="356">
        <f t="shared" si="166"/>
        <v>31098127.153220907</v>
      </c>
      <c r="S500" s="356">
        <f>IF($G$4="mensual",S499,0)</f>
        <v>10000</v>
      </c>
      <c r="U500" s="356">
        <f t="shared" si="173"/>
        <v>248060.5743999778</v>
      </c>
      <c r="V500" s="359">
        <f t="shared" si="155"/>
        <v>-408.04982244670856</v>
      </c>
      <c r="X500" s="359">
        <f t="shared" si="174"/>
        <v>-36372.704426246186</v>
      </c>
      <c r="Y500" s="356">
        <f t="shared" si="158"/>
        <v>31319406.97337219</v>
      </c>
      <c r="AA500" s="357">
        <f>+Bono!J500</f>
        <v>531945.5391935105</v>
      </c>
      <c r="AC500" s="378">
        <f t="shared" si="159"/>
        <v>39.75</v>
      </c>
      <c r="AD500" s="356">
        <f t="shared" si="160"/>
        <v>32684416.61499837</v>
      </c>
    </row>
    <row r="501" spans="1:30" x14ac:dyDescent="0.25">
      <c r="A501" s="356">
        <f t="shared" si="161"/>
        <v>39.833333333333336</v>
      </c>
      <c r="B501" s="356">
        <f t="shared" si="162"/>
        <v>478</v>
      </c>
      <c r="C501" s="357">
        <f t="shared" si="167"/>
        <v>39</v>
      </c>
      <c r="D501" s="357">
        <f t="shared" si="168"/>
        <v>10</v>
      </c>
      <c r="E501" s="357">
        <f t="shared" si="169"/>
        <v>68</v>
      </c>
      <c r="F501" s="356">
        <f t="shared" si="163"/>
        <v>833064.1024326682</v>
      </c>
      <c r="H501" s="356">
        <f t="shared" si="156"/>
        <v>6642.970139076766</v>
      </c>
      <c r="I501" s="356">
        <v>0</v>
      </c>
      <c r="J501" s="356">
        <v>0</v>
      </c>
      <c r="K501" s="356">
        <f t="shared" si="164"/>
        <v>-974.0602041832242</v>
      </c>
      <c r="L501" s="356">
        <f t="shared" si="157"/>
        <v>838733.0123675618</v>
      </c>
      <c r="N501" s="356">
        <f t="shared" si="165"/>
        <v>478</v>
      </c>
      <c r="O501" s="357">
        <f t="shared" si="170"/>
        <v>39</v>
      </c>
      <c r="P501" s="357">
        <f t="shared" si="171"/>
        <v>10</v>
      </c>
      <c r="Q501" s="357">
        <f t="shared" si="172"/>
        <v>39</v>
      </c>
      <c r="R501" s="356">
        <f t="shared" si="166"/>
        <v>31319406.97337219</v>
      </c>
      <c r="S501" s="356">
        <f>IF($G$4="mensual",S492,IF($G$4="trimestral",S492,0))</f>
        <v>10000</v>
      </c>
      <c r="U501" s="356">
        <f t="shared" si="173"/>
        <v>249825.0907599467</v>
      </c>
      <c r="V501" s="359">
        <f t="shared" si="155"/>
        <v>-408.04982244670856</v>
      </c>
      <c r="X501" s="359">
        <f t="shared" si="174"/>
        <v>-36631.435856599244</v>
      </c>
      <c r="Y501" s="356">
        <f t="shared" si="158"/>
        <v>31542192.578453094</v>
      </c>
      <c r="AA501" s="357">
        <f>+Bono!J501</f>
        <v>535243.6632383738</v>
      </c>
      <c r="AC501" s="378">
        <f t="shared" si="159"/>
        <v>39.833333333333336</v>
      </c>
      <c r="AD501" s="356">
        <f t="shared" si="160"/>
        <v>32916169.254059028</v>
      </c>
    </row>
    <row r="502" spans="1:30" x14ac:dyDescent="0.25">
      <c r="A502" s="356">
        <f t="shared" si="161"/>
        <v>39.916666666666664</v>
      </c>
      <c r="B502" s="356">
        <f t="shared" si="162"/>
        <v>479</v>
      </c>
      <c r="C502" s="357">
        <f t="shared" si="167"/>
        <v>39</v>
      </c>
      <c r="D502" s="357">
        <f t="shared" si="168"/>
        <v>11</v>
      </c>
      <c r="E502" s="357">
        <f t="shared" si="169"/>
        <v>68</v>
      </c>
      <c r="F502" s="356">
        <f t="shared" si="163"/>
        <v>838733.0123675618</v>
      </c>
      <c r="H502" s="356">
        <f t="shared" si="156"/>
        <v>6688.174822976415</v>
      </c>
      <c r="I502" s="356">
        <v>0</v>
      </c>
      <c r="J502" s="356">
        <v>0</v>
      </c>
      <c r="K502" s="356">
        <f t="shared" si="164"/>
        <v>-980.6885771410243</v>
      </c>
      <c r="L502" s="356">
        <f t="shared" si="157"/>
        <v>844440.4986133972</v>
      </c>
      <c r="N502" s="356">
        <f t="shared" si="165"/>
        <v>479</v>
      </c>
      <c r="O502" s="357">
        <f t="shared" si="170"/>
        <v>39</v>
      </c>
      <c r="P502" s="357">
        <f t="shared" si="171"/>
        <v>11</v>
      </c>
      <c r="Q502" s="357">
        <f t="shared" si="172"/>
        <v>39</v>
      </c>
      <c r="R502" s="356">
        <f t="shared" si="166"/>
        <v>31542192.578453094</v>
      </c>
      <c r="S502" s="356">
        <f>IF($G$17="si",S490*(1+$G$20),S490)</f>
        <v>10000</v>
      </c>
      <c r="U502" s="356">
        <f t="shared" si="173"/>
        <v>251601.61446040013</v>
      </c>
      <c r="V502" s="359">
        <f t="shared" si="155"/>
        <v>-408.04982244670856</v>
      </c>
      <c r="X502" s="359">
        <f t="shared" si="174"/>
        <v>-36891.92792598562</v>
      </c>
      <c r="Y502" s="356">
        <f t="shared" si="158"/>
        <v>31766494.215165064</v>
      </c>
      <c r="AA502" s="357">
        <f>+Bono!J502</f>
        <v>538562.236034874</v>
      </c>
      <c r="AC502" s="378">
        <f t="shared" si="159"/>
        <v>39.916666666666664</v>
      </c>
      <c r="AD502" s="356">
        <f t="shared" si="160"/>
        <v>33149496.949813336</v>
      </c>
    </row>
    <row r="503" spans="1:30" x14ac:dyDescent="0.25">
      <c r="A503" s="356">
        <f t="shared" si="161"/>
        <v>40</v>
      </c>
      <c r="B503" s="356">
        <f t="shared" si="162"/>
        <v>480</v>
      </c>
      <c r="C503" s="357">
        <f t="shared" si="167"/>
        <v>39</v>
      </c>
      <c r="D503" s="357">
        <f t="shared" si="168"/>
        <v>12</v>
      </c>
      <c r="E503" s="357">
        <f t="shared" si="169"/>
        <v>68</v>
      </c>
      <c r="F503" s="356">
        <f t="shared" si="163"/>
        <v>844440.4986133972</v>
      </c>
      <c r="H503" s="356">
        <f t="shared" si="156"/>
        <v>6733.687119796744</v>
      </c>
      <c r="I503" s="356">
        <v>0</v>
      </c>
      <c r="J503" s="360">
        <f>-SUM(F503:H503)*$J$21*1.16</f>
        <v>-8886.258499054546</v>
      </c>
      <c r="K503" s="356">
        <f t="shared" si="164"/>
        <v>-977.0539955916016</v>
      </c>
      <c r="L503" s="356">
        <f t="shared" si="157"/>
        <v>841310.8732385478</v>
      </c>
      <c r="N503" s="356">
        <f t="shared" si="165"/>
        <v>480</v>
      </c>
      <c r="O503" s="357">
        <f t="shared" si="170"/>
        <v>39</v>
      </c>
      <c r="P503" s="357">
        <f t="shared" si="171"/>
        <v>12</v>
      </c>
      <c r="Q503" s="357">
        <f t="shared" si="172"/>
        <v>39</v>
      </c>
      <c r="R503" s="356">
        <f t="shared" si="166"/>
        <v>31766494.215165064</v>
      </c>
      <c r="S503" s="356">
        <f>IF($G$4="mensual",S502,0)</f>
        <v>10000</v>
      </c>
      <c r="U503" s="356">
        <f t="shared" si="173"/>
        <v>253390.2272099743</v>
      </c>
      <c r="V503" s="359">
        <f t="shared" si="155"/>
        <v>-408.04982244670856</v>
      </c>
      <c r="X503" s="359">
        <f t="shared" si="174"/>
        <v>-37154.192615361004</v>
      </c>
      <c r="Y503" s="356">
        <f t="shared" si="158"/>
        <v>31992322.19993723</v>
      </c>
      <c r="AA503" s="357">
        <f>+Bono!J503</f>
        <v>537019.3899138805</v>
      </c>
      <c r="AC503" s="378">
        <f t="shared" si="159"/>
        <v>40</v>
      </c>
      <c r="AD503" s="356">
        <f t="shared" si="160"/>
        <v>33370652.46308966</v>
      </c>
    </row>
    <row r="504" spans="1:30" x14ac:dyDescent="0.25">
      <c r="A504" s="356">
        <f t="shared" si="161"/>
        <v>40.083333333333336</v>
      </c>
      <c r="B504" s="356">
        <f t="shared" si="162"/>
        <v>481</v>
      </c>
      <c r="C504" s="357">
        <f t="shared" si="167"/>
        <v>40</v>
      </c>
      <c r="D504" s="357">
        <f t="shared" si="168"/>
        <v>1</v>
      </c>
      <c r="E504" s="357">
        <f t="shared" si="169"/>
        <v>69</v>
      </c>
      <c r="F504" s="356">
        <f t="shared" si="163"/>
        <v>841310.8732385478</v>
      </c>
      <c r="H504" s="356">
        <f t="shared" si="156"/>
        <v>6708.731047567834</v>
      </c>
      <c r="I504" s="356">
        <v>0</v>
      </c>
      <c r="J504" s="356">
        <v>0</v>
      </c>
      <c r="K504" s="356">
        <f t="shared" si="164"/>
        <v>-983.7027409718941</v>
      </c>
      <c r="L504" s="356">
        <f t="shared" si="157"/>
        <v>847035.9015451437</v>
      </c>
      <c r="N504" s="356">
        <f t="shared" si="165"/>
        <v>481</v>
      </c>
      <c r="O504" s="357">
        <f t="shared" si="170"/>
        <v>40</v>
      </c>
      <c r="P504" s="357">
        <f t="shared" si="171"/>
        <v>1</v>
      </c>
      <c r="Q504" s="357">
        <f t="shared" si="172"/>
        <v>40</v>
      </c>
      <c r="R504" s="356">
        <f t="shared" si="166"/>
        <v>31992322.19993723</v>
      </c>
      <c r="S504" s="356">
        <f>IF($G$17="si",S492*(1+$G$20),S492)</f>
        <v>10000</v>
      </c>
      <c r="U504" s="356">
        <f t="shared" si="173"/>
        <v>255191.01127332394</v>
      </c>
      <c r="V504" s="359">
        <f>V503*(1+$G$18)</f>
        <v>-424.37181534457693</v>
      </c>
      <c r="X504" s="359">
        <f t="shared" si="174"/>
        <v>-37418.22305369844</v>
      </c>
      <c r="Y504" s="356">
        <f t="shared" si="158"/>
        <v>32219670.616341513</v>
      </c>
      <c r="AA504" s="357">
        <f>+Bono!J504</f>
        <v>540348.9724217403</v>
      </c>
      <c r="AC504" s="378">
        <f t="shared" si="159"/>
        <v>40.083333333333336</v>
      </c>
      <c r="AD504" s="356">
        <f t="shared" si="160"/>
        <v>33607055.4903084</v>
      </c>
    </row>
    <row r="505" spans="1:30" x14ac:dyDescent="0.25">
      <c r="A505" s="356">
        <f t="shared" si="161"/>
        <v>40.166666666666664</v>
      </c>
      <c r="B505" s="356">
        <f t="shared" si="162"/>
        <v>482</v>
      </c>
      <c r="C505" s="357">
        <f t="shared" si="167"/>
        <v>40</v>
      </c>
      <c r="D505" s="357">
        <f t="shared" si="168"/>
        <v>2</v>
      </c>
      <c r="E505" s="357">
        <f t="shared" si="169"/>
        <v>69</v>
      </c>
      <c r="F505" s="356">
        <f t="shared" si="163"/>
        <v>847035.9015451437</v>
      </c>
      <c r="H505" s="356">
        <f t="shared" si="156"/>
        <v>6754.383227244079</v>
      </c>
      <c r="I505" s="356">
        <v>0</v>
      </c>
      <c r="J505" s="356">
        <v>0</v>
      </c>
      <c r="K505" s="356">
        <f t="shared" si="164"/>
        <v>-990.3967303359699</v>
      </c>
      <c r="L505" s="356">
        <f t="shared" si="157"/>
        <v>852799.8880420518</v>
      </c>
      <c r="N505" s="356">
        <f t="shared" si="165"/>
        <v>482</v>
      </c>
      <c r="O505" s="357">
        <f t="shared" si="170"/>
        <v>40</v>
      </c>
      <c r="P505" s="357">
        <f t="shared" si="171"/>
        <v>2</v>
      </c>
      <c r="Q505" s="357">
        <f t="shared" si="172"/>
        <v>40</v>
      </c>
      <c r="R505" s="356">
        <f t="shared" si="166"/>
        <v>32219670.616341513</v>
      </c>
      <c r="S505" s="356">
        <f>IF($G$4="mensual",S504,0)</f>
        <v>10000</v>
      </c>
      <c r="U505" s="356">
        <f t="shared" si="173"/>
        <v>257003.91947202056</v>
      </c>
      <c r="V505" s="359">
        <f t="shared" si="155"/>
        <v>-424.37181534457693</v>
      </c>
      <c r="X505" s="359">
        <f t="shared" si="174"/>
        <v>-37684.05019023789</v>
      </c>
      <c r="Y505" s="356">
        <f t="shared" si="158"/>
        <v>32448566.11380795</v>
      </c>
      <c r="AA505" s="357">
        <f>+Bono!J505</f>
        <v>543699.1987273565</v>
      </c>
      <c r="AC505" s="378">
        <f t="shared" si="159"/>
        <v>40.166666666666664</v>
      </c>
      <c r="AD505" s="356">
        <f t="shared" si="160"/>
        <v>33845065.20057736</v>
      </c>
    </row>
    <row r="506" spans="1:30" x14ac:dyDescent="0.25">
      <c r="A506" s="356">
        <f t="shared" si="161"/>
        <v>40.25</v>
      </c>
      <c r="B506" s="356">
        <f t="shared" si="162"/>
        <v>483</v>
      </c>
      <c r="C506" s="357">
        <f t="shared" si="167"/>
        <v>40</v>
      </c>
      <c r="D506" s="357">
        <f t="shared" si="168"/>
        <v>3</v>
      </c>
      <c r="E506" s="357">
        <f t="shared" si="169"/>
        <v>69</v>
      </c>
      <c r="F506" s="356">
        <f t="shared" si="163"/>
        <v>852799.8880420518</v>
      </c>
      <c r="H506" s="356">
        <f t="shared" si="156"/>
        <v>6800.346065000729</v>
      </c>
      <c r="I506" s="356">
        <v>0</v>
      </c>
      <c r="J506" s="360">
        <f>-SUM(F506:H506)*$J$21*1.16</f>
        <v>-8974.226444077629</v>
      </c>
      <c r="K506" s="356">
        <f t="shared" si="164"/>
        <v>-986.7261688890508</v>
      </c>
      <c r="L506" s="356">
        <f t="shared" si="157"/>
        <v>849639.2814940858</v>
      </c>
      <c r="N506" s="356">
        <f t="shared" si="165"/>
        <v>483</v>
      </c>
      <c r="O506" s="357">
        <f t="shared" si="170"/>
        <v>40</v>
      </c>
      <c r="P506" s="357">
        <f t="shared" si="171"/>
        <v>3</v>
      </c>
      <c r="Q506" s="357">
        <f t="shared" si="172"/>
        <v>40</v>
      </c>
      <c r="R506" s="356">
        <f t="shared" si="166"/>
        <v>32448566.11380795</v>
      </c>
      <c r="S506" s="356">
        <f>IF($G$4="mensual",S505,0)</f>
        <v>10000</v>
      </c>
      <c r="U506" s="356">
        <f t="shared" si="173"/>
        <v>258829.1643123617</v>
      </c>
      <c r="V506" s="359">
        <f t="shared" si="155"/>
        <v>-424.37181534457693</v>
      </c>
      <c r="X506" s="359">
        <f t="shared" si="174"/>
        <v>-37951.68625131376</v>
      </c>
      <c r="Y506" s="356">
        <f t="shared" si="158"/>
        <v>32679019.220053654</v>
      </c>
      <c r="AA506" s="357">
        <f>+Bono!J506</f>
        <v>542141.6364929159</v>
      </c>
      <c r="AC506" s="378">
        <f t="shared" si="159"/>
        <v>40.25</v>
      </c>
      <c r="AD506" s="356">
        <f t="shared" si="160"/>
        <v>34070800.138040654</v>
      </c>
    </row>
    <row r="507" spans="1:30" x14ac:dyDescent="0.25">
      <c r="A507" s="356">
        <f t="shared" si="161"/>
        <v>40.333333333333336</v>
      </c>
      <c r="B507" s="356">
        <f t="shared" si="162"/>
        <v>484</v>
      </c>
      <c r="C507" s="357">
        <f t="shared" si="167"/>
        <v>40</v>
      </c>
      <c r="D507" s="357">
        <f t="shared" si="168"/>
        <v>4</v>
      </c>
      <c r="E507" s="357">
        <f t="shared" si="169"/>
        <v>69</v>
      </c>
      <c r="F507" s="356">
        <f t="shared" si="163"/>
        <v>849639.2814940858</v>
      </c>
      <c r="H507" s="356">
        <f t="shared" si="156"/>
        <v>6775.142944546736</v>
      </c>
      <c r="I507" s="356">
        <v>0</v>
      </c>
      <c r="J507" s="356">
        <v>0</v>
      </c>
      <c r="K507" s="356">
        <f t="shared" si="164"/>
        <v>-993.4407323488136</v>
      </c>
      <c r="L507" s="356">
        <f t="shared" si="157"/>
        <v>855420.9837062837</v>
      </c>
      <c r="N507" s="356">
        <f t="shared" si="165"/>
        <v>484</v>
      </c>
      <c r="O507" s="357">
        <f t="shared" si="170"/>
        <v>40</v>
      </c>
      <c r="P507" s="357">
        <f t="shared" si="171"/>
        <v>4</v>
      </c>
      <c r="Q507" s="357">
        <f t="shared" si="172"/>
        <v>40</v>
      </c>
      <c r="R507" s="356">
        <f t="shared" si="166"/>
        <v>32679019.220053654</v>
      </c>
      <c r="S507" s="356">
        <f>IF($G$4="mensual",S504,IF($G$4="trimestral",S504,0))</f>
        <v>10000</v>
      </c>
      <c r="U507" s="356">
        <f t="shared" si="173"/>
        <v>260666.82974384204</v>
      </c>
      <c r="V507" s="359">
        <f t="shared" si="155"/>
        <v>-424.37181534457693</v>
      </c>
      <c r="X507" s="359">
        <f t="shared" si="174"/>
        <v>-38221.143546459294</v>
      </c>
      <c r="Y507" s="356">
        <f t="shared" si="158"/>
        <v>32911040.534435693</v>
      </c>
      <c r="AA507" s="357">
        <f>+Bono!J507</f>
        <v>545502.9775237095</v>
      </c>
      <c r="AC507" s="378">
        <f t="shared" si="159"/>
        <v>40.333333333333336</v>
      </c>
      <c r="AD507" s="356">
        <f t="shared" si="160"/>
        <v>34311964.495665684</v>
      </c>
    </row>
    <row r="508" spans="1:30" x14ac:dyDescent="0.25">
      <c r="A508" s="356">
        <f t="shared" si="161"/>
        <v>40.416666666666664</v>
      </c>
      <c r="B508" s="356">
        <f t="shared" si="162"/>
        <v>485</v>
      </c>
      <c r="C508" s="357">
        <f t="shared" si="167"/>
        <v>40</v>
      </c>
      <c r="D508" s="357">
        <f t="shared" si="168"/>
        <v>5</v>
      </c>
      <c r="E508" s="357">
        <f t="shared" si="169"/>
        <v>69</v>
      </c>
      <c r="F508" s="356">
        <f t="shared" si="163"/>
        <v>855420.9837062837</v>
      </c>
      <c r="H508" s="356">
        <f t="shared" si="156"/>
        <v>6821.247049904905</v>
      </c>
      <c r="I508" s="356">
        <v>0</v>
      </c>
      <c r="J508" s="356">
        <v>0</v>
      </c>
      <c r="K508" s="356">
        <f t="shared" si="164"/>
        <v>-1000.2009876771788</v>
      </c>
      <c r="L508" s="356">
        <f t="shared" si="157"/>
        <v>861242.0297685114</v>
      </c>
      <c r="N508" s="356">
        <f t="shared" si="165"/>
        <v>485</v>
      </c>
      <c r="O508" s="357">
        <f t="shared" si="170"/>
        <v>40</v>
      </c>
      <c r="P508" s="357">
        <f t="shared" si="171"/>
        <v>5</v>
      </c>
      <c r="Q508" s="357">
        <f t="shared" si="172"/>
        <v>40</v>
      </c>
      <c r="R508" s="356">
        <f t="shared" si="166"/>
        <v>32911040.534435693</v>
      </c>
      <c r="S508" s="356">
        <f>IF($G$4="mensual",S507,0)</f>
        <v>10000</v>
      </c>
      <c r="U508" s="356">
        <f t="shared" si="173"/>
        <v>262517.00028722326</v>
      </c>
      <c r="V508" s="359">
        <f t="shared" si="155"/>
        <v>-424.37181534457693</v>
      </c>
      <c r="X508" s="359">
        <f t="shared" si="174"/>
        <v>-38492.43446897278</v>
      </c>
      <c r="Y508" s="356">
        <f t="shared" si="158"/>
        <v>33144640.728438597</v>
      </c>
      <c r="AA508" s="357">
        <f>+Bono!J508</f>
        <v>548885.1592587855</v>
      </c>
      <c r="AC508" s="378">
        <f t="shared" si="159"/>
        <v>40.416666666666664</v>
      </c>
      <c r="AD508" s="356">
        <f t="shared" si="160"/>
        <v>34554767.917465895</v>
      </c>
    </row>
    <row r="509" spans="1:30" x14ac:dyDescent="0.25">
      <c r="A509" s="356">
        <f t="shared" si="161"/>
        <v>40.5</v>
      </c>
      <c r="B509" s="356">
        <f t="shared" si="162"/>
        <v>486</v>
      </c>
      <c r="C509" s="357">
        <f t="shared" si="167"/>
        <v>40</v>
      </c>
      <c r="D509" s="357">
        <f t="shared" si="168"/>
        <v>6</v>
      </c>
      <c r="E509" s="357">
        <f t="shared" si="169"/>
        <v>69</v>
      </c>
      <c r="F509" s="356">
        <f t="shared" si="163"/>
        <v>861242.0297685114</v>
      </c>
      <c r="H509" s="356">
        <f t="shared" si="156"/>
        <v>6867.664888648226</v>
      </c>
      <c r="I509" s="356">
        <v>0</v>
      </c>
      <c r="J509" s="360">
        <f>-SUM(F509:H509)*$J$21*1.16</f>
        <v>-9063.065212220747</v>
      </c>
      <c r="K509" s="356">
        <f t="shared" si="164"/>
        <v>-996.494090156129</v>
      </c>
      <c r="L509" s="356">
        <f t="shared" si="157"/>
        <v>858050.1353547827</v>
      </c>
      <c r="N509" s="356">
        <f t="shared" si="165"/>
        <v>486</v>
      </c>
      <c r="O509" s="357">
        <f t="shared" si="170"/>
        <v>40</v>
      </c>
      <c r="P509" s="357">
        <f t="shared" si="171"/>
        <v>6</v>
      </c>
      <c r="Q509" s="357">
        <f t="shared" si="172"/>
        <v>40</v>
      </c>
      <c r="R509" s="356">
        <f t="shared" si="166"/>
        <v>33144640.728438597</v>
      </c>
      <c r="S509" s="356">
        <f>IF($G$4="mensual",S508,0)</f>
        <v>10000</v>
      </c>
      <c r="U509" s="356">
        <f t="shared" si="173"/>
        <v>264379.7610384216</v>
      </c>
      <c r="V509" s="359">
        <f t="shared" si="155"/>
        <v>-424.37181534457693</v>
      </c>
      <c r="X509" s="359">
        <f t="shared" si="174"/>
        <v>-38765.571496487544</v>
      </c>
      <c r="Y509" s="356">
        <f t="shared" si="158"/>
        <v>33379830.546165187</v>
      </c>
      <c r="AA509" s="357">
        <f>+Bono!J509</f>
        <v>547312.7405443429</v>
      </c>
      <c r="AC509" s="378">
        <f t="shared" si="159"/>
        <v>40.5</v>
      </c>
      <c r="AD509" s="356">
        <f t="shared" si="160"/>
        <v>34785193.42206431</v>
      </c>
    </row>
    <row r="510" spans="1:30" x14ac:dyDescent="0.25">
      <c r="A510" s="356">
        <f t="shared" si="161"/>
        <v>40.583333333333336</v>
      </c>
      <c r="B510" s="356">
        <f t="shared" si="162"/>
        <v>487</v>
      </c>
      <c r="C510" s="357">
        <f t="shared" si="167"/>
        <v>40</v>
      </c>
      <c r="D510" s="357">
        <f t="shared" si="168"/>
        <v>7</v>
      </c>
      <c r="E510" s="357">
        <f t="shared" si="169"/>
        <v>69</v>
      </c>
      <c r="F510" s="356">
        <f t="shared" si="163"/>
        <v>858050.1353547827</v>
      </c>
      <c r="H510" s="356">
        <f t="shared" si="156"/>
        <v>6842.21227435892</v>
      </c>
      <c r="I510" s="356">
        <v>0</v>
      </c>
      <c r="J510" s="356">
        <v>0</v>
      </c>
      <c r="K510" s="356">
        <f t="shared" si="164"/>
        <v>-1003.2751232498043</v>
      </c>
      <c r="L510" s="356">
        <f t="shared" si="157"/>
        <v>863889.0725058918</v>
      </c>
      <c r="N510" s="356">
        <f t="shared" si="165"/>
        <v>487</v>
      </c>
      <c r="O510" s="357">
        <f t="shared" si="170"/>
        <v>40</v>
      </c>
      <c r="P510" s="357">
        <f t="shared" si="171"/>
        <v>7</v>
      </c>
      <c r="Q510" s="357">
        <f t="shared" si="172"/>
        <v>40</v>
      </c>
      <c r="R510" s="356">
        <f t="shared" si="166"/>
        <v>33379830.546165187</v>
      </c>
      <c r="S510" s="356">
        <f>+IF($G$4="mensual",S504,IF($G$4="trimestral",S504,IF($G$4="semestral",S504,0)))</f>
        <v>10000</v>
      </c>
      <c r="U510" s="356">
        <f t="shared" si="173"/>
        <v>266255.1976724217</v>
      </c>
      <c r="V510" s="359">
        <f t="shared" si="155"/>
        <v>-424.37181534457693</v>
      </c>
      <c r="X510" s="359">
        <f t="shared" si="174"/>
        <v>-39040.56719154583</v>
      </c>
      <c r="Y510" s="356">
        <f t="shared" si="158"/>
        <v>33616620.804830715</v>
      </c>
      <c r="AA510" s="357">
        <f>+Bono!J510</f>
        <v>550706.1430200663</v>
      </c>
      <c r="AC510" s="378">
        <f t="shared" si="159"/>
        <v>40.583333333333336</v>
      </c>
      <c r="AD510" s="356">
        <f t="shared" si="160"/>
        <v>35031216.02035667</v>
      </c>
    </row>
    <row r="511" spans="1:30" x14ac:dyDescent="0.25">
      <c r="A511" s="356">
        <f t="shared" si="161"/>
        <v>40.666666666666664</v>
      </c>
      <c r="B511" s="356">
        <f t="shared" si="162"/>
        <v>488</v>
      </c>
      <c r="C511" s="357">
        <f t="shared" si="167"/>
        <v>40</v>
      </c>
      <c r="D511" s="357">
        <f t="shared" si="168"/>
        <v>8</v>
      </c>
      <c r="E511" s="357">
        <f t="shared" si="169"/>
        <v>69</v>
      </c>
      <c r="F511" s="356">
        <f t="shared" si="163"/>
        <v>863889.0725058918</v>
      </c>
      <c r="H511" s="356">
        <f t="shared" si="156"/>
        <v>6888.772779157407</v>
      </c>
      <c r="I511" s="356">
        <v>0</v>
      </c>
      <c r="J511" s="356">
        <v>0</v>
      </c>
      <c r="K511" s="356">
        <f t="shared" si="164"/>
        <v>-1010.1023005306571</v>
      </c>
      <c r="L511" s="356">
        <f t="shared" si="157"/>
        <v>869767.7429845185</v>
      </c>
      <c r="N511" s="356">
        <f t="shared" si="165"/>
        <v>488</v>
      </c>
      <c r="O511" s="357">
        <f t="shared" si="170"/>
        <v>40</v>
      </c>
      <c r="P511" s="357">
        <f t="shared" si="171"/>
        <v>8</v>
      </c>
      <c r="Q511" s="357">
        <f t="shared" si="172"/>
        <v>40</v>
      </c>
      <c r="R511" s="356">
        <f t="shared" si="166"/>
        <v>33616620.804830715</v>
      </c>
      <c r="S511" s="356">
        <f>IF($G$4="mensual",S510,0)</f>
        <v>10000</v>
      </c>
      <c r="U511" s="356">
        <f t="shared" si="173"/>
        <v>268143.39644721703</v>
      </c>
      <c r="V511" s="359">
        <f t="shared" si="155"/>
        <v>-424.37181534457693</v>
      </c>
      <c r="X511" s="359">
        <f t="shared" si="174"/>
        <v>-39317.4342021766</v>
      </c>
      <c r="Y511" s="356">
        <f t="shared" si="158"/>
        <v>33855022.39526041</v>
      </c>
      <c r="AA511" s="357">
        <f>+Bono!J511</f>
        <v>554120.5849847496</v>
      </c>
      <c r="AC511" s="378">
        <f t="shared" si="159"/>
        <v>40.666666666666664</v>
      </c>
      <c r="AD511" s="356">
        <f t="shared" si="160"/>
        <v>35278910.72322968</v>
      </c>
    </row>
    <row r="512" spans="1:30" x14ac:dyDescent="0.25">
      <c r="A512" s="356">
        <f t="shared" si="161"/>
        <v>40.75</v>
      </c>
      <c r="B512" s="356">
        <f t="shared" si="162"/>
        <v>489</v>
      </c>
      <c r="C512" s="357">
        <f t="shared" si="167"/>
        <v>40</v>
      </c>
      <c r="D512" s="357">
        <f t="shared" si="168"/>
        <v>9</v>
      </c>
      <c r="E512" s="357">
        <f t="shared" si="169"/>
        <v>69</v>
      </c>
      <c r="F512" s="356">
        <f t="shared" si="163"/>
        <v>869767.7429845185</v>
      </c>
      <c r="H512" s="356">
        <f t="shared" si="156"/>
        <v>6935.650123089227</v>
      </c>
      <c r="I512" s="356">
        <v>0</v>
      </c>
      <c r="J512" s="360">
        <f>-SUM(F512:H512)*$J$21*1.16</f>
        <v>-9152.783424043426</v>
      </c>
      <c r="K512" s="356">
        <f t="shared" si="164"/>
        <v>-1006.3587072329345</v>
      </c>
      <c r="L512" s="356">
        <f t="shared" si="157"/>
        <v>866544.2509763313</v>
      </c>
      <c r="N512" s="356">
        <f t="shared" si="165"/>
        <v>489</v>
      </c>
      <c r="O512" s="357">
        <f t="shared" si="170"/>
        <v>40</v>
      </c>
      <c r="P512" s="357">
        <f t="shared" si="171"/>
        <v>9</v>
      </c>
      <c r="Q512" s="357">
        <f t="shared" si="172"/>
        <v>40</v>
      </c>
      <c r="R512" s="356">
        <f t="shared" si="166"/>
        <v>33855022.39526041</v>
      </c>
      <c r="S512" s="356">
        <f>IF($G$4="mensual",S511,0)</f>
        <v>10000</v>
      </c>
      <c r="U512" s="356">
        <f t="shared" si="173"/>
        <v>270044.44420777744</v>
      </c>
      <c r="V512" s="359">
        <f t="shared" si="155"/>
        <v>-424.37181534457693</v>
      </c>
      <c r="X512" s="359">
        <f t="shared" si="174"/>
        <v>-39596.185262477295</v>
      </c>
      <c r="Y512" s="356">
        <f t="shared" si="158"/>
        <v>34095046.28239036</v>
      </c>
      <c r="AA512" s="357">
        <f>+Bono!J512</f>
        <v>552533.1680848928</v>
      </c>
      <c r="AC512" s="378">
        <f t="shared" si="159"/>
        <v>40.75</v>
      </c>
      <c r="AD512" s="356">
        <f t="shared" si="160"/>
        <v>35514123.701451585</v>
      </c>
    </row>
    <row r="513" spans="1:30" x14ac:dyDescent="0.25">
      <c r="A513" s="356">
        <f t="shared" si="161"/>
        <v>40.833333333333336</v>
      </c>
      <c r="B513" s="356">
        <f t="shared" si="162"/>
        <v>490</v>
      </c>
      <c r="C513" s="357">
        <f t="shared" si="167"/>
        <v>40</v>
      </c>
      <c r="D513" s="357">
        <f t="shared" si="168"/>
        <v>10</v>
      </c>
      <c r="E513" s="357">
        <f t="shared" si="169"/>
        <v>69</v>
      </c>
      <c r="F513" s="356">
        <f t="shared" si="163"/>
        <v>866544.2509763313</v>
      </c>
      <c r="H513" s="356">
        <f t="shared" si="156"/>
        <v>6909.945545144494</v>
      </c>
      <c r="I513" s="356">
        <v>0</v>
      </c>
      <c r="J513" s="356">
        <v>0</v>
      </c>
      <c r="K513" s="356">
        <f t="shared" si="164"/>
        <v>-1013.2068679649119</v>
      </c>
      <c r="L513" s="356">
        <f t="shared" si="157"/>
        <v>872440.9896535109</v>
      </c>
      <c r="N513" s="356">
        <f t="shared" si="165"/>
        <v>490</v>
      </c>
      <c r="O513" s="357">
        <f t="shared" si="170"/>
        <v>40</v>
      </c>
      <c r="P513" s="357">
        <f t="shared" si="171"/>
        <v>10</v>
      </c>
      <c r="Q513" s="357">
        <f t="shared" si="172"/>
        <v>40</v>
      </c>
      <c r="R513" s="356">
        <f t="shared" si="166"/>
        <v>34095046.28239036</v>
      </c>
      <c r="S513" s="356">
        <f>IF($G$4="mensual",S504,IF($G$4="trimestral",S504,0))</f>
        <v>10000</v>
      </c>
      <c r="U513" s="356">
        <f t="shared" si="173"/>
        <v>271958.42839004303</v>
      </c>
      <c r="V513" s="359">
        <f t="shared" si="155"/>
        <v>-424.37181534457693</v>
      </c>
      <c r="X513" s="359">
        <f t="shared" si="174"/>
        <v>-39876.83319319947</v>
      </c>
      <c r="Y513" s="356">
        <f t="shared" si="158"/>
        <v>34336703.50577186</v>
      </c>
      <c r="AA513" s="357">
        <f>+Bono!J513</f>
        <v>555958.9378168997</v>
      </c>
      <c r="AC513" s="378">
        <f t="shared" si="159"/>
        <v>40.833333333333336</v>
      </c>
      <c r="AD513" s="356">
        <f t="shared" si="160"/>
        <v>35765103.43324228</v>
      </c>
    </row>
    <row r="514" spans="1:30" x14ac:dyDescent="0.25">
      <c r="A514" s="356">
        <f t="shared" si="161"/>
        <v>40.916666666666664</v>
      </c>
      <c r="B514" s="356">
        <f t="shared" si="162"/>
        <v>491</v>
      </c>
      <c r="C514" s="357">
        <f t="shared" si="167"/>
        <v>40</v>
      </c>
      <c r="D514" s="357">
        <f t="shared" si="168"/>
        <v>11</v>
      </c>
      <c r="E514" s="357">
        <f t="shared" si="169"/>
        <v>69</v>
      </c>
      <c r="F514" s="356">
        <f t="shared" si="163"/>
        <v>872440.9896535109</v>
      </c>
      <c r="H514" s="356">
        <f t="shared" si="156"/>
        <v>6956.966967428872</v>
      </c>
      <c r="I514" s="356">
        <v>0</v>
      </c>
      <c r="J514" s="356">
        <v>0</v>
      </c>
      <c r="K514" s="356">
        <f t="shared" si="164"/>
        <v>-1020.1016296802901</v>
      </c>
      <c r="L514" s="356">
        <f t="shared" si="157"/>
        <v>878377.8549912595</v>
      </c>
      <c r="N514" s="356">
        <f t="shared" si="165"/>
        <v>491</v>
      </c>
      <c r="O514" s="357">
        <f t="shared" si="170"/>
        <v>40</v>
      </c>
      <c r="P514" s="357">
        <f t="shared" si="171"/>
        <v>11</v>
      </c>
      <c r="Q514" s="357">
        <f t="shared" si="172"/>
        <v>40</v>
      </c>
      <c r="R514" s="356">
        <f t="shared" si="166"/>
        <v>34336703.50577186</v>
      </c>
      <c r="S514" s="356">
        <f>IF($G$17="si",S502*(1+$G$20),S502)</f>
        <v>10000</v>
      </c>
      <c r="U514" s="356">
        <f t="shared" si="173"/>
        <v>273885.43702494603</v>
      </c>
      <c r="V514" s="359">
        <f t="shared" si="155"/>
        <v>-424.37181534457693</v>
      </c>
      <c r="X514" s="359">
        <f t="shared" si="174"/>
        <v>-40159.39090233849</v>
      </c>
      <c r="Y514" s="356">
        <f t="shared" si="158"/>
        <v>34580005.18007912</v>
      </c>
      <c r="AA514" s="357">
        <f>+Bono!J514</f>
        <v>559405.9477186099</v>
      </c>
      <c r="AC514" s="378">
        <f t="shared" si="159"/>
        <v>40.916666666666664</v>
      </c>
      <c r="AD514" s="356">
        <f t="shared" si="160"/>
        <v>36017788.98278899</v>
      </c>
    </row>
    <row r="515" spans="1:30" x14ac:dyDescent="0.25">
      <c r="A515" s="356">
        <f t="shared" si="161"/>
        <v>41</v>
      </c>
      <c r="B515" s="356">
        <f t="shared" si="162"/>
        <v>492</v>
      </c>
      <c r="C515" s="357">
        <f t="shared" si="167"/>
        <v>40</v>
      </c>
      <c r="D515" s="357">
        <f t="shared" si="168"/>
        <v>12</v>
      </c>
      <c r="E515" s="357">
        <f t="shared" si="169"/>
        <v>69</v>
      </c>
      <c r="F515" s="356">
        <f t="shared" si="163"/>
        <v>878377.8549912595</v>
      </c>
      <c r="H515" s="356">
        <f t="shared" si="156"/>
        <v>7004.308365339571</v>
      </c>
      <c r="I515" s="356">
        <v>0</v>
      </c>
      <c r="J515" s="360">
        <f>-SUM(F515:H515)*$J$21*1.16</f>
        <v>-9243.389785442894</v>
      </c>
      <c r="K515" s="356">
        <f t="shared" si="164"/>
        <v>-1016.3209773425411</v>
      </c>
      <c r="L515" s="356">
        <f t="shared" si="157"/>
        <v>875122.4525938137</v>
      </c>
      <c r="N515" s="356">
        <f t="shared" si="165"/>
        <v>492</v>
      </c>
      <c r="O515" s="357">
        <f t="shared" si="170"/>
        <v>40</v>
      </c>
      <c r="P515" s="357">
        <f t="shared" si="171"/>
        <v>12</v>
      </c>
      <c r="Q515" s="357">
        <f t="shared" si="172"/>
        <v>40</v>
      </c>
      <c r="R515" s="356">
        <f t="shared" si="166"/>
        <v>34580005.18007912</v>
      </c>
      <c r="S515" s="356">
        <f>IF($G$4="mensual",S514,0)</f>
        <v>10000</v>
      </c>
      <c r="U515" s="356">
        <f t="shared" si="173"/>
        <v>275825.5587424595</v>
      </c>
      <c r="V515" s="359">
        <f t="shared" si="155"/>
        <v>-424.37181534457693</v>
      </c>
      <c r="X515" s="359">
        <f t="shared" si="174"/>
        <v>-40443.87138572722</v>
      </c>
      <c r="Y515" s="356">
        <f t="shared" si="158"/>
        <v>34824962.4956205</v>
      </c>
      <c r="AA515" s="357">
        <f>+Bono!J515</f>
        <v>557803.3895762999</v>
      </c>
      <c r="AC515" s="378">
        <f t="shared" si="159"/>
        <v>41</v>
      </c>
      <c r="AD515" s="356">
        <f t="shared" si="160"/>
        <v>36257888.33779061</v>
      </c>
    </row>
    <row r="516" spans="1:30" x14ac:dyDescent="0.25">
      <c r="A516" s="356">
        <f t="shared" si="161"/>
        <v>41.083333333333336</v>
      </c>
      <c r="B516" s="356">
        <f t="shared" si="162"/>
        <v>493</v>
      </c>
      <c r="C516" s="357">
        <f t="shared" si="167"/>
        <v>41</v>
      </c>
      <c r="D516" s="357">
        <f t="shared" si="168"/>
        <v>1</v>
      </c>
      <c r="E516" s="357">
        <f t="shared" si="169"/>
        <v>70</v>
      </c>
      <c r="F516" s="356">
        <f t="shared" si="163"/>
        <v>875122.4525938137</v>
      </c>
      <c r="H516" s="356">
        <f t="shared" si="156"/>
        <v>6978.349329469747</v>
      </c>
      <c r="I516" s="356">
        <v>0</v>
      </c>
      <c r="J516" s="356">
        <v>0</v>
      </c>
      <c r="K516" s="356">
        <f t="shared" si="164"/>
        <v>-1023.2369302310086</v>
      </c>
      <c r="L516" s="356">
        <f t="shared" si="157"/>
        <v>881077.5649930524</v>
      </c>
      <c r="N516" s="356">
        <f t="shared" si="165"/>
        <v>493</v>
      </c>
      <c r="O516" s="357">
        <f t="shared" si="170"/>
        <v>41</v>
      </c>
      <c r="P516" s="357">
        <f t="shared" si="171"/>
        <v>1</v>
      </c>
      <c r="Q516" s="357">
        <f t="shared" si="172"/>
        <v>41</v>
      </c>
      <c r="R516" s="356">
        <f t="shared" si="166"/>
        <v>34824962.4956205</v>
      </c>
      <c r="S516" s="356">
        <f>IF($G$17="si",S504*(1+$G$20),S504)</f>
        <v>10000</v>
      </c>
      <c r="U516" s="356">
        <f t="shared" si="173"/>
        <v>277778.88277567376</v>
      </c>
      <c r="V516" s="359">
        <f>V515*(1+$G$18)</f>
        <v>-441.34668795836</v>
      </c>
      <c r="X516" s="359">
        <f t="shared" si="174"/>
        <v>-40730.26803678152</v>
      </c>
      <c r="Y516" s="356">
        <f t="shared" si="158"/>
        <v>35071569.76367143</v>
      </c>
      <c r="AA516" s="357">
        <f>+Bono!J516</f>
        <v>561261.8352928614</v>
      </c>
      <c r="AC516" s="378">
        <f t="shared" si="159"/>
        <v>41.083333333333336</v>
      </c>
      <c r="AD516" s="356">
        <f t="shared" si="160"/>
        <v>36513909.16395734</v>
      </c>
    </row>
    <row r="517" spans="1:30" x14ac:dyDescent="0.25">
      <c r="A517" s="356">
        <f t="shared" si="161"/>
        <v>41.166666666666664</v>
      </c>
      <c r="B517" s="356">
        <f t="shared" si="162"/>
        <v>494</v>
      </c>
      <c r="C517" s="357">
        <f t="shared" si="167"/>
        <v>41</v>
      </c>
      <c r="D517" s="357">
        <f t="shared" si="168"/>
        <v>2</v>
      </c>
      <c r="E517" s="357">
        <f t="shared" si="169"/>
        <v>70</v>
      </c>
      <c r="F517" s="356">
        <f t="shared" si="163"/>
        <v>881077.5649930524</v>
      </c>
      <c r="H517" s="356">
        <f t="shared" si="156"/>
        <v>7025.836232011183</v>
      </c>
      <c r="I517" s="356">
        <v>0</v>
      </c>
      <c r="J517" s="356">
        <v>0</v>
      </c>
      <c r="K517" s="356">
        <f t="shared" si="164"/>
        <v>-1030.1999454210738</v>
      </c>
      <c r="L517" s="356">
        <f t="shared" si="157"/>
        <v>887073.2012796425</v>
      </c>
      <c r="N517" s="356">
        <f t="shared" si="165"/>
        <v>494</v>
      </c>
      <c r="O517" s="357">
        <f t="shared" si="170"/>
        <v>41</v>
      </c>
      <c r="P517" s="357">
        <f t="shared" si="171"/>
        <v>2</v>
      </c>
      <c r="Q517" s="357">
        <f t="shared" si="172"/>
        <v>41</v>
      </c>
      <c r="R517" s="356">
        <f t="shared" si="166"/>
        <v>35071569.76367143</v>
      </c>
      <c r="S517" s="356">
        <f>IF($G$4="mensual",S516,0)</f>
        <v>10000</v>
      </c>
      <c r="U517" s="356">
        <f t="shared" si="173"/>
        <v>279745.3637619002</v>
      </c>
      <c r="V517" s="359">
        <f t="shared" si="155"/>
        <v>-441.34668795836</v>
      </c>
      <c r="X517" s="359">
        <f t="shared" si="174"/>
        <v>-41018.61358566463</v>
      </c>
      <c r="Y517" s="356">
        <f t="shared" si="158"/>
        <v>35319855.16715971</v>
      </c>
      <c r="AA517" s="357">
        <f>+Bono!J517</f>
        <v>564741.7237740206</v>
      </c>
      <c r="AC517" s="378">
        <f t="shared" si="159"/>
        <v>41.166666666666664</v>
      </c>
      <c r="AD517" s="356">
        <f t="shared" si="160"/>
        <v>36771670.09221337</v>
      </c>
    </row>
    <row r="518" spans="1:30" x14ac:dyDescent="0.25">
      <c r="A518" s="356">
        <f t="shared" si="161"/>
        <v>41.25</v>
      </c>
      <c r="B518" s="356">
        <f t="shared" si="162"/>
        <v>495</v>
      </c>
      <c r="C518" s="357">
        <f t="shared" si="167"/>
        <v>41</v>
      </c>
      <c r="D518" s="357">
        <f t="shared" si="168"/>
        <v>3</v>
      </c>
      <c r="E518" s="357">
        <f t="shared" si="169"/>
        <v>70</v>
      </c>
      <c r="F518" s="356">
        <f t="shared" si="163"/>
        <v>887073.2012796425</v>
      </c>
      <c r="H518" s="356">
        <f t="shared" si="156"/>
        <v>7073.646277721084</v>
      </c>
      <c r="I518" s="356">
        <v>0</v>
      </c>
      <c r="J518" s="360">
        <f>-SUM(F518:H518)*$J$21*1.16</f>
        <v>-9334.893088498877</v>
      </c>
      <c r="K518" s="356">
        <f t="shared" si="164"/>
        <v>-1026.381867183883</v>
      </c>
      <c r="L518" s="356">
        <f t="shared" si="157"/>
        <v>883785.5726016809</v>
      </c>
      <c r="N518" s="356">
        <f t="shared" si="165"/>
        <v>495</v>
      </c>
      <c r="O518" s="357">
        <f t="shared" si="170"/>
        <v>41</v>
      </c>
      <c r="P518" s="357">
        <f t="shared" si="171"/>
        <v>3</v>
      </c>
      <c r="Q518" s="357">
        <f t="shared" si="172"/>
        <v>41</v>
      </c>
      <c r="R518" s="356">
        <f t="shared" si="166"/>
        <v>35319855.16715971</v>
      </c>
      <c r="S518" s="356">
        <f>IF($G$4="mensual",S517,0)</f>
        <v>10000</v>
      </c>
      <c r="U518" s="356">
        <f t="shared" si="173"/>
        <v>281725.2264357628</v>
      </c>
      <c r="V518" s="359">
        <f t="shared" si="155"/>
        <v>-441.34668795836</v>
      </c>
      <c r="X518" s="359">
        <f t="shared" si="174"/>
        <v>-41308.921294412714</v>
      </c>
      <c r="Y518" s="356">
        <f t="shared" si="158"/>
        <v>35569830.1256131</v>
      </c>
      <c r="AA518" s="357">
        <f>+Bono!J518</f>
        <v>563123.8799676986</v>
      </c>
      <c r="AC518" s="378">
        <f t="shared" si="159"/>
        <v>41.25</v>
      </c>
      <c r="AD518" s="356">
        <f t="shared" si="160"/>
        <v>37016739.57818248</v>
      </c>
    </row>
    <row r="519" spans="1:30" x14ac:dyDescent="0.25">
      <c r="A519" s="356">
        <f t="shared" si="161"/>
        <v>41.333333333333336</v>
      </c>
      <c r="B519" s="356">
        <f t="shared" si="162"/>
        <v>496</v>
      </c>
      <c r="C519" s="357">
        <f t="shared" si="167"/>
        <v>41</v>
      </c>
      <c r="D519" s="357">
        <f t="shared" si="168"/>
        <v>4</v>
      </c>
      <c r="E519" s="357">
        <f t="shared" si="169"/>
        <v>70</v>
      </c>
      <c r="F519" s="356">
        <f t="shared" si="163"/>
        <v>883785.5726016809</v>
      </c>
      <c r="H519" s="356">
        <f t="shared" si="156"/>
        <v>7047.430264964926</v>
      </c>
      <c r="I519" s="356">
        <v>0</v>
      </c>
      <c r="J519" s="356">
        <v>0</v>
      </c>
      <c r="K519" s="356">
        <f t="shared" si="164"/>
        <v>-1033.366283325309</v>
      </c>
      <c r="L519" s="356">
        <f t="shared" si="157"/>
        <v>889799.6365833204</v>
      </c>
      <c r="N519" s="356">
        <f t="shared" si="165"/>
        <v>496</v>
      </c>
      <c r="O519" s="357">
        <f t="shared" si="170"/>
        <v>41</v>
      </c>
      <c r="P519" s="357">
        <f t="shared" si="171"/>
        <v>4</v>
      </c>
      <c r="Q519" s="357">
        <f t="shared" si="172"/>
        <v>41</v>
      </c>
      <c r="R519" s="356">
        <f t="shared" si="166"/>
        <v>35569830.1256131</v>
      </c>
      <c r="S519" s="356">
        <f>IF($G$4="mensual",S516,IF($G$4="trimestral",S516,0))</f>
        <v>10000</v>
      </c>
      <c r="U519" s="356">
        <f t="shared" si="173"/>
        <v>283718.5618581795</v>
      </c>
      <c r="V519" s="359">
        <f t="shared" si="155"/>
        <v>-441.34668795836</v>
      </c>
      <c r="X519" s="359">
        <f t="shared" si="174"/>
        <v>-41601.20451530865</v>
      </c>
      <c r="Y519" s="356">
        <f t="shared" si="158"/>
        <v>35821506.13626801</v>
      </c>
      <c r="AA519" s="357">
        <f>+Bono!J519</f>
        <v>566615.3133418255</v>
      </c>
      <c r="AC519" s="378">
        <f t="shared" si="159"/>
        <v>41.333333333333336</v>
      </c>
      <c r="AD519" s="356">
        <f t="shared" si="160"/>
        <v>37277921.08619316</v>
      </c>
    </row>
    <row r="520" spans="1:30" x14ac:dyDescent="0.25">
      <c r="A520" s="356">
        <f t="shared" si="161"/>
        <v>41.416666666666664</v>
      </c>
      <c r="B520" s="356">
        <f t="shared" si="162"/>
        <v>497</v>
      </c>
      <c r="C520" s="357">
        <f t="shared" si="167"/>
        <v>41</v>
      </c>
      <c r="D520" s="357">
        <f t="shared" si="168"/>
        <v>5</v>
      </c>
      <c r="E520" s="357">
        <f t="shared" si="169"/>
        <v>70</v>
      </c>
      <c r="F520" s="356">
        <f t="shared" si="163"/>
        <v>889799.6365833204</v>
      </c>
      <c r="H520" s="356">
        <f t="shared" si="156"/>
        <v>7095.387255702933</v>
      </c>
      <c r="I520" s="356">
        <v>0</v>
      </c>
      <c r="J520" s="356">
        <v>0</v>
      </c>
      <c r="K520" s="356">
        <f t="shared" si="164"/>
        <v>-1040.3982276532672</v>
      </c>
      <c r="L520" s="356">
        <f t="shared" si="157"/>
        <v>895854.6256113702</v>
      </c>
      <c r="N520" s="356">
        <f t="shared" si="165"/>
        <v>497</v>
      </c>
      <c r="O520" s="357">
        <f t="shared" si="170"/>
        <v>41</v>
      </c>
      <c r="P520" s="357">
        <f t="shared" si="171"/>
        <v>5</v>
      </c>
      <c r="Q520" s="357">
        <f t="shared" si="172"/>
        <v>41</v>
      </c>
      <c r="R520" s="356">
        <f t="shared" si="166"/>
        <v>35821506.13626801</v>
      </c>
      <c r="S520" s="356">
        <f>IF($G$4="mensual",S519,0)</f>
        <v>10000</v>
      </c>
      <c r="U520" s="356">
        <f t="shared" si="173"/>
        <v>285725.46170972806</v>
      </c>
      <c r="V520" s="359">
        <f t="shared" si="155"/>
        <v>-441.34668795836</v>
      </c>
      <c r="X520" s="359">
        <f t="shared" si="174"/>
        <v>-41895.47669149615</v>
      </c>
      <c r="Y520" s="356">
        <f t="shared" si="158"/>
        <v>36074894.774598286</v>
      </c>
      <c r="AA520" s="357">
        <f>+Bono!J520</f>
        <v>570128.3940078532</v>
      </c>
      <c r="AC520" s="378">
        <f t="shared" si="159"/>
        <v>41.416666666666664</v>
      </c>
      <c r="AD520" s="356">
        <f t="shared" si="160"/>
        <v>37540877.79421751</v>
      </c>
    </row>
    <row r="521" spans="1:30" x14ac:dyDescent="0.25">
      <c r="A521" s="356">
        <f t="shared" si="161"/>
        <v>41.5</v>
      </c>
      <c r="B521" s="356">
        <f t="shared" si="162"/>
        <v>498</v>
      </c>
      <c r="C521" s="357">
        <f t="shared" si="167"/>
        <v>41</v>
      </c>
      <c r="D521" s="357">
        <f t="shared" si="168"/>
        <v>6</v>
      </c>
      <c r="E521" s="357">
        <f t="shared" si="169"/>
        <v>70</v>
      </c>
      <c r="F521" s="356">
        <f t="shared" si="163"/>
        <v>895854.6256113702</v>
      </c>
      <c r="H521" s="356">
        <f t="shared" si="156"/>
        <v>7143.670588508073</v>
      </c>
      <c r="I521" s="356">
        <v>0</v>
      </c>
      <c r="J521" s="360">
        <f>-SUM(F521:H521)*$J$21*1.16</f>
        <v>-9427.30221232673</v>
      </c>
      <c r="K521" s="356">
        <f t="shared" si="164"/>
        <v>-1036.5423530255596</v>
      </c>
      <c r="L521" s="356">
        <f t="shared" si="157"/>
        <v>892534.4516345259</v>
      </c>
      <c r="N521" s="356">
        <f t="shared" si="165"/>
        <v>498</v>
      </c>
      <c r="O521" s="357">
        <f t="shared" si="170"/>
        <v>41</v>
      </c>
      <c r="P521" s="357">
        <f t="shared" si="171"/>
        <v>6</v>
      </c>
      <c r="Q521" s="357">
        <f t="shared" si="172"/>
        <v>41</v>
      </c>
      <c r="R521" s="356">
        <f t="shared" si="166"/>
        <v>36074894.774598286</v>
      </c>
      <c r="S521" s="356">
        <f>IF($G$4="mensual",S520,0)</f>
        <v>10000</v>
      </c>
      <c r="U521" s="356">
        <f t="shared" si="173"/>
        <v>287746.01829486236</v>
      </c>
      <c r="V521" s="359">
        <f t="shared" ref="V521:V584" si="175">V520</f>
        <v>-441.34668795836</v>
      </c>
      <c r="X521" s="359">
        <f t="shared" si="174"/>
        <v>-42191.75135759803</v>
      </c>
      <c r="Y521" s="356">
        <f t="shared" si="158"/>
        <v>36330007.69484759</v>
      </c>
      <c r="AA521" s="357">
        <f>+Bono!J521</f>
        <v>568495.1187384258</v>
      </c>
      <c r="AC521" s="378">
        <f t="shared" si="159"/>
        <v>41.5</v>
      </c>
      <c r="AD521" s="356">
        <f t="shared" si="160"/>
        <v>37791037.265220545</v>
      </c>
    </row>
    <row r="522" spans="1:30" x14ac:dyDescent="0.25">
      <c r="A522" s="356">
        <f t="shared" si="161"/>
        <v>41.583333333333336</v>
      </c>
      <c r="B522" s="356">
        <f t="shared" si="162"/>
        <v>499</v>
      </c>
      <c r="C522" s="357">
        <f t="shared" si="167"/>
        <v>41</v>
      </c>
      <c r="D522" s="357">
        <f t="shared" si="168"/>
        <v>7</v>
      </c>
      <c r="E522" s="357">
        <f t="shared" si="169"/>
        <v>70</v>
      </c>
      <c r="F522" s="356">
        <f t="shared" si="163"/>
        <v>892534.4516345259</v>
      </c>
      <c r="H522" s="356">
        <f t="shared" si="156"/>
        <v>7117.195054968324</v>
      </c>
      <c r="I522" s="356">
        <v>0</v>
      </c>
      <c r="J522" s="356">
        <v>0</v>
      </c>
      <c r="K522" s="356">
        <f t="shared" si="164"/>
        <v>-1043.5959101598135</v>
      </c>
      <c r="L522" s="356">
        <f t="shared" si="157"/>
        <v>898608.0507793344</v>
      </c>
      <c r="N522" s="356">
        <f t="shared" si="165"/>
        <v>499</v>
      </c>
      <c r="O522" s="357">
        <f t="shared" si="170"/>
        <v>41</v>
      </c>
      <c r="P522" s="357">
        <f t="shared" si="171"/>
        <v>7</v>
      </c>
      <c r="Q522" s="357">
        <f t="shared" si="172"/>
        <v>41</v>
      </c>
      <c r="R522" s="356">
        <f t="shared" si="166"/>
        <v>36330007.69484759</v>
      </c>
      <c r="S522" s="356">
        <f>+IF($G$4="mensual",S516,IF($G$4="trimestral",S516,IF($G$4="semestral",S516,0)))</f>
        <v>10000</v>
      </c>
      <c r="U522" s="356">
        <f t="shared" si="173"/>
        <v>289780.3245461581</v>
      </c>
      <c r="V522" s="359">
        <f t="shared" si="175"/>
        <v>-441.34668795836</v>
      </c>
      <c r="X522" s="359">
        <f t="shared" si="174"/>
        <v>-42490.042140338715</v>
      </c>
      <c r="Y522" s="356">
        <f t="shared" si="158"/>
        <v>36586856.63056545</v>
      </c>
      <c r="AA522" s="357">
        <f>+Bono!J522</f>
        <v>572019.8544159563</v>
      </c>
      <c r="AC522" s="378">
        <f t="shared" si="159"/>
        <v>41.583333333333336</v>
      </c>
      <c r="AD522" s="356">
        <f t="shared" si="160"/>
        <v>38057484.53576074</v>
      </c>
    </row>
    <row r="523" spans="1:30" x14ac:dyDescent="0.25">
      <c r="A523" s="356">
        <f t="shared" si="161"/>
        <v>41.666666666666664</v>
      </c>
      <c r="B523" s="356">
        <f t="shared" si="162"/>
        <v>500</v>
      </c>
      <c r="C523" s="357">
        <f t="shared" si="167"/>
        <v>41</v>
      </c>
      <c r="D523" s="357">
        <f t="shared" si="168"/>
        <v>8</v>
      </c>
      <c r="E523" s="357">
        <f t="shared" si="169"/>
        <v>70</v>
      </c>
      <c r="F523" s="356">
        <f t="shared" si="163"/>
        <v>898608.0507793344</v>
      </c>
      <c r="H523" s="356">
        <f t="shared" si="156"/>
        <v>7165.626787457897</v>
      </c>
      <c r="I523" s="356">
        <v>0</v>
      </c>
      <c r="J523" s="356">
        <v>0</v>
      </c>
      <c r="K523" s="356">
        <f t="shared" si="164"/>
        <v>-1050.697465977479</v>
      </c>
      <c r="L523" s="356">
        <f t="shared" si="157"/>
        <v>904722.9801008147</v>
      </c>
      <c r="N523" s="356">
        <f t="shared" si="165"/>
        <v>500</v>
      </c>
      <c r="O523" s="357">
        <f t="shared" si="170"/>
        <v>41</v>
      </c>
      <c r="P523" s="357">
        <f t="shared" si="171"/>
        <v>8</v>
      </c>
      <c r="Q523" s="357">
        <f t="shared" si="172"/>
        <v>41</v>
      </c>
      <c r="R523" s="356">
        <f t="shared" si="166"/>
        <v>36586856.63056545</v>
      </c>
      <c r="S523" s="356">
        <f>IF($G$4="mensual",S522,0)</f>
        <v>10000</v>
      </c>
      <c r="U523" s="356">
        <f t="shared" si="173"/>
        <v>291828.47402858676</v>
      </c>
      <c r="V523" s="359">
        <f t="shared" si="175"/>
        <v>-441.34668795836</v>
      </c>
      <c r="X523" s="359">
        <f t="shared" si="174"/>
        <v>-42790.36275917105</v>
      </c>
      <c r="Y523" s="356">
        <f t="shared" si="158"/>
        <v>36845453.39514691</v>
      </c>
      <c r="AA523" s="357">
        <f>+Bono!J523</f>
        <v>575566.4438635316</v>
      </c>
      <c r="AC523" s="378">
        <f t="shared" si="159"/>
        <v>41.666666666666664</v>
      </c>
      <c r="AD523" s="356">
        <f t="shared" si="160"/>
        <v>38325742.81911126</v>
      </c>
    </row>
    <row r="524" spans="1:30" x14ac:dyDescent="0.25">
      <c r="A524" s="356">
        <f t="shared" si="161"/>
        <v>41.75</v>
      </c>
      <c r="B524" s="356">
        <f t="shared" si="162"/>
        <v>501</v>
      </c>
      <c r="C524" s="357">
        <f t="shared" si="167"/>
        <v>41</v>
      </c>
      <c r="D524" s="357">
        <f t="shared" si="168"/>
        <v>9</v>
      </c>
      <c r="E524" s="357">
        <f t="shared" si="169"/>
        <v>70</v>
      </c>
      <c r="F524" s="356">
        <f t="shared" si="163"/>
        <v>904722.9801008147</v>
      </c>
      <c r="H524" s="356">
        <f t="shared" si="156"/>
        <v>7214.388092580202</v>
      </c>
      <c r="I524" s="356">
        <v>0</v>
      </c>
      <c r="J524" s="360">
        <f>-SUM(F524:H524)*$J$21*1.16</f>
        <v>-9520.626123939044</v>
      </c>
      <c r="K524" s="356">
        <f t="shared" si="164"/>
        <v>-1046.8034208005688</v>
      </c>
      <c r="L524" s="356">
        <f t="shared" si="157"/>
        <v>901369.9386486553</v>
      </c>
      <c r="N524" s="356">
        <f t="shared" si="165"/>
        <v>501</v>
      </c>
      <c r="O524" s="357">
        <f t="shared" si="170"/>
        <v>41</v>
      </c>
      <c r="P524" s="357">
        <f t="shared" si="171"/>
        <v>9</v>
      </c>
      <c r="Q524" s="357">
        <f t="shared" si="172"/>
        <v>41</v>
      </c>
      <c r="R524" s="356">
        <f t="shared" si="166"/>
        <v>36845453.39514691</v>
      </c>
      <c r="S524" s="356">
        <f>IF($G$4="mensual",S523,0)</f>
        <v>10000</v>
      </c>
      <c r="U524" s="356">
        <f t="shared" si="173"/>
        <v>293890.56094381947</v>
      </c>
      <c r="V524" s="359">
        <f t="shared" si="175"/>
        <v>-441.34668795836</v>
      </c>
      <c r="X524" s="359">
        <f t="shared" si="174"/>
        <v>-43092.72702690721</v>
      </c>
      <c r="Y524" s="356">
        <f t="shared" si="158"/>
        <v>37105809.88237586</v>
      </c>
      <c r="AA524" s="357">
        <f>+Bono!J524</f>
        <v>573917.5899412314</v>
      </c>
      <c r="AC524" s="378">
        <f t="shared" si="159"/>
        <v>41.75</v>
      </c>
      <c r="AD524" s="356">
        <f t="shared" si="160"/>
        <v>38581097.41096575</v>
      </c>
    </row>
    <row r="525" spans="1:30" x14ac:dyDescent="0.25">
      <c r="A525" s="356">
        <f t="shared" si="161"/>
        <v>41.833333333333336</v>
      </c>
      <c r="B525" s="356">
        <f t="shared" si="162"/>
        <v>502</v>
      </c>
      <c r="C525" s="357">
        <f t="shared" si="167"/>
        <v>41</v>
      </c>
      <c r="D525" s="357">
        <f t="shared" si="168"/>
        <v>10</v>
      </c>
      <c r="E525" s="357">
        <f t="shared" si="169"/>
        <v>70</v>
      </c>
      <c r="F525" s="356">
        <f t="shared" si="163"/>
        <v>901369.9386486553</v>
      </c>
      <c r="H525" s="356">
        <f t="shared" si="156"/>
        <v>7187.650469176748</v>
      </c>
      <c r="I525" s="356">
        <v>0</v>
      </c>
      <c r="J525" s="356">
        <v>0</v>
      </c>
      <c r="K525" s="356">
        <f t="shared" si="164"/>
        <v>-1053.926803376685</v>
      </c>
      <c r="L525" s="356">
        <f t="shared" si="157"/>
        <v>907503.6623144554</v>
      </c>
      <c r="N525" s="356">
        <f t="shared" si="165"/>
        <v>502</v>
      </c>
      <c r="O525" s="357">
        <f t="shared" si="170"/>
        <v>41</v>
      </c>
      <c r="P525" s="357">
        <f t="shared" si="171"/>
        <v>10</v>
      </c>
      <c r="Q525" s="357">
        <f t="shared" si="172"/>
        <v>41</v>
      </c>
      <c r="R525" s="356">
        <f t="shared" si="166"/>
        <v>37105809.88237586</v>
      </c>
      <c r="S525" s="356">
        <f>IF($G$4="mensual",S516,IF($G$4="trimestral",S516,0))</f>
        <v>10000</v>
      </c>
      <c r="U525" s="356">
        <f t="shared" si="173"/>
        <v>295966.6801345592</v>
      </c>
      <c r="V525" s="359">
        <f t="shared" si="175"/>
        <v>-441.34668795836</v>
      </c>
      <c r="X525" s="359">
        <f t="shared" si="174"/>
        <v>-43397.148850354046</v>
      </c>
      <c r="Y525" s="356">
        <f t="shared" si="158"/>
        <v>37367938.06697211</v>
      </c>
      <c r="AA525" s="357">
        <f>+Bono!J525</f>
        <v>577475.945569187</v>
      </c>
      <c r="AC525" s="378">
        <f t="shared" si="159"/>
        <v>41.833333333333336</v>
      </c>
      <c r="AD525" s="356">
        <f t="shared" si="160"/>
        <v>38852917.67485575</v>
      </c>
    </row>
    <row r="526" spans="1:30" x14ac:dyDescent="0.25">
      <c r="A526" s="356">
        <f t="shared" si="161"/>
        <v>41.916666666666664</v>
      </c>
      <c r="B526" s="356">
        <f t="shared" si="162"/>
        <v>503</v>
      </c>
      <c r="C526" s="357">
        <f t="shared" si="167"/>
        <v>41</v>
      </c>
      <c r="D526" s="357">
        <f t="shared" si="168"/>
        <v>11</v>
      </c>
      <c r="E526" s="357">
        <f t="shared" si="169"/>
        <v>70</v>
      </c>
      <c r="F526" s="356">
        <f t="shared" si="163"/>
        <v>907503.6623144554</v>
      </c>
      <c r="H526" s="356">
        <f t="shared" si="156"/>
        <v>7236.561643039928</v>
      </c>
      <c r="I526" s="356">
        <v>0</v>
      </c>
      <c r="J526" s="356">
        <v>0</v>
      </c>
      <c r="K526" s="356">
        <f t="shared" si="164"/>
        <v>-1061.0986597906945</v>
      </c>
      <c r="L526" s="356">
        <f t="shared" si="157"/>
        <v>913679.1252977046</v>
      </c>
      <c r="N526" s="356">
        <f t="shared" si="165"/>
        <v>503</v>
      </c>
      <c r="O526" s="357">
        <f t="shared" si="170"/>
        <v>41</v>
      </c>
      <c r="P526" s="357">
        <f t="shared" si="171"/>
        <v>11</v>
      </c>
      <c r="Q526" s="357">
        <f t="shared" si="172"/>
        <v>41</v>
      </c>
      <c r="R526" s="356">
        <f t="shared" si="166"/>
        <v>37367938.06697211</v>
      </c>
      <c r="S526" s="356">
        <f>IF($G$17="si",S514*(1+$G$20),S514)</f>
        <v>10000</v>
      </c>
      <c r="U526" s="356">
        <f t="shared" si="173"/>
        <v>298056.9270889033</v>
      </c>
      <c r="V526" s="359">
        <f t="shared" si="175"/>
        <v>-441.34668795836</v>
      </c>
      <c r="X526" s="359">
        <f t="shared" si="174"/>
        <v>-43703.64223095274</v>
      </c>
      <c r="Y526" s="356">
        <f t="shared" si="158"/>
        <v>37631850.0051421</v>
      </c>
      <c r="AA526" s="357">
        <f>+Bono!J526</f>
        <v>581056.3634147798</v>
      </c>
      <c r="AC526" s="378">
        <f t="shared" si="159"/>
        <v>41.916666666666664</v>
      </c>
      <c r="AD526" s="356">
        <f t="shared" si="160"/>
        <v>39126585.49385458</v>
      </c>
    </row>
    <row r="527" spans="1:30" x14ac:dyDescent="0.25">
      <c r="A527" s="356">
        <f t="shared" si="161"/>
        <v>42</v>
      </c>
      <c r="B527" s="356">
        <f t="shared" si="162"/>
        <v>504</v>
      </c>
      <c r="C527" s="357">
        <f t="shared" si="167"/>
        <v>41</v>
      </c>
      <c r="D527" s="357">
        <f t="shared" si="168"/>
        <v>12</v>
      </c>
      <c r="E527" s="357">
        <f t="shared" si="169"/>
        <v>70</v>
      </c>
      <c r="F527" s="356">
        <f t="shared" si="163"/>
        <v>913679.1252977046</v>
      </c>
      <c r="H527" s="356">
        <f t="shared" si="156"/>
        <v>7285.8056520818545</v>
      </c>
      <c r="I527" s="356">
        <v>0</v>
      </c>
      <c r="J527" s="360">
        <f>-SUM(F527:H527)*$J$21*1.16</f>
        <v>-9614.873879115772</v>
      </c>
      <c r="K527" s="356">
        <f t="shared" si="164"/>
        <v>-1057.1660662019779</v>
      </c>
      <c r="L527" s="356">
        <f t="shared" si="157"/>
        <v>910292.8910044687</v>
      </c>
      <c r="N527" s="356">
        <f t="shared" si="165"/>
        <v>504</v>
      </c>
      <c r="O527" s="357">
        <f t="shared" si="170"/>
        <v>41</v>
      </c>
      <c r="P527" s="357">
        <f t="shared" si="171"/>
        <v>12</v>
      </c>
      <c r="Q527" s="357">
        <f t="shared" si="172"/>
        <v>41</v>
      </c>
      <c r="R527" s="356">
        <f t="shared" si="166"/>
        <v>37631850.0051421</v>
      </c>
      <c r="S527" s="356">
        <f>IF($G$4="mensual",S526,0)</f>
        <v>10000</v>
      </c>
      <c r="U527" s="356">
        <f t="shared" si="173"/>
        <v>300161.397944735</v>
      </c>
      <c r="V527" s="359">
        <f t="shared" si="175"/>
        <v>-441.34668795836</v>
      </c>
      <c r="X527" s="359">
        <f t="shared" si="174"/>
        <v>-44012.2212654227</v>
      </c>
      <c r="Y527" s="356">
        <f t="shared" si="158"/>
        <v>37897557.835133456</v>
      </c>
      <c r="AA527" s="357">
        <f>+Bono!J527</f>
        <v>579391.7822459006</v>
      </c>
      <c r="AC527" s="378">
        <f t="shared" si="159"/>
        <v>42</v>
      </c>
      <c r="AD527" s="356">
        <f t="shared" si="160"/>
        <v>39387242.508383825</v>
      </c>
    </row>
    <row r="528" spans="1:30" x14ac:dyDescent="0.25">
      <c r="A528" s="356">
        <f t="shared" si="161"/>
        <v>42.083333333333336</v>
      </c>
      <c r="B528" s="356">
        <f t="shared" si="162"/>
        <v>505</v>
      </c>
      <c r="C528" s="357">
        <f t="shared" si="167"/>
        <v>42</v>
      </c>
      <c r="D528" s="357">
        <f t="shared" si="168"/>
        <v>1</v>
      </c>
      <c r="E528" s="357">
        <f t="shared" si="169"/>
        <v>71</v>
      </c>
      <c r="F528" s="356">
        <f t="shared" si="163"/>
        <v>910292.8910044687</v>
      </c>
      <c r="H528" s="356">
        <f t="shared" si="156"/>
        <v>7258.8033443024215</v>
      </c>
      <c r="I528" s="356">
        <v>0</v>
      </c>
      <c r="J528" s="356">
        <v>0</v>
      </c>
      <c r="K528" s="356">
        <f t="shared" si="164"/>
        <v>-1064.3599654445743</v>
      </c>
      <c r="L528" s="356">
        <f t="shared" si="157"/>
        <v>916487.3343833266</v>
      </c>
      <c r="N528" s="356">
        <f t="shared" si="165"/>
        <v>505</v>
      </c>
      <c r="O528" s="357">
        <f t="shared" si="170"/>
        <v>42</v>
      </c>
      <c r="P528" s="357">
        <f t="shared" si="171"/>
        <v>1</v>
      </c>
      <c r="Q528" s="357">
        <f t="shared" si="172"/>
        <v>42</v>
      </c>
      <c r="R528" s="356">
        <f t="shared" si="166"/>
        <v>37897557.835133456</v>
      </c>
      <c r="S528" s="356">
        <f>IF($G$17="si",S516*(1+$G$20),S516)</f>
        <v>10000</v>
      </c>
      <c r="U528" s="356">
        <f t="shared" si="173"/>
        <v>302280.18949414534</v>
      </c>
      <c r="V528" s="359">
        <f>V527*(1+$G$18)</f>
        <v>-459.00055547669444</v>
      </c>
      <c r="X528" s="359">
        <f t="shared" si="174"/>
        <v>-44322.87966792367</v>
      </c>
      <c r="Y528" s="356">
        <f t="shared" si="158"/>
        <v>38165056.1444042</v>
      </c>
      <c r="AA528" s="357">
        <f>+Bono!J528</f>
        <v>582984.0785011123</v>
      </c>
      <c r="AC528" s="378">
        <f t="shared" si="159"/>
        <v>42.083333333333336</v>
      </c>
      <c r="AD528" s="356">
        <f t="shared" si="160"/>
        <v>39664527.55728864</v>
      </c>
    </row>
    <row r="529" spans="1:30" x14ac:dyDescent="0.25">
      <c r="A529" s="356">
        <f t="shared" si="161"/>
        <v>42.166666666666664</v>
      </c>
      <c r="B529" s="356">
        <f t="shared" si="162"/>
        <v>506</v>
      </c>
      <c r="C529" s="357">
        <f t="shared" si="167"/>
        <v>42</v>
      </c>
      <c r="D529" s="357">
        <f t="shared" si="168"/>
        <v>2</v>
      </c>
      <c r="E529" s="357">
        <f t="shared" si="169"/>
        <v>71</v>
      </c>
      <c r="F529" s="356">
        <f t="shared" si="163"/>
        <v>916487.3343833266</v>
      </c>
      <c r="H529" s="356">
        <f t="shared" si="156"/>
        <v>7308.198705684327</v>
      </c>
      <c r="I529" s="356">
        <v>0</v>
      </c>
      <c r="J529" s="356">
        <v>0</v>
      </c>
      <c r="K529" s="356">
        <f t="shared" si="164"/>
        <v>-1071.6028183832525</v>
      </c>
      <c r="L529" s="356">
        <f t="shared" si="157"/>
        <v>922723.9302706276</v>
      </c>
      <c r="N529" s="356">
        <f t="shared" si="165"/>
        <v>506</v>
      </c>
      <c r="O529" s="357">
        <f t="shared" si="170"/>
        <v>42</v>
      </c>
      <c r="P529" s="357">
        <f t="shared" si="171"/>
        <v>2</v>
      </c>
      <c r="Q529" s="357">
        <f t="shared" si="172"/>
        <v>42</v>
      </c>
      <c r="R529" s="356">
        <f t="shared" si="166"/>
        <v>38165056.1444042</v>
      </c>
      <c r="S529" s="356">
        <f>IF($G$4="mensual",S528,0)</f>
        <v>10000</v>
      </c>
      <c r="U529" s="356">
        <f t="shared" si="173"/>
        <v>304413.2585767646</v>
      </c>
      <c r="V529" s="359">
        <f t="shared" si="175"/>
        <v>-459.00055547669444</v>
      </c>
      <c r="X529" s="359">
        <f t="shared" si="174"/>
        <v>-44635.65206681356</v>
      </c>
      <c r="Y529" s="356">
        <f t="shared" si="158"/>
        <v>38434374.75035868</v>
      </c>
      <c r="AA529" s="357">
        <f>+Bono!J529</f>
        <v>586598.6474097868</v>
      </c>
      <c r="AC529" s="378">
        <f t="shared" si="159"/>
        <v>42.166666666666664</v>
      </c>
      <c r="AD529" s="356">
        <f t="shared" si="160"/>
        <v>39943697.328039095</v>
      </c>
    </row>
    <row r="530" spans="1:30" x14ac:dyDescent="0.25">
      <c r="A530" s="356">
        <f t="shared" si="161"/>
        <v>42.25</v>
      </c>
      <c r="B530" s="356">
        <f t="shared" si="162"/>
        <v>507</v>
      </c>
      <c r="C530" s="357">
        <f t="shared" si="167"/>
        <v>42</v>
      </c>
      <c r="D530" s="357">
        <f t="shared" si="168"/>
        <v>3</v>
      </c>
      <c r="E530" s="357">
        <f t="shared" si="169"/>
        <v>71</v>
      </c>
      <c r="F530" s="356">
        <f t="shared" si="163"/>
        <v>922723.9302706276</v>
      </c>
      <c r="H530" s="356">
        <f t="shared" si="156"/>
        <v>7357.93019708799</v>
      </c>
      <c r="I530" s="356">
        <v>0</v>
      </c>
      <c r="J530" s="360">
        <f>-SUM(F530:H530)*$J$21*1.16</f>
        <v>-9710.054623282951</v>
      </c>
      <c r="K530" s="356">
        <f t="shared" si="164"/>
        <v>-1067.6312947795418</v>
      </c>
      <c r="L530" s="356">
        <f t="shared" si="157"/>
        <v>919304.1745496531</v>
      </c>
      <c r="N530" s="356">
        <f t="shared" si="165"/>
        <v>507</v>
      </c>
      <c r="O530" s="357">
        <f t="shared" si="170"/>
        <v>42</v>
      </c>
      <c r="P530" s="357">
        <f t="shared" si="171"/>
        <v>3</v>
      </c>
      <c r="Q530" s="357">
        <f t="shared" si="172"/>
        <v>42</v>
      </c>
      <c r="R530" s="356">
        <f t="shared" si="166"/>
        <v>38434374.75035868</v>
      </c>
      <c r="S530" s="356">
        <f>IF($G$4="mensual",S529,0)</f>
        <v>10000</v>
      </c>
      <c r="U530" s="356">
        <f t="shared" si="173"/>
        <v>306560.8429607622</v>
      </c>
      <c r="V530" s="359">
        <f t="shared" si="175"/>
        <v>-459.00055547669444</v>
      </c>
      <c r="X530" s="359">
        <f t="shared" si="174"/>
        <v>-44950.55284760619</v>
      </c>
      <c r="Y530" s="356">
        <f t="shared" si="158"/>
        <v>38705526.03991635</v>
      </c>
      <c r="AA530" s="357">
        <f>+Bono!J530</f>
        <v>584918.1889832929</v>
      </c>
      <c r="AC530" s="378">
        <f t="shared" si="159"/>
        <v>42.25</v>
      </c>
      <c r="AD530" s="356">
        <f t="shared" si="160"/>
        <v>40209748.4034493</v>
      </c>
    </row>
    <row r="531" spans="1:30" x14ac:dyDescent="0.25">
      <c r="A531" s="356">
        <f t="shared" si="161"/>
        <v>42.333333333333336</v>
      </c>
      <c r="B531" s="356">
        <f t="shared" si="162"/>
        <v>508</v>
      </c>
      <c r="C531" s="357">
        <f t="shared" si="167"/>
        <v>42</v>
      </c>
      <c r="D531" s="357">
        <f t="shared" si="168"/>
        <v>4</v>
      </c>
      <c r="E531" s="357">
        <f t="shared" si="169"/>
        <v>71</v>
      </c>
      <c r="F531" s="356">
        <f t="shared" si="163"/>
        <v>919304.1745496531</v>
      </c>
      <c r="H531" s="356">
        <f t="shared" si="156"/>
        <v>7330.660584736392</v>
      </c>
      <c r="I531" s="356">
        <v>0</v>
      </c>
      <c r="J531" s="356">
        <v>0</v>
      </c>
      <c r="K531" s="356">
        <f t="shared" si="164"/>
        <v>-1074.8964087558918</v>
      </c>
      <c r="L531" s="356">
        <f t="shared" si="157"/>
        <v>925559.9387256335</v>
      </c>
      <c r="N531" s="356">
        <f t="shared" si="165"/>
        <v>508</v>
      </c>
      <c r="O531" s="357">
        <f t="shared" si="170"/>
        <v>42</v>
      </c>
      <c r="P531" s="357">
        <f t="shared" si="171"/>
        <v>4</v>
      </c>
      <c r="Q531" s="357">
        <f t="shared" si="172"/>
        <v>42</v>
      </c>
      <c r="R531" s="356">
        <f t="shared" si="166"/>
        <v>38705526.03991635</v>
      </c>
      <c r="S531" s="356">
        <f>IF($G$4="mensual",S528,IF($G$4="trimestral",S528,0))</f>
        <v>10000</v>
      </c>
      <c r="U531" s="356">
        <f t="shared" si="173"/>
        <v>308723.04142117343</v>
      </c>
      <c r="V531" s="359">
        <f t="shared" si="175"/>
        <v>-459.00055547669444</v>
      </c>
      <c r="X531" s="359">
        <f t="shared" si="174"/>
        <v>-45267.59649370717</v>
      </c>
      <c r="Y531" s="356">
        <f t="shared" si="158"/>
        <v>38978522.48428834</v>
      </c>
      <c r="AA531" s="357">
        <f>+Bono!J531</f>
        <v>588544.7496012999</v>
      </c>
      <c r="AC531" s="378">
        <f t="shared" si="159"/>
        <v>42.333333333333336</v>
      </c>
      <c r="AD531" s="356">
        <f t="shared" si="160"/>
        <v>40492627.172615275</v>
      </c>
    </row>
    <row r="532" spans="1:30" x14ac:dyDescent="0.25">
      <c r="A532" s="356">
        <f t="shared" si="161"/>
        <v>42.416666666666664</v>
      </c>
      <c r="B532" s="356">
        <f t="shared" si="162"/>
        <v>509</v>
      </c>
      <c r="C532" s="357">
        <f t="shared" si="167"/>
        <v>42</v>
      </c>
      <c r="D532" s="357">
        <f t="shared" si="168"/>
        <v>5</v>
      </c>
      <c r="E532" s="357">
        <f t="shared" si="169"/>
        <v>71</v>
      </c>
      <c r="F532" s="356">
        <f t="shared" si="163"/>
        <v>925559.9387256335</v>
      </c>
      <c r="H532" s="356">
        <f t="shared" si="156"/>
        <v>7380.544926765765</v>
      </c>
      <c r="I532" s="356">
        <v>0</v>
      </c>
      <c r="J532" s="356">
        <v>0</v>
      </c>
      <c r="K532" s="356">
        <f t="shared" si="164"/>
        <v>-1082.2109610367831</v>
      </c>
      <c r="L532" s="356">
        <f t="shared" si="157"/>
        <v>931858.2726913625</v>
      </c>
      <c r="N532" s="356">
        <f t="shared" si="165"/>
        <v>509</v>
      </c>
      <c r="O532" s="357">
        <f t="shared" si="170"/>
        <v>42</v>
      </c>
      <c r="P532" s="357">
        <f t="shared" si="171"/>
        <v>5</v>
      </c>
      <c r="Q532" s="357">
        <f t="shared" si="172"/>
        <v>42</v>
      </c>
      <c r="R532" s="356">
        <f t="shared" si="166"/>
        <v>38978522.48428834</v>
      </c>
      <c r="S532" s="356">
        <f>IF($G$4="mensual",S531,0)</f>
        <v>10000</v>
      </c>
      <c r="U532" s="356">
        <f t="shared" si="173"/>
        <v>310899.9534051871</v>
      </c>
      <c r="V532" s="359">
        <f t="shared" si="175"/>
        <v>-459.00055547669444</v>
      </c>
      <c r="X532" s="359">
        <f t="shared" si="174"/>
        <v>-45586.79758708014</v>
      </c>
      <c r="Y532" s="356">
        <f t="shared" si="158"/>
        <v>39253376.63955097</v>
      </c>
      <c r="AA532" s="357">
        <f>+Bono!J532</f>
        <v>592193.7953157935</v>
      </c>
      <c r="AC532" s="378">
        <f t="shared" si="159"/>
        <v>42.416666666666664</v>
      </c>
      <c r="AD532" s="356">
        <f t="shared" si="160"/>
        <v>40777428.707558125</v>
      </c>
    </row>
    <row r="533" spans="1:30" x14ac:dyDescent="0.25">
      <c r="A533" s="356">
        <f t="shared" si="161"/>
        <v>42.5</v>
      </c>
      <c r="B533" s="356">
        <f t="shared" si="162"/>
        <v>510</v>
      </c>
      <c r="C533" s="357">
        <f t="shared" si="167"/>
        <v>42</v>
      </c>
      <c r="D533" s="357">
        <f t="shared" si="168"/>
        <v>6</v>
      </c>
      <c r="E533" s="357">
        <f t="shared" si="169"/>
        <v>71</v>
      </c>
      <c r="F533" s="356">
        <f t="shared" si="163"/>
        <v>931858.2726913625</v>
      </c>
      <c r="H533" s="356">
        <f t="shared" si="156"/>
        <v>7430.768726276623</v>
      </c>
      <c r="I533" s="356">
        <v>0</v>
      </c>
      <c r="J533" s="360">
        <f>-SUM(F533:H533)*$J$21*1.16</f>
        <v>-9806.177592400152</v>
      </c>
      <c r="K533" s="356">
        <f t="shared" si="164"/>
        <v>-1078.2001220372772</v>
      </c>
      <c r="L533" s="356">
        <f t="shared" si="157"/>
        <v>928404.6637032017</v>
      </c>
      <c r="N533" s="356">
        <f t="shared" si="165"/>
        <v>510</v>
      </c>
      <c r="O533" s="357">
        <f t="shared" si="170"/>
        <v>42</v>
      </c>
      <c r="P533" s="357">
        <f t="shared" si="171"/>
        <v>6</v>
      </c>
      <c r="Q533" s="357">
        <f t="shared" si="172"/>
        <v>42</v>
      </c>
      <c r="R533" s="356">
        <f t="shared" si="166"/>
        <v>39253376.63955097</v>
      </c>
      <c r="S533" s="356">
        <f>IF($G$4="mensual",S532,0)</f>
        <v>10000</v>
      </c>
      <c r="U533" s="356">
        <f t="shared" si="173"/>
        <v>313091.679036719</v>
      </c>
      <c r="V533" s="359">
        <f t="shared" si="175"/>
        <v>-459.00055547669444</v>
      </c>
      <c r="X533" s="359">
        <f t="shared" si="174"/>
        <v>-45908.17080891736</v>
      </c>
      <c r="Y533" s="356">
        <f t="shared" si="158"/>
        <v>39530101.147223294</v>
      </c>
      <c r="AA533" s="357">
        <f>+Bono!J533</f>
        <v>590497.3081898001</v>
      </c>
      <c r="AC533" s="378">
        <f t="shared" si="159"/>
        <v>42.5</v>
      </c>
      <c r="AD533" s="356">
        <f t="shared" si="160"/>
        <v>41049003.1191163</v>
      </c>
    </row>
    <row r="534" spans="1:30" x14ac:dyDescent="0.25">
      <c r="A534" s="356">
        <f t="shared" si="161"/>
        <v>42.583333333333336</v>
      </c>
      <c r="B534" s="356">
        <f t="shared" si="162"/>
        <v>511</v>
      </c>
      <c r="C534" s="357">
        <f t="shared" si="167"/>
        <v>42</v>
      </c>
      <c r="D534" s="357">
        <f t="shared" si="168"/>
        <v>7</v>
      </c>
      <c r="E534" s="357">
        <f t="shared" si="169"/>
        <v>71</v>
      </c>
      <c r="F534" s="356">
        <f t="shared" si="163"/>
        <v>928404.6637032017</v>
      </c>
      <c r="H534" s="356">
        <f t="shared" si="156"/>
        <v>7403.229163218503</v>
      </c>
      <c r="I534" s="356">
        <v>0</v>
      </c>
      <c r="J534" s="356">
        <v>0</v>
      </c>
      <c r="K534" s="356">
        <f t="shared" si="164"/>
        <v>-1085.5371557250473</v>
      </c>
      <c r="L534" s="356">
        <f t="shared" si="157"/>
        <v>934722.3557106951</v>
      </c>
      <c r="N534" s="356">
        <f t="shared" si="165"/>
        <v>511</v>
      </c>
      <c r="O534" s="357">
        <f t="shared" si="170"/>
        <v>42</v>
      </c>
      <c r="P534" s="357">
        <f t="shared" si="171"/>
        <v>7</v>
      </c>
      <c r="Q534" s="357">
        <f t="shared" si="172"/>
        <v>42</v>
      </c>
      <c r="R534" s="356">
        <f t="shared" si="166"/>
        <v>39530101.147223294</v>
      </c>
      <c r="S534" s="356">
        <f>+IF($G$4="mensual",S528,IF($G$4="trimestral",S528,IF($G$4="semestral",S528,0)))</f>
        <v>10000</v>
      </c>
      <c r="U534" s="356">
        <f t="shared" si="173"/>
        <v>315298.31912101735</v>
      </c>
      <c r="V534" s="359">
        <f t="shared" si="175"/>
        <v>-459.00055547669444</v>
      </c>
      <c r="X534" s="359">
        <f t="shared" si="174"/>
        <v>-46231.73094031505</v>
      </c>
      <c r="Y534" s="356">
        <f t="shared" si="158"/>
        <v>39808708.73484852</v>
      </c>
      <c r="AA534" s="357">
        <f>+Bono!J534</f>
        <v>594158.4599940252</v>
      </c>
      <c r="AC534" s="378">
        <f t="shared" si="159"/>
        <v>42.583333333333336</v>
      </c>
      <c r="AD534" s="356">
        <f t="shared" si="160"/>
        <v>41337589.55055324</v>
      </c>
    </row>
    <row r="535" spans="1:30" x14ac:dyDescent="0.25">
      <c r="A535" s="356">
        <f t="shared" si="161"/>
        <v>42.666666666666664</v>
      </c>
      <c r="B535" s="356">
        <f t="shared" si="162"/>
        <v>512</v>
      </c>
      <c r="C535" s="357">
        <f t="shared" si="167"/>
        <v>42</v>
      </c>
      <c r="D535" s="357">
        <f t="shared" si="168"/>
        <v>8</v>
      </c>
      <c r="E535" s="357">
        <f t="shared" si="169"/>
        <v>71</v>
      </c>
      <c r="F535" s="356">
        <f t="shared" si="163"/>
        <v>934722.3557106951</v>
      </c>
      <c r="H535" s="356">
        <f t="shared" si="156"/>
        <v>7453.607326472819</v>
      </c>
      <c r="I535" s="356">
        <v>0</v>
      </c>
      <c r="J535" s="356">
        <v>0</v>
      </c>
      <c r="K535" s="356">
        <f t="shared" si="164"/>
        <v>-1092.924117123115</v>
      </c>
      <c r="L535" s="356">
        <f t="shared" si="157"/>
        <v>941083.0389200449</v>
      </c>
      <c r="N535" s="356">
        <f t="shared" si="165"/>
        <v>512</v>
      </c>
      <c r="O535" s="357">
        <f t="shared" si="170"/>
        <v>42</v>
      </c>
      <c r="P535" s="357">
        <f t="shared" si="171"/>
        <v>8</v>
      </c>
      <c r="Q535" s="357">
        <f t="shared" si="172"/>
        <v>42</v>
      </c>
      <c r="R535" s="356">
        <f t="shared" si="166"/>
        <v>39808708.73484852</v>
      </c>
      <c r="S535" s="356">
        <f>IF($G$4="mensual",S534,0)</f>
        <v>10000</v>
      </c>
      <c r="U535" s="356">
        <f t="shared" si="173"/>
        <v>317519.9751492991</v>
      </c>
      <c r="V535" s="359">
        <f t="shared" si="175"/>
        <v>-459.00055547669444</v>
      </c>
      <c r="X535" s="359">
        <f t="shared" si="174"/>
        <v>-46557.49286295311</v>
      </c>
      <c r="Y535" s="356">
        <f t="shared" si="158"/>
        <v>40089212.216579385</v>
      </c>
      <c r="AA535" s="357">
        <f>+Bono!J535</f>
        <v>597842.3113641037</v>
      </c>
      <c r="AC535" s="378">
        <f t="shared" si="159"/>
        <v>42.666666666666664</v>
      </c>
      <c r="AD535" s="356">
        <f t="shared" si="160"/>
        <v>41628137.56686354</v>
      </c>
    </row>
    <row r="536" spans="1:30" x14ac:dyDescent="0.25">
      <c r="A536" s="356">
        <f t="shared" si="161"/>
        <v>42.75</v>
      </c>
      <c r="B536" s="356">
        <f t="shared" si="162"/>
        <v>513</v>
      </c>
      <c r="C536" s="357">
        <f t="shared" si="167"/>
        <v>42</v>
      </c>
      <c r="D536" s="357">
        <f t="shared" si="168"/>
        <v>9</v>
      </c>
      <c r="E536" s="357">
        <f t="shared" si="169"/>
        <v>71</v>
      </c>
      <c r="F536" s="356">
        <f t="shared" si="163"/>
        <v>941083.0389200449</v>
      </c>
      <c r="H536" s="356">
        <f t="shared" ref="H536:H599" si="176">SUM(F536:G536)*$G$8</f>
        <v>7504.328307607945</v>
      </c>
      <c r="I536" s="356">
        <v>0</v>
      </c>
      <c r="J536" s="360">
        <f>-SUM(F536:H536)*$J$21*1.16</f>
        <v>-9903.252113856695</v>
      </c>
      <c r="K536" s="356">
        <f t="shared" si="164"/>
        <v>-1088.8735735320033</v>
      </c>
      <c r="L536" s="356">
        <f t="shared" ref="L536:L599" si="177">SUM(F536:K536)</f>
        <v>937595.2415402641</v>
      </c>
      <c r="N536" s="356">
        <f t="shared" si="165"/>
        <v>513</v>
      </c>
      <c r="O536" s="357">
        <f t="shared" si="170"/>
        <v>42</v>
      </c>
      <c r="P536" s="357">
        <f t="shared" si="171"/>
        <v>9</v>
      </c>
      <c r="Q536" s="357">
        <f t="shared" si="172"/>
        <v>42</v>
      </c>
      <c r="R536" s="356">
        <f t="shared" si="166"/>
        <v>40089212.216579385</v>
      </c>
      <c r="S536" s="356">
        <f>IF($G$4="mensual",S535,0)</f>
        <v>10000</v>
      </c>
      <c r="U536" s="356">
        <f t="shared" si="173"/>
        <v>319756.7493034174</v>
      </c>
      <c r="V536" s="359">
        <f t="shared" si="175"/>
        <v>-459.00055547669444</v>
      </c>
      <c r="X536" s="359">
        <f t="shared" si="174"/>
        <v>-46885.47155977969</v>
      </c>
      <c r="Y536" s="356">
        <f t="shared" ref="Y536:Y599" si="178">SUM(R536:X536)</f>
        <v>40371624.493767545</v>
      </c>
      <c r="AA536" s="357">
        <f>+Bono!J536</f>
        <v>596129.6426522296</v>
      </c>
      <c r="AC536" s="378">
        <f t="shared" ref="AC536:AC599" si="179">+B536/12</f>
        <v>42.75</v>
      </c>
      <c r="AD536" s="356">
        <f t="shared" ref="AD536:AD599" si="180">+AA536+Y536+L536</f>
        <v>41905349.37796003</v>
      </c>
    </row>
    <row r="537" spans="1:30" x14ac:dyDescent="0.25">
      <c r="A537" s="356">
        <f t="shared" ref="A537:A600" si="181">+B537/12</f>
        <v>42.833333333333336</v>
      </c>
      <c r="B537" s="356">
        <f t="shared" ref="B537:B600" si="182">+B536+1</f>
        <v>514</v>
      </c>
      <c r="C537" s="357">
        <f t="shared" si="167"/>
        <v>42</v>
      </c>
      <c r="D537" s="357">
        <f t="shared" si="168"/>
        <v>10</v>
      </c>
      <c r="E537" s="357">
        <f t="shared" si="169"/>
        <v>71</v>
      </c>
      <c r="F537" s="356">
        <f t="shared" ref="F537:F600" si="183">L536</f>
        <v>937595.2415402641</v>
      </c>
      <c r="H537" s="356">
        <f t="shared" si="176"/>
        <v>7476.51612151401</v>
      </c>
      <c r="I537" s="356">
        <v>0</v>
      </c>
      <c r="J537" s="356">
        <v>0</v>
      </c>
      <c r="K537" s="356">
        <f t="shared" ref="K537:K600" si="184">-SUM(F537:J537)*0.1%*1.16</f>
        <v>-1096.2832388876627</v>
      </c>
      <c r="L537" s="356">
        <f t="shared" si="177"/>
        <v>943975.4744228905</v>
      </c>
      <c r="N537" s="356">
        <f t="shared" ref="N537:N600" si="185">+N536+1</f>
        <v>514</v>
      </c>
      <c r="O537" s="357">
        <f t="shared" si="170"/>
        <v>42</v>
      </c>
      <c r="P537" s="357">
        <f t="shared" si="171"/>
        <v>10</v>
      </c>
      <c r="Q537" s="357">
        <f t="shared" si="172"/>
        <v>42</v>
      </c>
      <c r="R537" s="356">
        <f t="shared" ref="R537:R600" si="186">Y536</f>
        <v>40371624.493767545</v>
      </c>
      <c r="S537" s="356">
        <f>IF($G$4="mensual",S528,IF($G$4="trimestral",S528,0))</f>
        <v>10000</v>
      </c>
      <c r="U537" s="356">
        <f t="shared" si="173"/>
        <v>322008.7444605623</v>
      </c>
      <c r="V537" s="359">
        <f t="shared" si="175"/>
        <v>-459.00055547669444</v>
      </c>
      <c r="X537" s="359">
        <f t="shared" si="174"/>
        <v>-47215.68211570024</v>
      </c>
      <c r="Y537" s="356">
        <f t="shared" si="178"/>
        <v>40655958.55555692</v>
      </c>
      <c r="AA537" s="357">
        <f>+Bono!J537</f>
        <v>599825.7155834321</v>
      </c>
      <c r="AC537" s="378">
        <f t="shared" si="179"/>
        <v>42.833333333333336</v>
      </c>
      <c r="AD537" s="356">
        <f t="shared" si="180"/>
        <v>42199759.74556324</v>
      </c>
    </row>
    <row r="538" spans="1:30" x14ac:dyDescent="0.25">
      <c r="A538" s="356">
        <f t="shared" si="181"/>
        <v>42.916666666666664</v>
      </c>
      <c r="B538" s="356">
        <f t="shared" si="182"/>
        <v>515</v>
      </c>
      <c r="C538" s="357">
        <f t="shared" si="167"/>
        <v>42</v>
      </c>
      <c r="D538" s="357">
        <f t="shared" si="168"/>
        <v>11</v>
      </c>
      <c r="E538" s="357">
        <f t="shared" si="169"/>
        <v>71</v>
      </c>
      <c r="F538" s="356">
        <f t="shared" si="183"/>
        <v>943975.4744228905</v>
      </c>
      <c r="H538" s="356">
        <f t="shared" si="176"/>
        <v>7527.3929944891825</v>
      </c>
      <c r="I538" s="356">
        <v>0</v>
      </c>
      <c r="J538" s="356">
        <v>0</v>
      </c>
      <c r="K538" s="356">
        <f t="shared" si="184"/>
        <v>-1103.7433262041604</v>
      </c>
      <c r="L538" s="356">
        <f t="shared" si="177"/>
        <v>950399.1240911755</v>
      </c>
      <c r="N538" s="356">
        <f t="shared" si="185"/>
        <v>515</v>
      </c>
      <c r="O538" s="357">
        <f t="shared" si="170"/>
        <v>42</v>
      </c>
      <c r="P538" s="357">
        <f t="shared" si="171"/>
        <v>11</v>
      </c>
      <c r="Q538" s="357">
        <f t="shared" si="172"/>
        <v>42</v>
      </c>
      <c r="R538" s="356">
        <f t="shared" si="186"/>
        <v>40655958.55555692</v>
      </c>
      <c r="S538" s="356">
        <f>IF($G$17="si",S526*(1+$G$20),S526)</f>
        <v>10000</v>
      </c>
      <c r="U538" s="356">
        <f t="shared" si="173"/>
        <v>324276.0641979914</v>
      </c>
      <c r="V538" s="359">
        <f t="shared" si="175"/>
        <v>-459.00055547669444</v>
      </c>
      <c r="X538" s="359">
        <f t="shared" si="174"/>
        <v>-47548.13971827135</v>
      </c>
      <c r="Y538" s="356">
        <f t="shared" si="178"/>
        <v>40942227.47948117</v>
      </c>
      <c r="AA538" s="357">
        <f>+Bono!J538</f>
        <v>603544.7045955261</v>
      </c>
      <c r="AC538" s="378">
        <f t="shared" si="179"/>
        <v>42.916666666666664</v>
      </c>
      <c r="AD538" s="356">
        <f t="shared" si="180"/>
        <v>42496171.308167875</v>
      </c>
    </row>
    <row r="539" spans="1:30" x14ac:dyDescent="0.25">
      <c r="A539" s="356">
        <f t="shared" si="181"/>
        <v>43</v>
      </c>
      <c r="B539" s="356">
        <f t="shared" si="182"/>
        <v>516</v>
      </c>
      <c r="C539" s="357">
        <f t="shared" si="167"/>
        <v>42</v>
      </c>
      <c r="D539" s="357">
        <f t="shared" si="168"/>
        <v>12</v>
      </c>
      <c r="E539" s="357">
        <f t="shared" si="169"/>
        <v>71</v>
      </c>
      <c r="F539" s="356">
        <f t="shared" si="183"/>
        <v>950399.1240911755</v>
      </c>
      <c r="H539" s="356">
        <f t="shared" si="176"/>
        <v>7578.6160790101685</v>
      </c>
      <c r="I539" s="356">
        <v>0</v>
      </c>
      <c r="J539" s="360">
        <f>-SUM(F539:H539)*$J$21*1.16</f>
        <v>-10001.287607376738</v>
      </c>
      <c r="K539" s="356">
        <f t="shared" si="184"/>
        <v>-1099.6526849728584</v>
      </c>
      <c r="L539" s="356">
        <f t="shared" si="177"/>
        <v>946876.7998778361</v>
      </c>
      <c r="N539" s="356">
        <f t="shared" si="185"/>
        <v>516</v>
      </c>
      <c r="O539" s="357">
        <f t="shared" si="170"/>
        <v>42</v>
      </c>
      <c r="P539" s="357">
        <f t="shared" si="171"/>
        <v>12</v>
      </c>
      <c r="Q539" s="357">
        <f t="shared" si="172"/>
        <v>42</v>
      </c>
      <c r="R539" s="356">
        <f t="shared" si="186"/>
        <v>40942227.47948117</v>
      </c>
      <c r="S539" s="356">
        <f>IF($G$4="mensual",S538,0)</f>
        <v>10000</v>
      </c>
      <c r="U539" s="356">
        <f t="shared" si="173"/>
        <v>326558.81279779447</v>
      </c>
      <c r="V539" s="359">
        <f t="shared" si="175"/>
        <v>-459.00055547669444</v>
      </c>
      <c r="X539" s="359">
        <f t="shared" si="174"/>
        <v>-47882.85965839924</v>
      </c>
      <c r="Y539" s="356">
        <f t="shared" si="178"/>
        <v>41230444.432065085</v>
      </c>
      <c r="AA539" s="357">
        <f>+Bono!J539</f>
        <v>601815.6999531154</v>
      </c>
      <c r="AC539" s="378">
        <f t="shared" si="179"/>
        <v>43</v>
      </c>
      <c r="AD539" s="356">
        <f t="shared" si="180"/>
        <v>42779136.93189604</v>
      </c>
    </row>
    <row r="540" spans="1:30" x14ac:dyDescent="0.25">
      <c r="A540" s="356">
        <f t="shared" si="181"/>
        <v>43.083333333333336</v>
      </c>
      <c r="B540" s="356">
        <f t="shared" si="182"/>
        <v>517</v>
      </c>
      <c r="C540" s="357">
        <f t="shared" si="167"/>
        <v>43</v>
      </c>
      <c r="D540" s="357">
        <f t="shared" si="168"/>
        <v>1</v>
      </c>
      <c r="E540" s="357">
        <f t="shared" si="169"/>
        <v>72</v>
      </c>
      <c r="F540" s="356">
        <f t="shared" si="183"/>
        <v>946876.7998778361</v>
      </c>
      <c r="H540" s="356">
        <f t="shared" si="176"/>
        <v>7550.528571096872</v>
      </c>
      <c r="I540" s="356">
        <v>0</v>
      </c>
      <c r="J540" s="356">
        <v>0</v>
      </c>
      <c r="K540" s="356">
        <f t="shared" si="184"/>
        <v>-1107.135701000762</v>
      </c>
      <c r="L540" s="356">
        <f t="shared" si="177"/>
        <v>953320.1927479322</v>
      </c>
      <c r="N540" s="356">
        <f t="shared" si="185"/>
        <v>517</v>
      </c>
      <c r="O540" s="357">
        <f t="shared" si="170"/>
        <v>43</v>
      </c>
      <c r="P540" s="357">
        <f t="shared" si="171"/>
        <v>1</v>
      </c>
      <c r="Q540" s="357">
        <f t="shared" si="172"/>
        <v>43</v>
      </c>
      <c r="R540" s="356">
        <f t="shared" si="186"/>
        <v>41230444.432065085</v>
      </c>
      <c r="S540" s="356">
        <f>IF($G$17="si",S528*(1+$G$20),S528)</f>
        <v>10000</v>
      </c>
      <c r="U540" s="356">
        <f t="shared" si="173"/>
        <v>328857.0952516893</v>
      </c>
      <c r="V540" s="359">
        <f>V539*(1+$G$18)</f>
        <v>-477.36057769576223</v>
      </c>
      <c r="X540" s="359">
        <f t="shared" si="174"/>
        <v>-48219.83603341733</v>
      </c>
      <c r="Y540" s="356">
        <f t="shared" si="178"/>
        <v>41520604.33070566</v>
      </c>
      <c r="AA540" s="357">
        <f>+Bono!J540</f>
        <v>605547.0270991252</v>
      </c>
      <c r="AC540" s="378">
        <f t="shared" si="179"/>
        <v>43.083333333333336</v>
      </c>
      <c r="AD540" s="356">
        <f t="shared" si="180"/>
        <v>43079471.55055272</v>
      </c>
    </row>
    <row r="541" spans="1:30" x14ac:dyDescent="0.25">
      <c r="A541" s="356">
        <f t="shared" si="181"/>
        <v>43.166666666666664</v>
      </c>
      <c r="B541" s="356">
        <f t="shared" si="182"/>
        <v>518</v>
      </c>
      <c r="C541" s="357">
        <f t="shared" si="167"/>
        <v>43</v>
      </c>
      <c r="D541" s="357">
        <f t="shared" si="168"/>
        <v>2</v>
      </c>
      <c r="E541" s="357">
        <f t="shared" si="169"/>
        <v>72</v>
      </c>
      <c r="F541" s="356">
        <f t="shared" si="183"/>
        <v>953320.1927479322</v>
      </c>
      <c r="H541" s="356">
        <f t="shared" si="176"/>
        <v>7601.9090906816145</v>
      </c>
      <c r="I541" s="356">
        <v>0</v>
      </c>
      <c r="J541" s="356">
        <v>0</v>
      </c>
      <c r="K541" s="356">
        <f t="shared" si="184"/>
        <v>-1114.669638132792</v>
      </c>
      <c r="L541" s="356">
        <f t="shared" si="177"/>
        <v>959807.432200481</v>
      </c>
      <c r="N541" s="356">
        <f t="shared" si="185"/>
        <v>518</v>
      </c>
      <c r="O541" s="357">
        <f t="shared" si="170"/>
        <v>43</v>
      </c>
      <c r="P541" s="357">
        <f t="shared" si="171"/>
        <v>2</v>
      </c>
      <c r="Q541" s="357">
        <f t="shared" si="172"/>
        <v>43</v>
      </c>
      <c r="R541" s="356">
        <f t="shared" si="186"/>
        <v>41520604.33070566</v>
      </c>
      <c r="S541" s="356">
        <f>IF($G$4="mensual",S540,0)</f>
        <v>10000</v>
      </c>
      <c r="U541" s="356">
        <f t="shared" si="173"/>
        <v>331170.8710302857</v>
      </c>
      <c r="V541" s="359">
        <f t="shared" si="175"/>
        <v>-477.36057769576223</v>
      </c>
      <c r="X541" s="359">
        <f t="shared" si="174"/>
        <v>-48559.10549574357</v>
      </c>
      <c r="Y541" s="356">
        <f t="shared" si="178"/>
        <v>41812738.735662505</v>
      </c>
      <c r="AA541" s="357">
        <f>+Bono!J541</f>
        <v>609301.4889062475</v>
      </c>
      <c r="AC541" s="378">
        <f t="shared" si="179"/>
        <v>43.166666666666664</v>
      </c>
      <c r="AD541" s="356">
        <f t="shared" si="180"/>
        <v>43381847.65676924</v>
      </c>
    </row>
    <row r="542" spans="1:30" x14ac:dyDescent="0.25">
      <c r="A542" s="356">
        <f t="shared" si="181"/>
        <v>43.25</v>
      </c>
      <c r="B542" s="356">
        <f t="shared" si="182"/>
        <v>519</v>
      </c>
      <c r="C542" s="357">
        <f t="shared" si="167"/>
        <v>43</v>
      </c>
      <c r="D542" s="357">
        <f t="shared" si="168"/>
        <v>3</v>
      </c>
      <c r="E542" s="357">
        <f t="shared" si="169"/>
        <v>72</v>
      </c>
      <c r="F542" s="356">
        <f t="shared" si="183"/>
        <v>959807.432200481</v>
      </c>
      <c r="H542" s="356">
        <f t="shared" si="176"/>
        <v>7653.639249072164</v>
      </c>
      <c r="I542" s="356">
        <v>0</v>
      </c>
      <c r="J542" s="360">
        <f>-SUM(F542:H542)*$J$21*1.16</f>
        <v>-10100.293585933336</v>
      </c>
      <c r="K542" s="356">
        <f t="shared" si="184"/>
        <v>-1110.538502321799</v>
      </c>
      <c r="L542" s="356">
        <f t="shared" si="177"/>
        <v>956250.239361298</v>
      </c>
      <c r="N542" s="356">
        <f t="shared" si="185"/>
        <v>519</v>
      </c>
      <c r="O542" s="357">
        <f t="shared" si="170"/>
        <v>43</v>
      </c>
      <c r="P542" s="357">
        <f t="shared" si="171"/>
        <v>3</v>
      </c>
      <c r="Q542" s="357">
        <f t="shared" si="172"/>
        <v>43</v>
      </c>
      <c r="R542" s="356">
        <f t="shared" si="186"/>
        <v>41812738.735662505</v>
      </c>
      <c r="S542" s="356">
        <f>IF($G$4="mensual",S541,0)</f>
        <v>10000</v>
      </c>
      <c r="U542" s="356">
        <f t="shared" si="173"/>
        <v>333500.3917995259</v>
      </c>
      <c r="V542" s="359">
        <f t="shared" si="175"/>
        <v>-477.36057769576223</v>
      </c>
      <c r="X542" s="359">
        <f t="shared" si="174"/>
        <v>-48900.68364958583</v>
      </c>
      <c r="Y542" s="356">
        <f t="shared" si="178"/>
        <v>42106861.08323475</v>
      </c>
      <c r="AA542" s="357">
        <f>+Bono!J542</f>
        <v>607555.9925164604</v>
      </c>
      <c r="AC542" s="378">
        <f t="shared" si="179"/>
        <v>43.25</v>
      </c>
      <c r="AD542" s="356">
        <f t="shared" si="180"/>
        <v>43670667.31511251</v>
      </c>
    </row>
    <row r="543" spans="1:30" x14ac:dyDescent="0.25">
      <c r="A543" s="356">
        <f t="shared" si="181"/>
        <v>43.333333333333336</v>
      </c>
      <c r="B543" s="356">
        <f t="shared" si="182"/>
        <v>520</v>
      </c>
      <c r="C543" s="357">
        <f t="shared" si="167"/>
        <v>43</v>
      </c>
      <c r="D543" s="357">
        <f t="shared" si="168"/>
        <v>4</v>
      </c>
      <c r="E543" s="357">
        <f t="shared" si="169"/>
        <v>72</v>
      </c>
      <c r="F543" s="356">
        <f t="shared" si="183"/>
        <v>956250.239361298</v>
      </c>
      <c r="H543" s="356">
        <f t="shared" si="176"/>
        <v>7625.273693839828</v>
      </c>
      <c r="I543" s="356">
        <v>0</v>
      </c>
      <c r="J543" s="356">
        <v>0</v>
      </c>
      <c r="K543" s="356">
        <f t="shared" si="184"/>
        <v>-1118.0955951439598</v>
      </c>
      <c r="L543" s="356">
        <f t="shared" si="177"/>
        <v>962757.4174599939</v>
      </c>
      <c r="N543" s="356">
        <f t="shared" si="185"/>
        <v>520</v>
      </c>
      <c r="O543" s="357">
        <f t="shared" si="170"/>
        <v>43</v>
      </c>
      <c r="P543" s="357">
        <f t="shared" si="171"/>
        <v>4</v>
      </c>
      <c r="Q543" s="357">
        <f t="shared" si="172"/>
        <v>43</v>
      </c>
      <c r="R543" s="356">
        <f t="shared" si="186"/>
        <v>42106861.08323475</v>
      </c>
      <c r="S543" s="356">
        <f>IF($G$4="mensual",S540,IF($G$4="trimestral",S540,0))</f>
        <v>10000</v>
      </c>
      <c r="U543" s="356">
        <f t="shared" si="173"/>
        <v>335845.7647023458</v>
      </c>
      <c r="V543" s="359">
        <f t="shared" si="175"/>
        <v>-477.36057769576223</v>
      </c>
      <c r="X543" s="359">
        <f t="shared" si="174"/>
        <v>-49244.5862053369</v>
      </c>
      <c r="Y543" s="356">
        <f t="shared" si="178"/>
        <v>42402984.90115406</v>
      </c>
      <c r="AA543" s="357">
        <f>+Bono!J543</f>
        <v>611322.9101421956</v>
      </c>
      <c r="AC543" s="378">
        <f t="shared" si="179"/>
        <v>43.333333333333336</v>
      </c>
      <c r="AD543" s="356">
        <f t="shared" si="180"/>
        <v>43977065.22875626</v>
      </c>
    </row>
    <row r="544" spans="1:30" x14ac:dyDescent="0.25">
      <c r="A544" s="356">
        <f t="shared" si="181"/>
        <v>43.416666666666664</v>
      </c>
      <c r="B544" s="356">
        <f t="shared" si="182"/>
        <v>521</v>
      </c>
      <c r="C544" s="357">
        <f t="shared" si="167"/>
        <v>43</v>
      </c>
      <c r="D544" s="357">
        <f t="shared" si="168"/>
        <v>5</v>
      </c>
      <c r="E544" s="357">
        <f t="shared" si="169"/>
        <v>72</v>
      </c>
      <c r="F544" s="356">
        <f t="shared" si="183"/>
        <v>962757.4174599939</v>
      </c>
      <c r="H544" s="356">
        <f t="shared" si="176"/>
        <v>7677.162845794716</v>
      </c>
      <c r="I544" s="356">
        <v>0</v>
      </c>
      <c r="J544" s="356">
        <v>0</v>
      </c>
      <c r="K544" s="356">
        <f t="shared" si="184"/>
        <v>-1125.7041131547146</v>
      </c>
      <c r="L544" s="356">
        <f t="shared" si="177"/>
        <v>969308.8761926339</v>
      </c>
      <c r="N544" s="356">
        <f t="shared" si="185"/>
        <v>521</v>
      </c>
      <c r="O544" s="357">
        <f t="shared" si="170"/>
        <v>43</v>
      </c>
      <c r="P544" s="357">
        <f t="shared" si="171"/>
        <v>5</v>
      </c>
      <c r="Q544" s="357">
        <f t="shared" si="172"/>
        <v>43</v>
      </c>
      <c r="R544" s="356">
        <f t="shared" si="186"/>
        <v>42402984.90115406</v>
      </c>
      <c r="S544" s="356">
        <f>IF($G$4="mensual",S543,0)</f>
        <v>10000</v>
      </c>
      <c r="U544" s="356">
        <f t="shared" si="173"/>
        <v>338207.09761077754</v>
      </c>
      <c r="V544" s="359">
        <f t="shared" si="175"/>
        <v>-477.36057769576223</v>
      </c>
      <c r="X544" s="359">
        <f t="shared" si="174"/>
        <v>-49590.82898029709</v>
      </c>
      <c r="Y544" s="356">
        <f t="shared" si="178"/>
        <v>42701123.80920685</v>
      </c>
      <c r="AA544" s="357">
        <f>+Bono!J544</f>
        <v>615113.183094146</v>
      </c>
      <c r="AC544" s="378">
        <f t="shared" si="179"/>
        <v>43.416666666666664</v>
      </c>
      <c r="AD544" s="356">
        <f t="shared" si="180"/>
        <v>44285545.86849363</v>
      </c>
    </row>
    <row r="545" spans="1:30" x14ac:dyDescent="0.25">
      <c r="A545" s="356">
        <f t="shared" si="181"/>
        <v>43.5</v>
      </c>
      <c r="B545" s="356">
        <f t="shared" si="182"/>
        <v>522</v>
      </c>
      <c r="C545" s="357">
        <f t="shared" si="167"/>
        <v>43</v>
      </c>
      <c r="D545" s="357">
        <f t="shared" si="168"/>
        <v>6</v>
      </c>
      <c r="E545" s="357">
        <f t="shared" si="169"/>
        <v>72</v>
      </c>
      <c r="F545" s="356">
        <f t="shared" si="183"/>
        <v>969308.8761926339</v>
      </c>
      <c r="H545" s="356">
        <f t="shared" si="176"/>
        <v>7729.405097742955</v>
      </c>
      <c r="I545" s="356">
        <v>0</v>
      </c>
      <c r="J545" s="360">
        <f>-SUM(F545:H545)*$J$21*1.16</f>
        <v>-10200.279656671535</v>
      </c>
      <c r="K545" s="356">
        <f t="shared" si="184"/>
        <v>-1121.5320818950981</v>
      </c>
      <c r="L545" s="356">
        <f t="shared" si="177"/>
        <v>965716.4695518102</v>
      </c>
      <c r="N545" s="356">
        <f t="shared" si="185"/>
        <v>522</v>
      </c>
      <c r="O545" s="357">
        <f t="shared" si="170"/>
        <v>43</v>
      </c>
      <c r="P545" s="357">
        <f t="shared" si="171"/>
        <v>6</v>
      </c>
      <c r="Q545" s="357">
        <f t="shared" si="172"/>
        <v>43</v>
      </c>
      <c r="R545" s="356">
        <f t="shared" si="186"/>
        <v>42701123.80920685</v>
      </c>
      <c r="S545" s="356">
        <f>IF($G$4="mensual",S544,0)</f>
        <v>10000</v>
      </c>
      <c r="U545" s="356">
        <f t="shared" si="173"/>
        <v>340584.4991309105</v>
      </c>
      <c r="V545" s="359">
        <f t="shared" si="175"/>
        <v>-477.36057769576223</v>
      </c>
      <c r="X545" s="359">
        <f t="shared" si="174"/>
        <v>-49939.42789940168</v>
      </c>
      <c r="Y545" s="356">
        <f t="shared" si="178"/>
        <v>43001291.51986066</v>
      </c>
      <c r="AA545" s="357">
        <f>+Bono!J545</f>
        <v>613351.0376539162</v>
      </c>
      <c r="AC545" s="378">
        <f t="shared" si="179"/>
        <v>43.5</v>
      </c>
      <c r="AD545" s="356">
        <f t="shared" si="180"/>
        <v>44580359.02706639</v>
      </c>
    </row>
    <row r="546" spans="1:30" x14ac:dyDescent="0.25">
      <c r="A546" s="356">
        <f t="shared" si="181"/>
        <v>43.583333333333336</v>
      </c>
      <c r="B546" s="356">
        <f t="shared" si="182"/>
        <v>523</v>
      </c>
      <c r="C546" s="357">
        <f t="shared" si="167"/>
        <v>43</v>
      </c>
      <c r="D546" s="357">
        <f t="shared" si="168"/>
        <v>7</v>
      </c>
      <c r="E546" s="357">
        <f t="shared" si="169"/>
        <v>72</v>
      </c>
      <c r="F546" s="356">
        <f t="shared" si="183"/>
        <v>965716.4695518102</v>
      </c>
      <c r="H546" s="356">
        <f t="shared" si="176"/>
        <v>7700.7587427113</v>
      </c>
      <c r="I546" s="356">
        <v>0</v>
      </c>
      <c r="J546" s="356">
        <v>0</v>
      </c>
      <c r="K546" s="356">
        <f t="shared" si="184"/>
        <v>-1129.1639848216448</v>
      </c>
      <c r="L546" s="356">
        <f t="shared" si="177"/>
        <v>972288.0643096998</v>
      </c>
      <c r="N546" s="356">
        <f t="shared" si="185"/>
        <v>523</v>
      </c>
      <c r="O546" s="357">
        <f t="shared" si="170"/>
        <v>43</v>
      </c>
      <c r="P546" s="357">
        <f t="shared" si="171"/>
        <v>7</v>
      </c>
      <c r="Q546" s="357">
        <f t="shared" si="172"/>
        <v>43</v>
      </c>
      <c r="R546" s="356">
        <f t="shared" si="186"/>
        <v>43001291.51986066</v>
      </c>
      <c r="S546" s="356">
        <f>+IF($G$4="mensual",S540,IF($G$4="trimestral",S540,IF($G$4="semestral",S540,0)))</f>
        <v>10000</v>
      </c>
      <c r="U546" s="356">
        <f t="shared" si="173"/>
        <v>342978.07860788656</v>
      </c>
      <c r="V546" s="359">
        <f t="shared" si="175"/>
        <v>-477.36057769576223</v>
      </c>
      <c r="X546" s="359">
        <f t="shared" si="174"/>
        <v>-50290.39899595339</v>
      </c>
      <c r="Y546" s="356">
        <f t="shared" si="178"/>
        <v>43303501.8388949</v>
      </c>
      <c r="AA546" s="357">
        <f>+Bono!J546</f>
        <v>617153.8852316873</v>
      </c>
      <c r="AC546" s="378">
        <f t="shared" si="179"/>
        <v>43.583333333333336</v>
      </c>
      <c r="AD546" s="356">
        <f t="shared" si="180"/>
        <v>44892943.78843629</v>
      </c>
    </row>
    <row r="547" spans="1:30" x14ac:dyDescent="0.25">
      <c r="A547" s="356">
        <f t="shared" si="181"/>
        <v>43.666666666666664</v>
      </c>
      <c r="B547" s="356">
        <f t="shared" si="182"/>
        <v>524</v>
      </c>
      <c r="C547" s="357">
        <f t="shared" si="167"/>
        <v>43</v>
      </c>
      <c r="D547" s="357">
        <f t="shared" si="168"/>
        <v>8</v>
      </c>
      <c r="E547" s="357">
        <f t="shared" si="169"/>
        <v>72</v>
      </c>
      <c r="F547" s="356">
        <f t="shared" si="183"/>
        <v>972288.0643096998</v>
      </c>
      <c r="H547" s="356">
        <f t="shared" si="176"/>
        <v>7753.161562152561</v>
      </c>
      <c r="I547" s="356">
        <v>0</v>
      </c>
      <c r="J547" s="356">
        <v>0</v>
      </c>
      <c r="K547" s="356">
        <f t="shared" si="184"/>
        <v>-1136.8478220113486</v>
      </c>
      <c r="L547" s="356">
        <f t="shared" si="177"/>
        <v>978904.378049841</v>
      </c>
      <c r="N547" s="356">
        <f t="shared" si="185"/>
        <v>524</v>
      </c>
      <c r="O547" s="357">
        <f t="shared" si="170"/>
        <v>43</v>
      </c>
      <c r="P547" s="357">
        <f t="shared" si="171"/>
        <v>8</v>
      </c>
      <c r="Q547" s="357">
        <f t="shared" si="172"/>
        <v>43</v>
      </c>
      <c r="R547" s="356">
        <f t="shared" si="186"/>
        <v>43303501.8388949</v>
      </c>
      <c r="S547" s="356">
        <f>IF($G$4="mensual",S546,0)</f>
        <v>10000</v>
      </c>
      <c r="U547" s="356">
        <f t="shared" si="173"/>
        <v>345387.9461309294</v>
      </c>
      <c r="V547" s="359">
        <f t="shared" si="175"/>
        <v>-477.36057769576223</v>
      </c>
      <c r="X547" s="359">
        <f t="shared" si="174"/>
        <v>-50643.75841235984</v>
      </c>
      <c r="Y547" s="356">
        <f t="shared" si="178"/>
        <v>43607768.66603578</v>
      </c>
      <c r="AA547" s="357">
        <f>+Bono!J547</f>
        <v>620980.3109055436</v>
      </c>
      <c r="AC547" s="378">
        <f t="shared" si="179"/>
        <v>43.666666666666664</v>
      </c>
      <c r="AD547" s="356">
        <f t="shared" si="180"/>
        <v>45207653.35499117</v>
      </c>
    </row>
    <row r="548" spans="1:30" x14ac:dyDescent="0.25">
      <c r="A548" s="356">
        <f t="shared" si="181"/>
        <v>43.75</v>
      </c>
      <c r="B548" s="356">
        <f t="shared" si="182"/>
        <v>525</v>
      </c>
      <c r="C548" s="357">
        <f t="shared" ref="C548:C611" si="187">C536+1</f>
        <v>43</v>
      </c>
      <c r="D548" s="357">
        <f t="shared" ref="D548:D611" si="188">D536</f>
        <v>9</v>
      </c>
      <c r="E548" s="357">
        <f t="shared" ref="E548:E611" si="189">E536+1</f>
        <v>72</v>
      </c>
      <c r="F548" s="356">
        <f t="shared" si="183"/>
        <v>978904.378049841</v>
      </c>
      <c r="H548" s="356">
        <f t="shared" si="176"/>
        <v>7805.920977038132</v>
      </c>
      <c r="I548" s="356">
        <v>0</v>
      </c>
      <c r="J548" s="360">
        <f>-SUM(F548:H548)*$J$21*1.16</f>
        <v>-10301.25552184062</v>
      </c>
      <c r="K548" s="356">
        <f t="shared" si="184"/>
        <v>-1132.6344904658447</v>
      </c>
      <c r="L548" s="356">
        <f t="shared" si="177"/>
        <v>975276.4090145726</v>
      </c>
      <c r="N548" s="356">
        <f t="shared" si="185"/>
        <v>525</v>
      </c>
      <c r="O548" s="357">
        <f t="shared" ref="O548:O611" si="190">O536+1</f>
        <v>43</v>
      </c>
      <c r="P548" s="357">
        <f t="shared" ref="P548:P611" si="191">P536</f>
        <v>9</v>
      </c>
      <c r="Q548" s="357">
        <f t="shared" ref="Q548:Q611" si="192">Q536+1</f>
        <v>43</v>
      </c>
      <c r="R548" s="356">
        <f t="shared" si="186"/>
        <v>43607768.66603578</v>
      </c>
      <c r="S548" s="356">
        <f>IF($G$4="mensual",S547,0)</f>
        <v>10000</v>
      </c>
      <c r="U548" s="356">
        <f t="shared" ref="U548:U611" si="193">SUM(R548:T548)*$G$8</f>
        <v>347814.2125384077</v>
      </c>
      <c r="V548" s="359">
        <f t="shared" si="175"/>
        <v>-477.36057769576223</v>
      </c>
      <c r="X548" s="359">
        <f t="shared" si="174"/>
        <v>-50999.522400875925</v>
      </c>
      <c r="Y548" s="356">
        <f t="shared" si="178"/>
        <v>43914105.99559561</v>
      </c>
      <c r="AA548" s="357">
        <f>+Bono!J548</f>
        <v>619201.357611403</v>
      </c>
      <c r="AC548" s="378">
        <f t="shared" si="179"/>
        <v>43.75</v>
      </c>
      <c r="AD548" s="356">
        <f t="shared" si="180"/>
        <v>45508583.76222159</v>
      </c>
    </row>
    <row r="549" spans="1:30" x14ac:dyDescent="0.25">
      <c r="A549" s="356">
        <f t="shared" si="181"/>
        <v>43.833333333333336</v>
      </c>
      <c r="B549" s="356">
        <f t="shared" si="182"/>
        <v>526</v>
      </c>
      <c r="C549" s="357">
        <f t="shared" si="187"/>
        <v>43</v>
      </c>
      <c r="D549" s="357">
        <f t="shared" si="188"/>
        <v>10</v>
      </c>
      <c r="E549" s="357">
        <f t="shared" si="189"/>
        <v>72</v>
      </c>
      <c r="F549" s="356">
        <f t="shared" si="183"/>
        <v>975276.4090145726</v>
      </c>
      <c r="H549" s="356">
        <f t="shared" si="176"/>
        <v>7776.991042479187</v>
      </c>
      <c r="I549" s="356">
        <v>0</v>
      </c>
      <c r="J549" s="356">
        <v>0</v>
      </c>
      <c r="K549" s="356">
        <f t="shared" si="184"/>
        <v>-1140.34194406618</v>
      </c>
      <c r="L549" s="356">
        <f t="shared" si="177"/>
        <v>981913.0581129856</v>
      </c>
      <c r="N549" s="356">
        <f t="shared" si="185"/>
        <v>526</v>
      </c>
      <c r="O549" s="357">
        <f t="shared" si="190"/>
        <v>43</v>
      </c>
      <c r="P549" s="357">
        <f t="shared" si="191"/>
        <v>10</v>
      </c>
      <c r="Q549" s="357">
        <f t="shared" si="192"/>
        <v>43</v>
      </c>
      <c r="R549" s="356">
        <f t="shared" si="186"/>
        <v>43914105.99559561</v>
      </c>
      <c r="S549" s="356">
        <f>IF($G$4="mensual",S540,IF($G$4="trimestral",S540,0))</f>
        <v>10000</v>
      </c>
      <c r="U549" s="356">
        <f t="shared" si="193"/>
        <v>350256.9894229332</v>
      </c>
      <c r="V549" s="359">
        <f t="shared" si="175"/>
        <v>-477.36057769576223</v>
      </c>
      <c r="X549" s="359">
        <f t="shared" si="174"/>
        <v>-51357.70732435139</v>
      </c>
      <c r="Y549" s="356">
        <f t="shared" si="178"/>
        <v>44222527.9171165</v>
      </c>
      <c r="AA549" s="357">
        <f>+Bono!J549</f>
        <v>623040.4778515056</v>
      </c>
      <c r="AC549" s="378">
        <f t="shared" si="179"/>
        <v>43.833333333333336</v>
      </c>
      <c r="AD549" s="356">
        <f t="shared" si="180"/>
        <v>45827481.45308099</v>
      </c>
    </row>
    <row r="550" spans="1:30" x14ac:dyDescent="0.25">
      <c r="A550" s="356">
        <f t="shared" si="181"/>
        <v>43.916666666666664</v>
      </c>
      <c r="B550" s="356">
        <f t="shared" si="182"/>
        <v>527</v>
      </c>
      <c r="C550" s="357">
        <f t="shared" si="187"/>
        <v>43</v>
      </c>
      <c r="D550" s="357">
        <f t="shared" si="188"/>
        <v>11</v>
      </c>
      <c r="E550" s="357">
        <f t="shared" si="189"/>
        <v>72</v>
      </c>
      <c r="F550" s="356">
        <f t="shared" si="183"/>
        <v>981913.0581129856</v>
      </c>
      <c r="H550" s="356">
        <f t="shared" si="176"/>
        <v>7829.912614367289</v>
      </c>
      <c r="I550" s="356">
        <v>0</v>
      </c>
      <c r="J550" s="356">
        <v>0</v>
      </c>
      <c r="K550" s="356">
        <f t="shared" si="184"/>
        <v>-1148.1018460437294</v>
      </c>
      <c r="L550" s="356">
        <f t="shared" si="177"/>
        <v>988594.8688813092</v>
      </c>
      <c r="N550" s="356">
        <f t="shared" si="185"/>
        <v>527</v>
      </c>
      <c r="O550" s="357">
        <f t="shared" si="190"/>
        <v>43</v>
      </c>
      <c r="P550" s="357">
        <f t="shared" si="191"/>
        <v>11</v>
      </c>
      <c r="Q550" s="357">
        <f t="shared" si="192"/>
        <v>43</v>
      </c>
      <c r="R550" s="356">
        <f t="shared" si="186"/>
        <v>44222527.9171165</v>
      </c>
      <c r="S550" s="356">
        <f>IF($G$17="si",S538*(1+$G$20),S538)</f>
        <v>10000</v>
      </c>
      <c r="U550" s="356">
        <f t="shared" si="193"/>
        <v>352716.3891364931</v>
      </c>
      <c r="V550" s="359">
        <f t="shared" si="175"/>
        <v>-477.36057769576223</v>
      </c>
      <c r="X550" s="359">
        <f t="shared" si="174"/>
        <v>-51718.32965698334</v>
      </c>
      <c r="Y550" s="356">
        <f t="shared" si="178"/>
        <v>44533048.61601832</v>
      </c>
      <c r="AA550" s="357">
        <f>+Bono!J550</f>
        <v>626903.4010824073</v>
      </c>
      <c r="AC550" s="378">
        <f t="shared" si="179"/>
        <v>43.916666666666664</v>
      </c>
      <c r="AD550" s="356">
        <f t="shared" si="180"/>
        <v>46148546.88598203</v>
      </c>
    </row>
    <row r="551" spans="1:30" x14ac:dyDescent="0.25">
      <c r="A551" s="356">
        <f t="shared" si="181"/>
        <v>44</v>
      </c>
      <c r="B551" s="356">
        <f t="shared" si="182"/>
        <v>528</v>
      </c>
      <c r="C551" s="357">
        <f t="shared" si="187"/>
        <v>43</v>
      </c>
      <c r="D551" s="357">
        <f t="shared" si="188"/>
        <v>12</v>
      </c>
      <c r="E551" s="357">
        <f t="shared" si="189"/>
        <v>72</v>
      </c>
      <c r="F551" s="356">
        <f t="shared" si="183"/>
        <v>988594.8688813092</v>
      </c>
      <c r="H551" s="356">
        <f t="shared" si="176"/>
        <v>7883.194311753264</v>
      </c>
      <c r="I551" s="356">
        <v>0</v>
      </c>
      <c r="J551" s="360">
        <f>-SUM(F551:H551)*$J$21*1.16</f>
        <v>-10403.230979735572</v>
      </c>
      <c r="K551" s="356">
        <f t="shared" si="184"/>
        <v>-1143.8468053674592</v>
      </c>
      <c r="L551" s="356">
        <f t="shared" si="177"/>
        <v>984930.9854079593</v>
      </c>
      <c r="N551" s="356">
        <f t="shared" si="185"/>
        <v>528</v>
      </c>
      <c r="O551" s="357">
        <f t="shared" si="190"/>
        <v>43</v>
      </c>
      <c r="P551" s="357">
        <f t="shared" si="191"/>
        <v>12</v>
      </c>
      <c r="Q551" s="357">
        <f t="shared" si="192"/>
        <v>43</v>
      </c>
      <c r="R551" s="356">
        <f t="shared" si="186"/>
        <v>44533048.61601832</v>
      </c>
      <c r="S551" s="356">
        <f>IF($G$4="mensual",S550,0)</f>
        <v>10000</v>
      </c>
      <c r="U551" s="356">
        <f t="shared" si="193"/>
        <v>355192.52479561756</v>
      </c>
      <c r="V551" s="359">
        <f t="shared" si="175"/>
        <v>-477.36057769576223</v>
      </c>
      <c r="X551" s="359">
        <f t="shared" si="174"/>
        <v>-52081.40598507403</v>
      </c>
      <c r="Y551" s="356">
        <f t="shared" si="178"/>
        <v>44845682.374251164</v>
      </c>
      <c r="AA551" s="357">
        <f>+Bono!J551</f>
        <v>625107.479616174</v>
      </c>
      <c r="AC551" s="378">
        <f t="shared" si="179"/>
        <v>44</v>
      </c>
      <c r="AD551" s="356">
        <f t="shared" si="180"/>
        <v>46455720.83927529</v>
      </c>
    </row>
    <row r="552" spans="1:30" x14ac:dyDescent="0.25">
      <c r="A552" s="356">
        <f t="shared" si="181"/>
        <v>44.083333333333336</v>
      </c>
      <c r="B552" s="356">
        <f t="shared" si="182"/>
        <v>529</v>
      </c>
      <c r="C552" s="357">
        <f t="shared" si="187"/>
        <v>44</v>
      </c>
      <c r="D552" s="357">
        <f t="shared" si="188"/>
        <v>1</v>
      </c>
      <c r="E552" s="357">
        <f t="shared" si="189"/>
        <v>73</v>
      </c>
      <c r="F552" s="356">
        <f t="shared" si="183"/>
        <v>984930.9854079593</v>
      </c>
      <c r="H552" s="356">
        <f t="shared" si="176"/>
        <v>7853.977990421632</v>
      </c>
      <c r="I552" s="356">
        <v>0</v>
      </c>
      <c r="J552" s="356">
        <v>0</v>
      </c>
      <c r="K552" s="356">
        <f t="shared" si="184"/>
        <v>-1151.6305575421218</v>
      </c>
      <c r="L552" s="356">
        <f t="shared" si="177"/>
        <v>991633.3328408388</v>
      </c>
      <c r="N552" s="356">
        <f t="shared" si="185"/>
        <v>529</v>
      </c>
      <c r="O552" s="357">
        <f t="shared" si="190"/>
        <v>44</v>
      </c>
      <c r="P552" s="357">
        <f t="shared" si="191"/>
        <v>1</v>
      </c>
      <c r="Q552" s="357">
        <f t="shared" si="192"/>
        <v>44</v>
      </c>
      <c r="R552" s="356">
        <f t="shared" si="186"/>
        <v>44845682.374251164</v>
      </c>
      <c r="S552" s="356">
        <f>IF($G$17="si",S540*(1+$G$20),S540)</f>
        <v>10000</v>
      </c>
      <c r="U552" s="356">
        <f t="shared" si="193"/>
        <v>357685.5102865822</v>
      </c>
      <c r="V552" s="359">
        <f>V551*(1+$G$18)</f>
        <v>-496.4550008035927</v>
      </c>
      <c r="X552" s="359">
        <f t="shared" si="174"/>
        <v>-52446.93085826286</v>
      </c>
      <c r="Y552" s="356">
        <f t="shared" si="178"/>
        <v>45160424.498678684</v>
      </c>
      <c r="AA552" s="357">
        <f>+Bono!J552</f>
        <v>628983.218497774</v>
      </c>
      <c r="AC552" s="378">
        <f t="shared" si="179"/>
        <v>44.083333333333336</v>
      </c>
      <c r="AD552" s="356">
        <f t="shared" si="180"/>
        <v>46781041.0500173</v>
      </c>
    </row>
    <row r="553" spans="1:30" x14ac:dyDescent="0.25">
      <c r="A553" s="356">
        <f t="shared" si="181"/>
        <v>44.166666666666664</v>
      </c>
      <c r="B553" s="356">
        <f t="shared" si="182"/>
        <v>530</v>
      </c>
      <c r="C553" s="357">
        <f t="shared" si="187"/>
        <v>44</v>
      </c>
      <c r="D553" s="357">
        <f t="shared" si="188"/>
        <v>2</v>
      </c>
      <c r="E553" s="357">
        <f t="shared" si="189"/>
        <v>73</v>
      </c>
      <c r="F553" s="356">
        <f t="shared" si="183"/>
        <v>991633.3328408388</v>
      </c>
      <c r="H553" s="356">
        <f t="shared" si="176"/>
        <v>7907.423450054715</v>
      </c>
      <c r="I553" s="356">
        <v>0</v>
      </c>
      <c r="J553" s="356">
        <v>0</v>
      </c>
      <c r="K553" s="356">
        <f t="shared" si="184"/>
        <v>-1159.4672772974366</v>
      </c>
      <c r="L553" s="356">
        <f t="shared" si="177"/>
        <v>998381.2890135961</v>
      </c>
      <c r="N553" s="356">
        <f t="shared" si="185"/>
        <v>530</v>
      </c>
      <c r="O553" s="357">
        <f t="shared" si="190"/>
        <v>44</v>
      </c>
      <c r="P553" s="357">
        <f t="shared" si="191"/>
        <v>2</v>
      </c>
      <c r="Q553" s="357">
        <f t="shared" si="192"/>
        <v>44</v>
      </c>
      <c r="R553" s="356">
        <f t="shared" si="186"/>
        <v>45160424.498678684</v>
      </c>
      <c r="S553" s="356">
        <f>IF($G$4="mensual",S552,0)</f>
        <v>10000</v>
      </c>
      <c r="U553" s="356">
        <f t="shared" si="193"/>
        <v>360195.30818565877</v>
      </c>
      <c r="V553" s="359">
        <f t="shared" si="175"/>
        <v>-496.4550008035927</v>
      </c>
      <c r="X553" s="359">
        <f t="shared" si="174"/>
        <v>-52814.94308816171</v>
      </c>
      <c r="Y553" s="356">
        <f t="shared" si="178"/>
        <v>45477308.40877538</v>
      </c>
      <c r="AA553" s="357">
        <f>+Bono!J553</f>
        <v>632882.9874099978</v>
      </c>
      <c r="AC553" s="378">
        <f t="shared" si="179"/>
        <v>44.166666666666664</v>
      </c>
      <c r="AD553" s="356">
        <f t="shared" si="180"/>
        <v>47108572.68519898</v>
      </c>
    </row>
    <row r="554" spans="1:30" x14ac:dyDescent="0.25">
      <c r="A554" s="356">
        <f t="shared" si="181"/>
        <v>44.25</v>
      </c>
      <c r="B554" s="356">
        <f t="shared" si="182"/>
        <v>531</v>
      </c>
      <c r="C554" s="357">
        <f t="shared" si="187"/>
        <v>44</v>
      </c>
      <c r="D554" s="357">
        <f t="shared" si="188"/>
        <v>3</v>
      </c>
      <c r="E554" s="357">
        <f t="shared" si="189"/>
        <v>73</v>
      </c>
      <c r="F554" s="356">
        <f t="shared" si="183"/>
        <v>998381.2890135961</v>
      </c>
      <c r="H554" s="356">
        <f t="shared" si="176"/>
        <v>7961.23260018437</v>
      </c>
      <c r="I554" s="356">
        <v>0</v>
      </c>
      <c r="J554" s="360">
        <f>-SUM(F554:H554)*$J$21*1.16</f>
        <v>-10506.21592564787</v>
      </c>
      <c r="K554" s="356">
        <f t="shared" si="184"/>
        <v>-1155.1701145982338</v>
      </c>
      <c r="L554" s="356">
        <f t="shared" si="177"/>
        <v>994681.1355735344</v>
      </c>
      <c r="N554" s="356">
        <f t="shared" si="185"/>
        <v>531</v>
      </c>
      <c r="O554" s="357">
        <f t="shared" si="190"/>
        <v>44</v>
      </c>
      <c r="P554" s="357">
        <f t="shared" si="191"/>
        <v>3</v>
      </c>
      <c r="Q554" s="357">
        <f t="shared" si="192"/>
        <v>44</v>
      </c>
      <c r="R554" s="356">
        <f t="shared" si="186"/>
        <v>45477308.40877538</v>
      </c>
      <c r="S554" s="356">
        <f>IF($G$4="mensual",S553,0)</f>
        <v>10000</v>
      </c>
      <c r="U554" s="356">
        <f t="shared" si="193"/>
        <v>362722.1849844299</v>
      </c>
      <c r="V554" s="359">
        <f t="shared" si="175"/>
        <v>-496.4550008035927</v>
      </c>
      <c r="X554" s="359">
        <f t="shared" si="174"/>
        <v>-53185.45960096044</v>
      </c>
      <c r="Y554" s="356">
        <f t="shared" si="178"/>
        <v>45796348.67915805</v>
      </c>
      <c r="AA554" s="357">
        <f>+Bono!J554</f>
        <v>631069.9359243287</v>
      </c>
      <c r="AC554" s="378">
        <f t="shared" si="179"/>
        <v>44.25</v>
      </c>
      <c r="AD554" s="356">
        <f t="shared" si="180"/>
        <v>47422099.75065591</v>
      </c>
    </row>
    <row r="555" spans="1:30" x14ac:dyDescent="0.25">
      <c r="A555" s="356">
        <f t="shared" si="181"/>
        <v>44.333333333333336</v>
      </c>
      <c r="B555" s="356">
        <f t="shared" si="182"/>
        <v>532</v>
      </c>
      <c r="C555" s="357">
        <f t="shared" si="187"/>
        <v>44</v>
      </c>
      <c r="D555" s="357">
        <f t="shared" si="188"/>
        <v>4</v>
      </c>
      <c r="E555" s="357">
        <f t="shared" si="189"/>
        <v>73</v>
      </c>
      <c r="F555" s="356">
        <f t="shared" si="183"/>
        <v>994681.1355735344</v>
      </c>
      <c r="H555" s="356">
        <f t="shared" si="176"/>
        <v>7931.727057044827</v>
      </c>
      <c r="I555" s="356">
        <v>0</v>
      </c>
      <c r="J555" s="356">
        <v>0</v>
      </c>
      <c r="K555" s="356">
        <f t="shared" si="184"/>
        <v>-1163.030920651472</v>
      </c>
      <c r="L555" s="356">
        <f t="shared" si="177"/>
        <v>1001449.8317099278</v>
      </c>
      <c r="N555" s="356">
        <f t="shared" si="185"/>
        <v>532</v>
      </c>
      <c r="O555" s="357">
        <f t="shared" si="190"/>
        <v>44</v>
      </c>
      <c r="P555" s="357">
        <f t="shared" si="191"/>
        <v>4</v>
      </c>
      <c r="Q555" s="357">
        <f t="shared" si="192"/>
        <v>44</v>
      </c>
      <c r="R555" s="356">
        <f t="shared" si="186"/>
        <v>45796348.67915805</v>
      </c>
      <c r="S555" s="356">
        <f>IF($G$4="mensual",S552,IF($G$4="trimestral",S552,0))</f>
        <v>10000</v>
      </c>
      <c r="U555" s="356">
        <f t="shared" si="193"/>
        <v>365266.25690293673</v>
      </c>
      <c r="V555" s="359">
        <f t="shared" si="175"/>
        <v>-496.4550008035927</v>
      </c>
      <c r="X555" s="359">
        <f t="shared" ref="X555:X618" si="194">-SUM(R555:V555)*0.1%*1.16</f>
        <v>-53558.4974380298</v>
      </c>
      <c r="Y555" s="356">
        <f t="shared" si="178"/>
        <v>46117559.98362215</v>
      </c>
      <c r="AA555" s="357">
        <f>+Bono!J555</f>
        <v>634982.6427266414</v>
      </c>
      <c r="AC555" s="378">
        <f t="shared" si="179"/>
        <v>44.333333333333336</v>
      </c>
      <c r="AD555" s="356">
        <f t="shared" si="180"/>
        <v>47753992.45805872</v>
      </c>
    </row>
    <row r="556" spans="1:30" x14ac:dyDescent="0.25">
      <c r="A556" s="356">
        <f t="shared" si="181"/>
        <v>44.416666666666664</v>
      </c>
      <c r="B556" s="356">
        <f t="shared" si="182"/>
        <v>533</v>
      </c>
      <c r="C556" s="357">
        <f t="shared" si="187"/>
        <v>44</v>
      </c>
      <c r="D556" s="357">
        <f t="shared" si="188"/>
        <v>5</v>
      </c>
      <c r="E556" s="357">
        <f t="shared" si="189"/>
        <v>73</v>
      </c>
      <c r="F556" s="356">
        <f t="shared" si="183"/>
        <v>1001449.8317099278</v>
      </c>
      <c r="H556" s="356">
        <f t="shared" si="176"/>
        <v>7985.701590557006</v>
      </c>
      <c r="I556" s="356">
        <v>0</v>
      </c>
      <c r="J556" s="356">
        <v>0</v>
      </c>
      <c r="K556" s="356">
        <f t="shared" si="184"/>
        <v>-1170.9452186285623</v>
      </c>
      <c r="L556" s="356">
        <f t="shared" si="177"/>
        <v>1008264.5880818563</v>
      </c>
      <c r="N556" s="356">
        <f t="shared" si="185"/>
        <v>533</v>
      </c>
      <c r="O556" s="357">
        <f t="shared" si="190"/>
        <v>44</v>
      </c>
      <c r="P556" s="357">
        <f t="shared" si="191"/>
        <v>5</v>
      </c>
      <c r="Q556" s="357">
        <f t="shared" si="192"/>
        <v>44</v>
      </c>
      <c r="R556" s="356">
        <f t="shared" si="186"/>
        <v>46117559.98362215</v>
      </c>
      <c r="S556" s="356">
        <f>IF($G$4="mensual",S555,0)</f>
        <v>10000</v>
      </c>
      <c r="U556" s="356">
        <f t="shared" si="193"/>
        <v>367827.64095208485</v>
      </c>
      <c r="V556" s="359">
        <f t="shared" si="175"/>
        <v>-496.4550008035927</v>
      </c>
      <c r="X556" s="359">
        <f t="shared" si="194"/>
        <v>-53934.073756705184</v>
      </c>
      <c r="Y556" s="356">
        <f t="shared" si="178"/>
        <v>46440957.09581673</v>
      </c>
      <c r="AA556" s="357">
        <f>+Bono!J556</f>
        <v>638919.6087649743</v>
      </c>
      <c r="AC556" s="378">
        <f t="shared" si="179"/>
        <v>44.416666666666664</v>
      </c>
      <c r="AD556" s="356">
        <f t="shared" si="180"/>
        <v>48088141.29266357</v>
      </c>
    </row>
    <row r="557" spans="1:30" x14ac:dyDescent="0.25">
      <c r="A557" s="356">
        <f t="shared" si="181"/>
        <v>44.5</v>
      </c>
      <c r="B557" s="356">
        <f t="shared" si="182"/>
        <v>534</v>
      </c>
      <c r="C557" s="357">
        <f t="shared" si="187"/>
        <v>44</v>
      </c>
      <c r="D557" s="357">
        <f t="shared" si="188"/>
        <v>6</v>
      </c>
      <c r="E557" s="357">
        <f t="shared" si="189"/>
        <v>73</v>
      </c>
      <c r="F557" s="356">
        <f t="shared" si="183"/>
        <v>1008264.5880818563</v>
      </c>
      <c r="H557" s="356">
        <f t="shared" si="176"/>
        <v>8040.0434148555305</v>
      </c>
      <c r="I557" s="356">
        <v>0</v>
      </c>
      <c r="J557" s="360">
        <f>-SUM(F557:H557)*$J$21*1.16</f>
        <v>-10610.220352825672</v>
      </c>
      <c r="K557" s="356">
        <f t="shared" si="184"/>
        <v>-1166.6055169269077</v>
      </c>
      <c r="L557" s="356">
        <f t="shared" si="177"/>
        <v>1004527.8056269592</v>
      </c>
      <c r="N557" s="356">
        <f t="shared" si="185"/>
        <v>534</v>
      </c>
      <c r="O557" s="357">
        <f t="shared" si="190"/>
        <v>44</v>
      </c>
      <c r="P557" s="357">
        <f t="shared" si="191"/>
        <v>6</v>
      </c>
      <c r="Q557" s="357">
        <f t="shared" si="192"/>
        <v>44</v>
      </c>
      <c r="R557" s="356">
        <f t="shared" si="186"/>
        <v>46440957.09581673</v>
      </c>
      <c r="S557" s="356">
        <f>IF($G$4="mensual",S556,0)</f>
        <v>10000</v>
      </c>
      <c r="U557" s="356">
        <f t="shared" si="193"/>
        <v>370406.4549390264</v>
      </c>
      <c r="V557" s="359">
        <f t="shared" si="175"/>
        <v>-496.4550008035927</v>
      </c>
      <c r="X557" s="359">
        <f t="shared" si="194"/>
        <v>-54312.20583107574</v>
      </c>
      <c r="Y557" s="356">
        <f t="shared" si="178"/>
        <v>46766554.88992388</v>
      </c>
      <c r="AA557" s="357">
        <f>+Bono!J557</f>
        <v>637089.2638687794</v>
      </c>
      <c r="AC557" s="378">
        <f t="shared" si="179"/>
        <v>44.5</v>
      </c>
      <c r="AD557" s="356">
        <f t="shared" si="180"/>
        <v>48408171.959419616</v>
      </c>
    </row>
    <row r="558" spans="1:30" x14ac:dyDescent="0.25">
      <c r="A558" s="356">
        <f t="shared" si="181"/>
        <v>44.583333333333336</v>
      </c>
      <c r="B558" s="356">
        <f t="shared" si="182"/>
        <v>535</v>
      </c>
      <c r="C558" s="357">
        <f t="shared" si="187"/>
        <v>44</v>
      </c>
      <c r="D558" s="357">
        <f t="shared" si="188"/>
        <v>7</v>
      </c>
      <c r="E558" s="357">
        <f t="shared" si="189"/>
        <v>73</v>
      </c>
      <c r="F558" s="356">
        <f t="shared" si="183"/>
        <v>1004527.8056269592</v>
      </c>
      <c r="H558" s="356">
        <f t="shared" si="176"/>
        <v>8010.245786807917</v>
      </c>
      <c r="I558" s="356">
        <v>0</v>
      </c>
      <c r="J558" s="356">
        <v>0</v>
      </c>
      <c r="K558" s="356">
        <f t="shared" si="184"/>
        <v>-1174.54413963997</v>
      </c>
      <c r="L558" s="356">
        <f t="shared" si="177"/>
        <v>1011363.5072741272</v>
      </c>
      <c r="N558" s="356">
        <f t="shared" si="185"/>
        <v>535</v>
      </c>
      <c r="O558" s="357">
        <f t="shared" si="190"/>
        <v>44</v>
      </c>
      <c r="P558" s="357">
        <f t="shared" si="191"/>
        <v>7</v>
      </c>
      <c r="Q558" s="357">
        <f t="shared" si="192"/>
        <v>44</v>
      </c>
      <c r="R558" s="356">
        <f t="shared" si="186"/>
        <v>46766554.88992388</v>
      </c>
      <c r="S558" s="356">
        <f>+IF($G$4="mensual",S552,IF($G$4="trimestral",S552,IF($G$4="semestral",S552,0)))</f>
        <v>10000</v>
      </c>
      <c r="U558" s="356">
        <f t="shared" si="193"/>
        <v>373002.8174725781</v>
      </c>
      <c r="V558" s="359">
        <f t="shared" si="175"/>
        <v>-496.4550008035927</v>
      </c>
      <c r="X558" s="359">
        <f t="shared" si="194"/>
        <v>-54692.91105277895</v>
      </c>
      <c r="Y558" s="356">
        <f t="shared" si="178"/>
        <v>47094368.341342874</v>
      </c>
      <c r="AA558" s="357">
        <f>+Bono!J558</f>
        <v>641039.2912025464</v>
      </c>
      <c r="AC558" s="378">
        <f t="shared" si="179"/>
        <v>44.583333333333336</v>
      </c>
      <c r="AD558" s="356">
        <f t="shared" si="180"/>
        <v>48746771.13981955</v>
      </c>
    </row>
    <row r="559" spans="1:30" x14ac:dyDescent="0.25">
      <c r="A559" s="356">
        <f t="shared" si="181"/>
        <v>44.666666666666664</v>
      </c>
      <c r="B559" s="356">
        <f t="shared" si="182"/>
        <v>536</v>
      </c>
      <c r="C559" s="357">
        <f t="shared" si="187"/>
        <v>44</v>
      </c>
      <c r="D559" s="357">
        <f t="shared" si="188"/>
        <v>8</v>
      </c>
      <c r="E559" s="357">
        <f t="shared" si="189"/>
        <v>73</v>
      </c>
      <c r="F559" s="356">
        <f t="shared" si="183"/>
        <v>1011363.5072741272</v>
      </c>
      <c r="H559" s="356">
        <f t="shared" si="176"/>
        <v>8064.754631672524</v>
      </c>
      <c r="I559" s="356">
        <v>0</v>
      </c>
      <c r="J559" s="356">
        <v>0</v>
      </c>
      <c r="K559" s="356">
        <f t="shared" si="184"/>
        <v>-1182.5367838107277</v>
      </c>
      <c r="L559" s="356">
        <f t="shared" si="177"/>
        <v>1018245.725121989</v>
      </c>
      <c r="N559" s="356">
        <f t="shared" si="185"/>
        <v>536</v>
      </c>
      <c r="O559" s="357">
        <f t="shared" si="190"/>
        <v>44</v>
      </c>
      <c r="P559" s="357">
        <f t="shared" si="191"/>
        <v>8</v>
      </c>
      <c r="Q559" s="357">
        <f t="shared" si="192"/>
        <v>44</v>
      </c>
      <c r="R559" s="356">
        <f t="shared" si="186"/>
        <v>47094368.341342874</v>
      </c>
      <c r="S559" s="356">
        <f>IF($G$4="mensual",S558,0)</f>
        <v>10000</v>
      </c>
      <c r="U559" s="356">
        <f t="shared" si="193"/>
        <v>375616.84796867677</v>
      </c>
      <c r="V559" s="359">
        <f t="shared" si="175"/>
        <v>-496.4550008035927</v>
      </c>
      <c r="X559" s="359">
        <f t="shared" si="194"/>
        <v>-55076.206931800465</v>
      </c>
      <c r="Y559" s="356">
        <f t="shared" si="178"/>
        <v>47424412.52737895</v>
      </c>
      <c r="AA559" s="357">
        <f>+Bono!J559</f>
        <v>645013.8091639577</v>
      </c>
      <c r="AC559" s="378">
        <f t="shared" si="179"/>
        <v>44.666666666666664</v>
      </c>
      <c r="AD559" s="356">
        <f t="shared" si="180"/>
        <v>49087672.061664894</v>
      </c>
    </row>
    <row r="560" spans="1:30" x14ac:dyDescent="0.25">
      <c r="A560" s="356">
        <f t="shared" si="181"/>
        <v>44.75</v>
      </c>
      <c r="B560" s="356">
        <f t="shared" si="182"/>
        <v>537</v>
      </c>
      <c r="C560" s="357">
        <f t="shared" si="187"/>
        <v>44</v>
      </c>
      <c r="D560" s="357">
        <f t="shared" si="188"/>
        <v>9</v>
      </c>
      <c r="E560" s="357">
        <f t="shared" si="189"/>
        <v>73</v>
      </c>
      <c r="F560" s="356">
        <f t="shared" si="183"/>
        <v>1018245.725121989</v>
      </c>
      <c r="H560" s="356">
        <f t="shared" si="176"/>
        <v>8119.634403253682</v>
      </c>
      <c r="I560" s="356">
        <v>0</v>
      </c>
      <c r="J560" s="360">
        <f>-SUM(F560:H560)*$J$21*1.16</f>
        <v>-10715.254353443534</v>
      </c>
      <c r="K560" s="356">
        <f t="shared" si="184"/>
        <v>-1178.1541219992869</v>
      </c>
      <c r="L560" s="356">
        <f t="shared" si="177"/>
        <v>1014471.9510497999</v>
      </c>
      <c r="N560" s="356">
        <f t="shared" si="185"/>
        <v>537</v>
      </c>
      <c r="O560" s="357">
        <f t="shared" si="190"/>
        <v>44</v>
      </c>
      <c r="P560" s="357">
        <f t="shared" si="191"/>
        <v>9</v>
      </c>
      <c r="Q560" s="357">
        <f t="shared" si="192"/>
        <v>44</v>
      </c>
      <c r="R560" s="356">
        <f t="shared" si="186"/>
        <v>47424412.52737895</v>
      </c>
      <c r="S560" s="356">
        <f>IF($G$4="mensual",S559,0)</f>
        <v>10000</v>
      </c>
      <c r="U560" s="356">
        <f t="shared" si="193"/>
        <v>378248.66665587167</v>
      </c>
      <c r="V560" s="359">
        <f t="shared" si="175"/>
        <v>-496.4550008035927</v>
      </c>
      <c r="X560" s="359">
        <f t="shared" si="194"/>
        <v>-55462.111097279456</v>
      </c>
      <c r="Y560" s="356">
        <f t="shared" si="178"/>
        <v>47756702.627936736</v>
      </c>
      <c r="AA560" s="357">
        <f>+Bono!J560</f>
        <v>643166.0059076756</v>
      </c>
      <c r="AC560" s="378">
        <f t="shared" si="179"/>
        <v>44.75</v>
      </c>
      <c r="AD560" s="356">
        <f t="shared" si="180"/>
        <v>49414340.58489421</v>
      </c>
    </row>
    <row r="561" spans="1:30" x14ac:dyDescent="0.25">
      <c r="A561" s="356">
        <f t="shared" si="181"/>
        <v>44.833333333333336</v>
      </c>
      <c r="B561" s="356">
        <f t="shared" si="182"/>
        <v>538</v>
      </c>
      <c r="C561" s="357">
        <f t="shared" si="187"/>
        <v>44</v>
      </c>
      <c r="D561" s="357">
        <f t="shared" si="188"/>
        <v>10</v>
      </c>
      <c r="E561" s="357">
        <f t="shared" si="189"/>
        <v>73</v>
      </c>
      <c r="F561" s="356">
        <f t="shared" si="183"/>
        <v>1014471.9510497999</v>
      </c>
      <c r="H561" s="356">
        <f t="shared" si="176"/>
        <v>8089.54179885509</v>
      </c>
      <c r="I561" s="356">
        <v>0</v>
      </c>
      <c r="J561" s="356">
        <v>0</v>
      </c>
      <c r="K561" s="356">
        <f t="shared" si="184"/>
        <v>-1186.1713317044398</v>
      </c>
      <c r="L561" s="356">
        <f t="shared" si="177"/>
        <v>1021375.3215169505</v>
      </c>
      <c r="N561" s="356">
        <f t="shared" si="185"/>
        <v>538</v>
      </c>
      <c r="O561" s="357">
        <f t="shared" si="190"/>
        <v>44</v>
      </c>
      <c r="P561" s="357">
        <f t="shared" si="191"/>
        <v>10</v>
      </c>
      <c r="Q561" s="357">
        <f t="shared" si="192"/>
        <v>44</v>
      </c>
      <c r="R561" s="356">
        <f t="shared" si="186"/>
        <v>47756702.627936736</v>
      </c>
      <c r="S561" s="356">
        <f>IF($G$4="mensual",S552,IF($G$4="trimestral",S552,0))</f>
        <v>10000</v>
      </c>
      <c r="U561" s="356">
        <f t="shared" si="193"/>
        <v>380898.394580854</v>
      </c>
      <c r="V561" s="359">
        <f t="shared" si="175"/>
        <v>-496.4550008035927</v>
      </c>
      <c r="X561" s="359">
        <f t="shared" si="194"/>
        <v>-55850.641298319475</v>
      </c>
      <c r="Y561" s="356">
        <f t="shared" si="178"/>
        <v>48091253.92621847</v>
      </c>
      <c r="AA561" s="357">
        <f>+Bono!J561</f>
        <v>647153.7097469423</v>
      </c>
      <c r="AC561" s="378">
        <f t="shared" si="179"/>
        <v>44.833333333333336</v>
      </c>
      <c r="AD561" s="356">
        <f t="shared" si="180"/>
        <v>49759782.95748237</v>
      </c>
    </row>
    <row r="562" spans="1:30" x14ac:dyDescent="0.25">
      <c r="A562" s="356">
        <f t="shared" si="181"/>
        <v>44.916666666666664</v>
      </c>
      <c r="B562" s="356">
        <f t="shared" si="182"/>
        <v>539</v>
      </c>
      <c r="C562" s="357">
        <f t="shared" si="187"/>
        <v>44</v>
      </c>
      <c r="D562" s="357">
        <f t="shared" si="188"/>
        <v>11</v>
      </c>
      <c r="E562" s="357">
        <f t="shared" si="189"/>
        <v>73</v>
      </c>
      <c r="F562" s="356">
        <f t="shared" si="183"/>
        <v>1021375.3215169505</v>
      </c>
      <c r="H562" s="356">
        <f t="shared" si="176"/>
        <v>8144.590244392896</v>
      </c>
      <c r="I562" s="356">
        <v>0</v>
      </c>
      <c r="J562" s="356">
        <v>0</v>
      </c>
      <c r="K562" s="356">
        <f t="shared" si="184"/>
        <v>-1194.243097643158</v>
      </c>
      <c r="L562" s="356">
        <f t="shared" si="177"/>
        <v>1028325.6686637002</v>
      </c>
      <c r="N562" s="356">
        <f t="shared" si="185"/>
        <v>539</v>
      </c>
      <c r="O562" s="357">
        <f t="shared" si="190"/>
        <v>44</v>
      </c>
      <c r="P562" s="357">
        <f t="shared" si="191"/>
        <v>11</v>
      </c>
      <c r="Q562" s="357">
        <f t="shared" si="192"/>
        <v>44</v>
      </c>
      <c r="R562" s="356">
        <f t="shared" si="186"/>
        <v>48091253.92621847</v>
      </c>
      <c r="S562" s="356">
        <f>IF($G$17="si",S550*(1+$G$20),S550)</f>
        <v>10000</v>
      </c>
      <c r="U562" s="356">
        <f t="shared" si="193"/>
        <v>383566.15361402463</v>
      </c>
      <c r="V562" s="359">
        <f t="shared" si="175"/>
        <v>-496.4550008035927</v>
      </c>
      <c r="X562" s="359">
        <f t="shared" si="194"/>
        <v>-56241.81540480476</v>
      </c>
      <c r="Y562" s="356">
        <f t="shared" si="178"/>
        <v>48428081.80942689</v>
      </c>
      <c r="AA562" s="357">
        <f>+Bono!J562</f>
        <v>651166.1378125575</v>
      </c>
      <c r="AC562" s="378">
        <f t="shared" si="179"/>
        <v>44.916666666666664</v>
      </c>
      <c r="AD562" s="356">
        <f t="shared" si="180"/>
        <v>50107573.61590315</v>
      </c>
    </row>
    <row r="563" spans="1:30" x14ac:dyDescent="0.25">
      <c r="A563" s="356">
        <f t="shared" si="181"/>
        <v>45</v>
      </c>
      <c r="B563" s="356">
        <f t="shared" si="182"/>
        <v>540</v>
      </c>
      <c r="C563" s="357">
        <f t="shared" si="187"/>
        <v>44</v>
      </c>
      <c r="D563" s="357">
        <f t="shared" si="188"/>
        <v>12</v>
      </c>
      <c r="E563" s="357">
        <f t="shared" si="189"/>
        <v>73</v>
      </c>
      <c r="F563" s="356">
        <f t="shared" si="183"/>
        <v>1028325.6686637002</v>
      </c>
      <c r="H563" s="356">
        <f t="shared" si="176"/>
        <v>8200.013288570708</v>
      </c>
      <c r="I563" s="356">
        <v>0</v>
      </c>
      <c r="J563" s="360">
        <f>-SUM(F563:H563)*$J$21*1.16</f>
        <v>-10821.328119581709</v>
      </c>
      <c r="K563" s="356">
        <f t="shared" si="184"/>
        <v>-1189.8170504459194</v>
      </c>
      <c r="L563" s="356">
        <f t="shared" si="177"/>
        <v>1024514.5367822433</v>
      </c>
      <c r="N563" s="356">
        <f t="shared" si="185"/>
        <v>540</v>
      </c>
      <c r="O563" s="357">
        <f t="shared" si="190"/>
        <v>44</v>
      </c>
      <c r="P563" s="357">
        <f t="shared" si="191"/>
        <v>12</v>
      </c>
      <c r="Q563" s="357">
        <f t="shared" si="192"/>
        <v>44</v>
      </c>
      <c r="R563" s="356">
        <f t="shared" si="186"/>
        <v>48428081.80942689</v>
      </c>
      <c r="S563" s="356">
        <f>IF($G$4="mensual",S562,0)</f>
        <v>10000</v>
      </c>
      <c r="U563" s="356">
        <f t="shared" si="193"/>
        <v>386252.066455099</v>
      </c>
      <c r="V563" s="359">
        <f t="shared" si="175"/>
        <v>-496.4550008035927</v>
      </c>
      <c r="X563" s="359">
        <f t="shared" si="194"/>
        <v>-56635.65140822216</v>
      </c>
      <c r="Y563" s="356">
        <f t="shared" si="178"/>
        <v>48767201.76947296</v>
      </c>
      <c r="AA563" s="357">
        <f>+Bono!J563</f>
        <v>649300.7096732898</v>
      </c>
      <c r="AC563" s="378">
        <f t="shared" si="179"/>
        <v>45</v>
      </c>
      <c r="AD563" s="356">
        <f t="shared" si="180"/>
        <v>50441017.01592849</v>
      </c>
    </row>
    <row r="564" spans="1:30" x14ac:dyDescent="0.25">
      <c r="A564" s="356">
        <f t="shared" si="181"/>
        <v>45.083333333333336</v>
      </c>
      <c r="B564" s="356">
        <f t="shared" si="182"/>
        <v>541</v>
      </c>
      <c r="C564" s="357">
        <f t="shared" si="187"/>
        <v>45</v>
      </c>
      <c r="D564" s="357">
        <f t="shared" si="188"/>
        <v>1</v>
      </c>
      <c r="E564" s="357">
        <f t="shared" si="189"/>
        <v>74</v>
      </c>
      <c r="F564" s="356">
        <f t="shared" si="183"/>
        <v>1024514.5367822433</v>
      </c>
      <c r="H564" s="356">
        <f t="shared" si="176"/>
        <v>8169.622787754899</v>
      </c>
      <c r="I564" s="356">
        <v>0</v>
      </c>
      <c r="J564" s="356">
        <v>0</v>
      </c>
      <c r="K564" s="356">
        <f t="shared" si="184"/>
        <v>-1197.9136251011978</v>
      </c>
      <c r="L564" s="356">
        <f t="shared" si="177"/>
        <v>1031486.245944897</v>
      </c>
      <c r="N564" s="356">
        <f t="shared" si="185"/>
        <v>541</v>
      </c>
      <c r="O564" s="357">
        <f t="shared" si="190"/>
        <v>45</v>
      </c>
      <c r="P564" s="357">
        <f t="shared" si="191"/>
        <v>1</v>
      </c>
      <c r="Q564" s="357">
        <f t="shared" si="192"/>
        <v>45</v>
      </c>
      <c r="R564" s="356">
        <f t="shared" si="186"/>
        <v>48767201.76947296</v>
      </c>
      <c r="S564" s="356">
        <f>IF($G$17="si",S552*(1+$G$20),S552)</f>
        <v>10000</v>
      </c>
      <c r="U564" s="356">
        <f t="shared" si="193"/>
        <v>388956.25663875055</v>
      </c>
      <c r="V564" s="359">
        <f>V563*(1+$G$18)</f>
        <v>-516.3132008357364</v>
      </c>
      <c r="X564" s="359">
        <f t="shared" si="194"/>
        <v>-57032.1443869766</v>
      </c>
      <c r="Y564" s="356">
        <f t="shared" si="178"/>
        <v>49108609.56852389</v>
      </c>
      <c r="AA564" s="357">
        <f>+Bono!J564</f>
        <v>653326.4493874848</v>
      </c>
      <c r="AC564" s="378">
        <f t="shared" si="179"/>
        <v>45.083333333333336</v>
      </c>
      <c r="AD564" s="356">
        <f t="shared" si="180"/>
        <v>50793422.26385627</v>
      </c>
    </row>
    <row r="565" spans="1:30" x14ac:dyDescent="0.25">
      <c r="A565" s="356">
        <f t="shared" si="181"/>
        <v>45.166666666666664</v>
      </c>
      <c r="B565" s="356">
        <f t="shared" si="182"/>
        <v>542</v>
      </c>
      <c r="C565" s="357">
        <f t="shared" si="187"/>
        <v>45</v>
      </c>
      <c r="D565" s="357">
        <f t="shared" si="188"/>
        <v>2</v>
      </c>
      <c r="E565" s="357">
        <f t="shared" si="189"/>
        <v>74</v>
      </c>
      <c r="F565" s="356">
        <f t="shared" si="183"/>
        <v>1031486.245944897</v>
      </c>
      <c r="H565" s="356">
        <f t="shared" si="176"/>
        <v>8225.216175647374</v>
      </c>
      <c r="I565" s="356">
        <v>0</v>
      </c>
      <c r="J565" s="356">
        <v>0</v>
      </c>
      <c r="K565" s="356">
        <f t="shared" si="184"/>
        <v>-1206.0652960598313</v>
      </c>
      <c r="L565" s="356">
        <f t="shared" si="177"/>
        <v>1038505.3968244845</v>
      </c>
      <c r="N565" s="356">
        <f t="shared" si="185"/>
        <v>542</v>
      </c>
      <c r="O565" s="357">
        <f t="shared" si="190"/>
        <v>45</v>
      </c>
      <c r="P565" s="357">
        <f t="shared" si="191"/>
        <v>2</v>
      </c>
      <c r="Q565" s="357">
        <f t="shared" si="192"/>
        <v>45</v>
      </c>
      <c r="R565" s="356">
        <f t="shared" si="186"/>
        <v>49108609.56852389</v>
      </c>
      <c r="S565" s="356">
        <f>IF($G$4="mensual",S564,0)</f>
        <v>10000</v>
      </c>
      <c r="U565" s="356">
        <f t="shared" si="193"/>
        <v>391678.6903719056</v>
      </c>
      <c r="V565" s="359">
        <f t="shared" si="175"/>
        <v>-516.3132008357364</v>
      </c>
      <c r="X565" s="359">
        <f t="shared" si="194"/>
        <v>-57431.33545700616</v>
      </c>
      <c r="Y565" s="356">
        <f t="shared" si="178"/>
        <v>49452340.610237956</v>
      </c>
      <c r="AA565" s="357">
        <f>+Bono!J565</f>
        <v>657377.1491548648</v>
      </c>
      <c r="AC565" s="378">
        <f t="shared" si="179"/>
        <v>45.166666666666664</v>
      </c>
      <c r="AD565" s="356">
        <f t="shared" si="180"/>
        <v>51148223.15621731</v>
      </c>
    </row>
    <row r="566" spans="1:30" x14ac:dyDescent="0.25">
      <c r="A566" s="356">
        <f t="shared" si="181"/>
        <v>45.25</v>
      </c>
      <c r="B566" s="356">
        <f t="shared" si="182"/>
        <v>543</v>
      </c>
      <c r="C566" s="357">
        <f t="shared" si="187"/>
        <v>45</v>
      </c>
      <c r="D566" s="357">
        <f t="shared" si="188"/>
        <v>3</v>
      </c>
      <c r="E566" s="357">
        <f t="shared" si="189"/>
        <v>74</v>
      </c>
      <c r="F566" s="356">
        <f t="shared" si="183"/>
        <v>1038505.3968244845</v>
      </c>
      <c r="H566" s="356">
        <f t="shared" si="176"/>
        <v>8281.187870452868</v>
      </c>
      <c r="I566" s="356">
        <v>0</v>
      </c>
      <c r="J566" s="360">
        <f>-SUM(F566:H566)*$J$21*1.16</f>
        <v>-10928.451944215147</v>
      </c>
      <c r="K566" s="356">
        <f t="shared" si="184"/>
        <v>-1201.5954339908378</v>
      </c>
      <c r="L566" s="356">
        <f t="shared" si="177"/>
        <v>1034656.5373167314</v>
      </c>
      <c r="N566" s="356">
        <f t="shared" si="185"/>
        <v>543</v>
      </c>
      <c r="O566" s="357">
        <f t="shared" si="190"/>
        <v>45</v>
      </c>
      <c r="P566" s="357">
        <f t="shared" si="191"/>
        <v>3</v>
      </c>
      <c r="Q566" s="357">
        <f t="shared" si="192"/>
        <v>45</v>
      </c>
      <c r="R566" s="356">
        <f t="shared" si="186"/>
        <v>49452340.610237956</v>
      </c>
      <c r="S566" s="356">
        <f>IF($G$4="mensual",S565,0)</f>
        <v>10000</v>
      </c>
      <c r="U566" s="356">
        <f t="shared" si="193"/>
        <v>394419.649968307</v>
      </c>
      <c r="V566" s="359">
        <f t="shared" si="175"/>
        <v>-516.3132008357364</v>
      </c>
      <c r="X566" s="359">
        <f t="shared" si="194"/>
        <v>-57833.24297852629</v>
      </c>
      <c r="Y566" s="356">
        <f t="shared" si="178"/>
        <v>49798410.70402689</v>
      </c>
      <c r="AA566" s="357">
        <f>+Bono!J566</f>
        <v>655493.9280213695</v>
      </c>
      <c r="AC566" s="378">
        <f t="shared" si="179"/>
        <v>45.25</v>
      </c>
      <c r="AD566" s="356">
        <f t="shared" si="180"/>
        <v>51488561.169364996</v>
      </c>
    </row>
    <row r="567" spans="1:30" x14ac:dyDescent="0.25">
      <c r="A567" s="356">
        <f t="shared" si="181"/>
        <v>45.333333333333336</v>
      </c>
      <c r="B567" s="356">
        <f t="shared" si="182"/>
        <v>544</v>
      </c>
      <c r="C567" s="357">
        <f t="shared" si="187"/>
        <v>45</v>
      </c>
      <c r="D567" s="357">
        <f t="shared" si="188"/>
        <v>4</v>
      </c>
      <c r="E567" s="357">
        <f t="shared" si="189"/>
        <v>74</v>
      </c>
      <c r="F567" s="356">
        <f t="shared" si="183"/>
        <v>1034656.5373167314</v>
      </c>
      <c r="H567" s="356">
        <f t="shared" si="176"/>
        <v>8250.496524246924</v>
      </c>
      <c r="I567" s="356">
        <v>0</v>
      </c>
      <c r="J567" s="356">
        <v>0</v>
      </c>
      <c r="K567" s="356">
        <f t="shared" si="184"/>
        <v>-1209.7721592555347</v>
      </c>
      <c r="L567" s="356">
        <f t="shared" si="177"/>
        <v>1041697.2616817227</v>
      </c>
      <c r="N567" s="356">
        <f t="shared" si="185"/>
        <v>544</v>
      </c>
      <c r="O567" s="357">
        <f t="shared" si="190"/>
        <v>45</v>
      </c>
      <c r="P567" s="357">
        <f t="shared" si="191"/>
        <v>4</v>
      </c>
      <c r="Q567" s="357">
        <f t="shared" si="192"/>
        <v>45</v>
      </c>
      <c r="R567" s="356">
        <f t="shared" si="186"/>
        <v>49798410.70402689</v>
      </c>
      <c r="S567" s="356">
        <f>IF($G$4="mensual",S564,IF($G$4="trimestral",S564,0))</f>
        <v>10000</v>
      </c>
      <c r="U567" s="356">
        <f t="shared" si="193"/>
        <v>397179.26149442384</v>
      </c>
      <c r="V567" s="359">
        <f t="shared" si="175"/>
        <v>-516.3132008357364</v>
      </c>
      <c r="X567" s="359">
        <f t="shared" si="194"/>
        <v>-58237.88543669175</v>
      </c>
      <c r="Y567" s="356">
        <f t="shared" si="178"/>
        <v>50146835.76688378</v>
      </c>
      <c r="AA567" s="357">
        <f>+Bono!J567</f>
        <v>659558.0664076916</v>
      </c>
      <c r="AC567" s="378">
        <f t="shared" si="179"/>
        <v>45.333333333333336</v>
      </c>
      <c r="AD567" s="356">
        <f t="shared" si="180"/>
        <v>51848091.09497319</v>
      </c>
    </row>
    <row r="568" spans="1:30" x14ac:dyDescent="0.25">
      <c r="A568" s="356">
        <f t="shared" si="181"/>
        <v>45.416666666666664</v>
      </c>
      <c r="B568" s="356">
        <f t="shared" si="182"/>
        <v>545</v>
      </c>
      <c r="C568" s="357">
        <f t="shared" si="187"/>
        <v>45</v>
      </c>
      <c r="D568" s="357">
        <f t="shared" si="188"/>
        <v>5</v>
      </c>
      <c r="E568" s="357">
        <f t="shared" si="189"/>
        <v>74</v>
      </c>
      <c r="F568" s="356">
        <f t="shared" si="183"/>
        <v>1041697.2616817227</v>
      </c>
      <c r="H568" s="356">
        <f t="shared" si="176"/>
        <v>8306.64024905457</v>
      </c>
      <c r="I568" s="356">
        <v>0</v>
      </c>
      <c r="J568" s="356">
        <v>0</v>
      </c>
      <c r="K568" s="356">
        <f t="shared" si="184"/>
        <v>-1218.0045262397016</v>
      </c>
      <c r="L568" s="356">
        <f t="shared" si="177"/>
        <v>1048785.8974045378</v>
      </c>
      <c r="N568" s="356">
        <f t="shared" si="185"/>
        <v>545</v>
      </c>
      <c r="O568" s="357">
        <f t="shared" si="190"/>
        <v>45</v>
      </c>
      <c r="P568" s="357">
        <f t="shared" si="191"/>
        <v>5</v>
      </c>
      <c r="Q568" s="357">
        <f t="shared" si="192"/>
        <v>45</v>
      </c>
      <c r="R568" s="356">
        <f t="shared" si="186"/>
        <v>50146835.76688378</v>
      </c>
      <c r="S568" s="356">
        <f>IF($G$4="mensual",S567,0)</f>
        <v>10000</v>
      </c>
      <c r="U568" s="356">
        <f t="shared" si="193"/>
        <v>399957.65187459433</v>
      </c>
      <c r="V568" s="359">
        <f t="shared" si="175"/>
        <v>-516.3132008357364</v>
      </c>
      <c r="X568" s="359">
        <f t="shared" si="194"/>
        <v>-58645.28144244674</v>
      </c>
      <c r="Y568" s="356">
        <f t="shared" si="178"/>
        <v>50497631.82411509</v>
      </c>
      <c r="AA568" s="357">
        <f>+Bono!J568</f>
        <v>663647.4029234197</v>
      </c>
      <c r="AC568" s="378">
        <f t="shared" si="179"/>
        <v>45.416666666666664</v>
      </c>
      <c r="AD568" s="356">
        <f t="shared" si="180"/>
        <v>52210065.12444305</v>
      </c>
    </row>
    <row r="569" spans="1:30" x14ac:dyDescent="0.25">
      <c r="A569" s="356">
        <f t="shared" si="181"/>
        <v>45.5</v>
      </c>
      <c r="B569" s="356">
        <f t="shared" si="182"/>
        <v>546</v>
      </c>
      <c r="C569" s="357">
        <f t="shared" si="187"/>
        <v>45</v>
      </c>
      <c r="D569" s="357">
        <f t="shared" si="188"/>
        <v>6</v>
      </c>
      <c r="E569" s="357">
        <f t="shared" si="189"/>
        <v>74</v>
      </c>
      <c r="F569" s="356">
        <f t="shared" si="183"/>
        <v>1048785.8974045378</v>
      </c>
      <c r="H569" s="356">
        <f t="shared" si="176"/>
        <v>8363.16602575764</v>
      </c>
      <c r="I569" s="356">
        <v>0</v>
      </c>
      <c r="J569" s="360">
        <f>-SUM(F569:H569)*$J$21*1.16</f>
        <v>-11036.636222212284</v>
      </c>
      <c r="K569" s="356">
        <f t="shared" si="184"/>
        <v>-1213.4904155613763</v>
      </c>
      <c r="L569" s="356">
        <f t="shared" si="177"/>
        <v>1044898.9367925216</v>
      </c>
      <c r="N569" s="356">
        <f t="shared" si="185"/>
        <v>546</v>
      </c>
      <c r="O569" s="357">
        <f t="shared" si="190"/>
        <v>45</v>
      </c>
      <c r="P569" s="357">
        <f t="shared" si="191"/>
        <v>6</v>
      </c>
      <c r="Q569" s="357">
        <f t="shared" si="192"/>
        <v>45</v>
      </c>
      <c r="R569" s="356">
        <f t="shared" si="186"/>
        <v>50497631.82411509</v>
      </c>
      <c r="S569" s="356">
        <f>IF($G$4="mensual",S568,0)</f>
        <v>10000</v>
      </c>
      <c r="U569" s="356">
        <f t="shared" si="193"/>
        <v>402754.9488968625</v>
      </c>
      <c r="V569" s="359">
        <f t="shared" si="175"/>
        <v>-516.3132008357364</v>
      </c>
      <c r="X569" s="359">
        <f t="shared" si="194"/>
        <v>-59055.44973338089</v>
      </c>
      <c r="Y569" s="356">
        <f t="shared" si="178"/>
        <v>50850815.01007773</v>
      </c>
      <c r="AA569" s="357">
        <f>+Bono!J569</f>
        <v>661746.2190809612</v>
      </c>
      <c r="AC569" s="378">
        <f t="shared" si="179"/>
        <v>45.5</v>
      </c>
      <c r="AD569" s="356">
        <f t="shared" si="180"/>
        <v>52557460.165951215</v>
      </c>
    </row>
    <row r="570" spans="1:30" x14ac:dyDescent="0.25">
      <c r="A570" s="356">
        <f t="shared" si="181"/>
        <v>45.583333333333336</v>
      </c>
      <c r="B570" s="356">
        <f t="shared" si="182"/>
        <v>547</v>
      </c>
      <c r="C570" s="357">
        <f t="shared" si="187"/>
        <v>45</v>
      </c>
      <c r="D570" s="357">
        <f t="shared" si="188"/>
        <v>7</v>
      </c>
      <c r="E570" s="357">
        <f t="shared" si="189"/>
        <v>74</v>
      </c>
      <c r="F570" s="356">
        <f t="shared" si="183"/>
        <v>1044898.9367925216</v>
      </c>
      <c r="H570" s="356">
        <f t="shared" si="176"/>
        <v>8332.170855995806</v>
      </c>
      <c r="I570" s="356">
        <v>0</v>
      </c>
      <c r="J570" s="356">
        <v>0</v>
      </c>
      <c r="K570" s="356">
        <f t="shared" si="184"/>
        <v>-1221.7480848722803</v>
      </c>
      <c r="L570" s="356">
        <f t="shared" si="177"/>
        <v>1052009.3595636452</v>
      </c>
      <c r="N570" s="356">
        <f t="shared" si="185"/>
        <v>547</v>
      </c>
      <c r="O570" s="357">
        <f t="shared" si="190"/>
        <v>45</v>
      </c>
      <c r="P570" s="357">
        <f t="shared" si="191"/>
        <v>7</v>
      </c>
      <c r="Q570" s="357">
        <f t="shared" si="192"/>
        <v>45</v>
      </c>
      <c r="R570" s="356">
        <f t="shared" si="186"/>
        <v>50850815.01007773</v>
      </c>
      <c r="S570" s="356">
        <f>+IF($G$4="mensual",S564,IF($G$4="trimestral",S564,IF($G$4="semestral",S564,0)))</f>
        <v>10000</v>
      </c>
      <c r="U570" s="356">
        <f t="shared" si="193"/>
        <v>405571.2812188562</v>
      </c>
      <c r="V570" s="359">
        <f t="shared" si="175"/>
        <v>-516.3132008357364</v>
      </c>
      <c r="X570" s="359">
        <f t="shared" si="194"/>
        <v>-59468.40917459106</v>
      </c>
      <c r="Y570" s="356">
        <f t="shared" si="178"/>
        <v>51206401.568921156</v>
      </c>
      <c r="AA570" s="357">
        <f>+Bono!J570</f>
        <v>665849.1223970735</v>
      </c>
      <c r="AC570" s="378">
        <f t="shared" si="179"/>
        <v>45.583333333333336</v>
      </c>
      <c r="AD570" s="356">
        <f t="shared" si="180"/>
        <v>52924260.05088188</v>
      </c>
    </row>
    <row r="571" spans="1:30" x14ac:dyDescent="0.25">
      <c r="A571" s="356">
        <f t="shared" si="181"/>
        <v>45.666666666666664</v>
      </c>
      <c r="B571" s="356">
        <f t="shared" si="182"/>
        <v>548</v>
      </c>
      <c r="C571" s="357">
        <f t="shared" si="187"/>
        <v>45</v>
      </c>
      <c r="D571" s="357">
        <f t="shared" si="188"/>
        <v>8</v>
      </c>
      <c r="E571" s="357">
        <f t="shared" si="189"/>
        <v>74</v>
      </c>
      <c r="F571" s="356">
        <f t="shared" si="183"/>
        <v>1052009.3595636452</v>
      </c>
      <c r="H571" s="356">
        <f t="shared" si="176"/>
        <v>8388.87036568162</v>
      </c>
      <c r="I571" s="356">
        <v>0</v>
      </c>
      <c r="J571" s="356">
        <v>0</v>
      </c>
      <c r="K571" s="356">
        <f t="shared" si="184"/>
        <v>-1230.061946718019</v>
      </c>
      <c r="L571" s="356">
        <f t="shared" si="177"/>
        <v>1059168.1679826088</v>
      </c>
      <c r="N571" s="356">
        <f t="shared" si="185"/>
        <v>548</v>
      </c>
      <c r="O571" s="357">
        <f t="shared" si="190"/>
        <v>45</v>
      </c>
      <c r="P571" s="357">
        <f t="shared" si="191"/>
        <v>8</v>
      </c>
      <c r="Q571" s="357">
        <f t="shared" si="192"/>
        <v>45</v>
      </c>
      <c r="R571" s="356">
        <f t="shared" si="186"/>
        <v>51206401.568921156</v>
      </c>
      <c r="S571" s="356">
        <f>IF($G$4="mensual",S570,0)</f>
        <v>10000</v>
      </c>
      <c r="U571" s="356">
        <f t="shared" si="193"/>
        <v>408406.77837370435</v>
      </c>
      <c r="V571" s="359">
        <f t="shared" si="175"/>
        <v>-516.3132008357364</v>
      </c>
      <c r="X571" s="359">
        <f t="shared" si="194"/>
        <v>-59884.17875954906</v>
      </c>
      <c r="Y571" s="356">
        <f t="shared" si="178"/>
        <v>51564407.85533447</v>
      </c>
      <c r="AA571" s="357">
        <f>+Bono!J571</f>
        <v>669977.4641896532</v>
      </c>
      <c r="AC571" s="378">
        <f t="shared" si="179"/>
        <v>45.666666666666664</v>
      </c>
      <c r="AD571" s="356">
        <f t="shared" si="180"/>
        <v>53293553.48750673</v>
      </c>
    </row>
    <row r="572" spans="1:30" x14ac:dyDescent="0.25">
      <c r="A572" s="356">
        <f t="shared" si="181"/>
        <v>45.75</v>
      </c>
      <c r="B572" s="356">
        <f t="shared" si="182"/>
        <v>549</v>
      </c>
      <c r="C572" s="357">
        <f t="shared" si="187"/>
        <v>45</v>
      </c>
      <c r="D572" s="357">
        <f t="shared" si="188"/>
        <v>9</v>
      </c>
      <c r="E572" s="357">
        <f t="shared" si="189"/>
        <v>74</v>
      </c>
      <c r="F572" s="356">
        <f t="shared" si="183"/>
        <v>1059168.1679826088</v>
      </c>
      <c r="H572" s="356">
        <f t="shared" si="176"/>
        <v>8445.955709318054</v>
      </c>
      <c r="I572" s="356">
        <v>0</v>
      </c>
      <c r="J572" s="360">
        <f>-SUM(F572:H572)*$J$21*1.16</f>
        <v>-11145.891451343718</v>
      </c>
      <c r="K572" s="356">
        <f t="shared" si="184"/>
        <v>-1225.5031493990766</v>
      </c>
      <c r="L572" s="356">
        <f t="shared" si="177"/>
        <v>1055242.7290911842</v>
      </c>
      <c r="N572" s="356">
        <f t="shared" si="185"/>
        <v>549</v>
      </c>
      <c r="O572" s="357">
        <f t="shared" si="190"/>
        <v>45</v>
      </c>
      <c r="P572" s="357">
        <f t="shared" si="191"/>
        <v>9</v>
      </c>
      <c r="Q572" s="357">
        <f t="shared" si="192"/>
        <v>45</v>
      </c>
      <c r="R572" s="356">
        <f t="shared" si="186"/>
        <v>51564407.85533447</v>
      </c>
      <c r="S572" s="356">
        <f>IF($G$4="mensual",S571,0)</f>
        <v>10000</v>
      </c>
      <c r="U572" s="356">
        <f t="shared" si="193"/>
        <v>411261.57077599445</v>
      </c>
      <c r="V572" s="359">
        <f t="shared" si="175"/>
        <v>-516.3132008357364</v>
      </c>
      <c r="X572" s="359">
        <f t="shared" si="194"/>
        <v>-60302.777610975165</v>
      </c>
      <c r="Y572" s="356">
        <f t="shared" si="178"/>
        <v>51924850.33529865</v>
      </c>
      <c r="AA572" s="357">
        <f>+Bono!J572</f>
        <v>668058.1463047074</v>
      </c>
      <c r="AC572" s="378">
        <f t="shared" si="179"/>
        <v>45.75</v>
      </c>
      <c r="AD572" s="356">
        <f t="shared" si="180"/>
        <v>53648151.21069454</v>
      </c>
    </row>
    <row r="573" spans="1:30" x14ac:dyDescent="0.25">
      <c r="A573" s="356">
        <f t="shared" si="181"/>
        <v>45.833333333333336</v>
      </c>
      <c r="B573" s="356">
        <f t="shared" si="182"/>
        <v>550</v>
      </c>
      <c r="C573" s="357">
        <f t="shared" si="187"/>
        <v>45</v>
      </c>
      <c r="D573" s="357">
        <f t="shared" si="188"/>
        <v>10</v>
      </c>
      <c r="E573" s="357">
        <f t="shared" si="189"/>
        <v>74</v>
      </c>
      <c r="F573" s="356">
        <f t="shared" si="183"/>
        <v>1055242.7290911842</v>
      </c>
      <c r="H573" s="356">
        <f t="shared" si="176"/>
        <v>8414.653708352755</v>
      </c>
      <c r="I573" s="356">
        <v>0</v>
      </c>
      <c r="J573" s="356">
        <v>0</v>
      </c>
      <c r="K573" s="356">
        <f t="shared" si="184"/>
        <v>-1233.8425640474627</v>
      </c>
      <c r="L573" s="356">
        <f t="shared" si="177"/>
        <v>1062423.5402354894</v>
      </c>
      <c r="N573" s="356">
        <f t="shared" si="185"/>
        <v>550</v>
      </c>
      <c r="O573" s="357">
        <f t="shared" si="190"/>
        <v>45</v>
      </c>
      <c r="P573" s="357">
        <f t="shared" si="191"/>
        <v>10</v>
      </c>
      <c r="Q573" s="357">
        <f t="shared" si="192"/>
        <v>45</v>
      </c>
      <c r="R573" s="356">
        <f t="shared" si="186"/>
        <v>51924850.33529865</v>
      </c>
      <c r="S573" s="356">
        <f>IF($G$4="mensual",S564,IF($G$4="trimestral",S564,0))</f>
        <v>10000</v>
      </c>
      <c r="U573" s="356">
        <f t="shared" si="193"/>
        <v>414135.7897277712</v>
      </c>
      <c r="V573" s="359">
        <f t="shared" si="175"/>
        <v>-516.3132008357364</v>
      </c>
      <c r="X573" s="359">
        <f t="shared" si="194"/>
        <v>-60724.22498171767</v>
      </c>
      <c r="Y573" s="356">
        <f t="shared" si="178"/>
        <v>52287745.58684386</v>
      </c>
      <c r="AA573" s="357">
        <f>+Bono!J573</f>
        <v>672200.1843017453</v>
      </c>
      <c r="AC573" s="378">
        <f t="shared" si="179"/>
        <v>45.833333333333336</v>
      </c>
      <c r="AD573" s="356">
        <f t="shared" si="180"/>
        <v>54022369.3113811</v>
      </c>
    </row>
    <row r="574" spans="1:30" x14ac:dyDescent="0.25">
      <c r="A574" s="356">
        <f t="shared" si="181"/>
        <v>45.916666666666664</v>
      </c>
      <c r="B574" s="356">
        <f t="shared" si="182"/>
        <v>551</v>
      </c>
      <c r="C574" s="357">
        <f t="shared" si="187"/>
        <v>45</v>
      </c>
      <c r="D574" s="357">
        <f t="shared" si="188"/>
        <v>11</v>
      </c>
      <c r="E574" s="357">
        <f t="shared" si="189"/>
        <v>74</v>
      </c>
      <c r="F574" s="356">
        <f t="shared" si="183"/>
        <v>1062423.5402354894</v>
      </c>
      <c r="H574" s="356">
        <f t="shared" si="176"/>
        <v>8471.91450481088</v>
      </c>
      <c r="I574" s="356">
        <v>0</v>
      </c>
      <c r="J574" s="356">
        <v>0</v>
      </c>
      <c r="K574" s="356">
        <f t="shared" si="184"/>
        <v>-1242.2387274987482</v>
      </c>
      <c r="L574" s="356">
        <f t="shared" si="177"/>
        <v>1069653.2160128015</v>
      </c>
      <c r="N574" s="356">
        <f t="shared" si="185"/>
        <v>551</v>
      </c>
      <c r="O574" s="357">
        <f t="shared" si="190"/>
        <v>45</v>
      </c>
      <c r="P574" s="357">
        <f t="shared" si="191"/>
        <v>11</v>
      </c>
      <c r="Q574" s="357">
        <f t="shared" si="192"/>
        <v>45</v>
      </c>
      <c r="R574" s="356">
        <f t="shared" si="186"/>
        <v>52287745.58684386</v>
      </c>
      <c r="S574" s="356">
        <f>IF($G$17="si",S562*(1+$G$20),S562)</f>
        <v>10000</v>
      </c>
      <c r="U574" s="356">
        <f t="shared" si="193"/>
        <v>417029.56742457504</v>
      </c>
      <c r="V574" s="359">
        <f t="shared" si="175"/>
        <v>-516.3132008357364</v>
      </c>
      <c r="X574" s="359">
        <f t="shared" si="194"/>
        <v>-61148.54025563841</v>
      </c>
      <c r="Y574" s="356">
        <f t="shared" si="178"/>
        <v>52653110.30081196</v>
      </c>
      <c r="AA574" s="357">
        <f>+Bono!J574</f>
        <v>676367.9034148115</v>
      </c>
      <c r="AC574" s="378">
        <f t="shared" si="179"/>
        <v>45.916666666666664</v>
      </c>
      <c r="AD574" s="356">
        <f t="shared" si="180"/>
        <v>54399131.42023957</v>
      </c>
    </row>
    <row r="575" spans="1:30" x14ac:dyDescent="0.25">
      <c r="A575" s="356">
        <f t="shared" si="181"/>
        <v>46</v>
      </c>
      <c r="B575" s="356">
        <f t="shared" si="182"/>
        <v>552</v>
      </c>
      <c r="C575" s="357">
        <f t="shared" si="187"/>
        <v>45</v>
      </c>
      <c r="D575" s="357">
        <f t="shared" si="188"/>
        <v>12</v>
      </c>
      <c r="E575" s="357">
        <f t="shared" si="189"/>
        <v>74</v>
      </c>
      <c r="F575" s="356">
        <f t="shared" si="183"/>
        <v>1069653.2160128015</v>
      </c>
      <c r="H575" s="356">
        <f t="shared" si="176"/>
        <v>8529.564954714611</v>
      </c>
      <c r="I575" s="356">
        <v>0</v>
      </c>
      <c r="J575" s="360">
        <f>-SUM(F575:H575)*$J$21*1.16</f>
        <v>-11256.228233300868</v>
      </c>
      <c r="K575" s="356">
        <f t="shared" si="184"/>
        <v>-1237.6348011716896</v>
      </c>
      <c r="L575" s="356">
        <f t="shared" si="177"/>
        <v>1065688.9179330436</v>
      </c>
      <c r="N575" s="356">
        <f t="shared" si="185"/>
        <v>552</v>
      </c>
      <c r="O575" s="357">
        <f t="shared" si="190"/>
        <v>45</v>
      </c>
      <c r="P575" s="357">
        <f t="shared" si="191"/>
        <v>12</v>
      </c>
      <c r="Q575" s="357">
        <f t="shared" si="192"/>
        <v>45</v>
      </c>
      <c r="R575" s="356">
        <f t="shared" si="186"/>
        <v>52653110.30081196</v>
      </c>
      <c r="S575" s="356">
        <f>IF($G$4="mensual",S574,0)</f>
        <v>10000</v>
      </c>
      <c r="U575" s="356">
        <f t="shared" si="193"/>
        <v>419943.03696152294</v>
      </c>
      <c r="V575" s="359">
        <f t="shared" si="175"/>
        <v>-516.3132008357364</v>
      </c>
      <c r="X575" s="359">
        <f t="shared" si="194"/>
        <v>-61575.742948504274</v>
      </c>
      <c r="Y575" s="356">
        <f t="shared" si="178"/>
        <v>53020961.281624146</v>
      </c>
      <c r="AA575" s="357">
        <f>+Bono!J575</f>
        <v>674430.2785196257</v>
      </c>
      <c r="AC575" s="378">
        <f t="shared" si="179"/>
        <v>46</v>
      </c>
      <c r="AD575" s="356">
        <f t="shared" si="180"/>
        <v>54761080.478076816</v>
      </c>
    </row>
    <row r="576" spans="1:30" x14ac:dyDescent="0.25">
      <c r="A576" s="356">
        <f t="shared" si="181"/>
        <v>46.083333333333336</v>
      </c>
      <c r="B576" s="356">
        <f t="shared" si="182"/>
        <v>553</v>
      </c>
      <c r="C576" s="357">
        <f t="shared" si="187"/>
        <v>46</v>
      </c>
      <c r="D576" s="357">
        <f t="shared" si="188"/>
        <v>1</v>
      </c>
      <c r="E576" s="357">
        <f t="shared" si="189"/>
        <v>75</v>
      </c>
      <c r="F576" s="356">
        <f t="shared" si="183"/>
        <v>1065688.9179330436</v>
      </c>
      <c r="H576" s="356">
        <f t="shared" si="176"/>
        <v>8497.953085124589</v>
      </c>
      <c r="I576" s="356">
        <v>0</v>
      </c>
      <c r="J576" s="356">
        <v>0</v>
      </c>
      <c r="K576" s="356">
        <f t="shared" si="184"/>
        <v>-1246.056770381075</v>
      </c>
      <c r="L576" s="356">
        <f t="shared" si="177"/>
        <v>1072940.814247787</v>
      </c>
      <c r="N576" s="356">
        <f t="shared" si="185"/>
        <v>553</v>
      </c>
      <c r="O576" s="357">
        <f t="shared" si="190"/>
        <v>46</v>
      </c>
      <c r="P576" s="357">
        <f t="shared" si="191"/>
        <v>1</v>
      </c>
      <c r="Q576" s="357">
        <f t="shared" si="192"/>
        <v>46</v>
      </c>
      <c r="R576" s="356">
        <f t="shared" si="186"/>
        <v>53020961.281624146</v>
      </c>
      <c r="S576" s="356">
        <f>IF($G$17="si",S564*(1+$G$20),S564)</f>
        <v>10000</v>
      </c>
      <c r="U576" s="356">
        <f t="shared" si="193"/>
        <v>422876.3323394293</v>
      </c>
      <c r="V576" s="359">
        <f>V575*(1+$G$18)</f>
        <v>-536.9657288691659</v>
      </c>
      <c r="X576" s="359">
        <f t="shared" si="194"/>
        <v>-62005.82875195226</v>
      </c>
      <c r="Y576" s="356">
        <f t="shared" si="178"/>
        <v>53391294.81948275</v>
      </c>
      <c r="AA576" s="357">
        <f>+Bono!J576</f>
        <v>678611.8244755176</v>
      </c>
      <c r="AC576" s="378">
        <f t="shared" si="179"/>
        <v>46.083333333333336</v>
      </c>
      <c r="AD576" s="356">
        <f t="shared" si="180"/>
        <v>55142847.45820606</v>
      </c>
    </row>
    <row r="577" spans="1:30" x14ac:dyDescent="0.25">
      <c r="A577" s="356">
        <f t="shared" si="181"/>
        <v>46.166666666666664</v>
      </c>
      <c r="B577" s="356">
        <f t="shared" si="182"/>
        <v>554</v>
      </c>
      <c r="C577" s="357">
        <f t="shared" si="187"/>
        <v>46</v>
      </c>
      <c r="D577" s="357">
        <f t="shared" si="188"/>
        <v>2</v>
      </c>
      <c r="E577" s="357">
        <f t="shared" si="189"/>
        <v>75</v>
      </c>
      <c r="F577" s="356">
        <f t="shared" si="183"/>
        <v>1072940.814247787</v>
      </c>
      <c r="H577" s="356">
        <f t="shared" si="176"/>
        <v>8555.780724714203</v>
      </c>
      <c r="I577" s="356">
        <v>0</v>
      </c>
      <c r="J577" s="356">
        <v>0</v>
      </c>
      <c r="K577" s="356">
        <f t="shared" si="184"/>
        <v>-1254.5360501681014</v>
      </c>
      <c r="L577" s="356">
        <f t="shared" si="177"/>
        <v>1080242.0589223332</v>
      </c>
      <c r="N577" s="356">
        <f t="shared" si="185"/>
        <v>554</v>
      </c>
      <c r="O577" s="357">
        <f t="shared" si="190"/>
        <v>46</v>
      </c>
      <c r="P577" s="357">
        <f t="shared" si="191"/>
        <v>2</v>
      </c>
      <c r="Q577" s="357">
        <f t="shared" si="192"/>
        <v>46</v>
      </c>
      <c r="R577" s="356">
        <f t="shared" si="186"/>
        <v>53391294.81948275</v>
      </c>
      <c r="S577" s="356">
        <f>IF($G$4="mensual",S576,0)</f>
        <v>10000</v>
      </c>
      <c r="U577" s="356">
        <f t="shared" si="193"/>
        <v>425829.42397584656</v>
      </c>
      <c r="V577" s="359">
        <f t="shared" si="175"/>
        <v>-536.9657288691659</v>
      </c>
      <c r="X577" s="359">
        <f t="shared" si="194"/>
        <v>-62438.841242166476</v>
      </c>
      <c r="Y577" s="356">
        <f t="shared" si="178"/>
        <v>53764148.43648756</v>
      </c>
      <c r="AA577" s="357">
        <f>+Bono!J577</f>
        <v>682819.2965013654</v>
      </c>
      <c r="AC577" s="378">
        <f t="shared" si="179"/>
        <v>46.166666666666664</v>
      </c>
      <c r="AD577" s="356">
        <f t="shared" si="180"/>
        <v>55527209.79191127</v>
      </c>
    </row>
    <row r="578" spans="1:30" x14ac:dyDescent="0.25">
      <c r="A578" s="356">
        <f t="shared" si="181"/>
        <v>46.25</v>
      </c>
      <c r="B578" s="356">
        <f t="shared" si="182"/>
        <v>555</v>
      </c>
      <c r="C578" s="357">
        <f t="shared" si="187"/>
        <v>46</v>
      </c>
      <c r="D578" s="357">
        <f t="shared" si="188"/>
        <v>3</v>
      </c>
      <c r="E578" s="357">
        <f t="shared" si="189"/>
        <v>75</v>
      </c>
      <c r="F578" s="356">
        <f t="shared" si="183"/>
        <v>1080242.0589223332</v>
      </c>
      <c r="H578" s="356">
        <f t="shared" si="176"/>
        <v>8614.001875054819</v>
      </c>
      <c r="I578" s="356">
        <v>0</v>
      </c>
      <c r="J578" s="360">
        <f>-SUM(F578:H578)*$J$21*1.16</f>
        <v>-11367.65727472473</v>
      </c>
      <c r="K578" s="356">
        <f t="shared" si="184"/>
        <v>-1249.8865480862894</v>
      </c>
      <c r="L578" s="356">
        <f t="shared" si="177"/>
        <v>1076238.516974577</v>
      </c>
      <c r="N578" s="356">
        <f t="shared" si="185"/>
        <v>555</v>
      </c>
      <c r="O578" s="357">
        <f t="shared" si="190"/>
        <v>46</v>
      </c>
      <c r="P578" s="357">
        <f t="shared" si="191"/>
        <v>3</v>
      </c>
      <c r="Q578" s="357">
        <f t="shared" si="192"/>
        <v>46</v>
      </c>
      <c r="R578" s="356">
        <f t="shared" si="186"/>
        <v>53764148.43648756</v>
      </c>
      <c r="S578" s="356">
        <f>IF($G$4="mensual",S577,0)</f>
        <v>10000</v>
      </c>
      <c r="U578" s="356">
        <f t="shared" si="193"/>
        <v>428802.6110772676</v>
      </c>
      <c r="V578" s="359">
        <f t="shared" si="175"/>
        <v>-536.9657288691659</v>
      </c>
      <c r="X578" s="359">
        <f t="shared" si="194"/>
        <v>-62874.80033492971</v>
      </c>
      <c r="Y578" s="356">
        <f t="shared" si="178"/>
        <v>54139539.281501025</v>
      </c>
      <c r="AA578" s="357">
        <f>+Bono!J578</f>
        <v>680863.1899783703</v>
      </c>
      <c r="AC578" s="378">
        <f t="shared" si="179"/>
        <v>46.25</v>
      </c>
      <c r="AD578" s="356">
        <f t="shared" si="180"/>
        <v>55896640.98845397</v>
      </c>
    </row>
    <row r="579" spans="1:30" x14ac:dyDescent="0.25">
      <c r="A579" s="356">
        <f t="shared" si="181"/>
        <v>46.333333333333336</v>
      </c>
      <c r="B579" s="356">
        <f t="shared" si="182"/>
        <v>556</v>
      </c>
      <c r="C579" s="357">
        <f t="shared" si="187"/>
        <v>46</v>
      </c>
      <c r="D579" s="357">
        <f t="shared" si="188"/>
        <v>4</v>
      </c>
      <c r="E579" s="357">
        <f t="shared" si="189"/>
        <v>75</v>
      </c>
      <c r="F579" s="356">
        <f t="shared" si="183"/>
        <v>1076238.516974577</v>
      </c>
      <c r="H579" s="356">
        <f t="shared" si="176"/>
        <v>8582.077069350404</v>
      </c>
      <c r="I579" s="356">
        <v>0</v>
      </c>
      <c r="J579" s="356">
        <v>0</v>
      </c>
      <c r="K579" s="356">
        <f t="shared" si="184"/>
        <v>-1258.3918890909558</v>
      </c>
      <c r="L579" s="356">
        <f t="shared" si="177"/>
        <v>1083562.2021548366</v>
      </c>
      <c r="N579" s="356">
        <f t="shared" si="185"/>
        <v>556</v>
      </c>
      <c r="O579" s="357">
        <f t="shared" si="190"/>
        <v>46</v>
      </c>
      <c r="P579" s="357">
        <f t="shared" si="191"/>
        <v>4</v>
      </c>
      <c r="Q579" s="357">
        <f t="shared" si="192"/>
        <v>46</v>
      </c>
      <c r="R579" s="356">
        <f t="shared" si="186"/>
        <v>54139539.281501025</v>
      </c>
      <c r="S579" s="356">
        <f>IF($G$4="mensual",S576,IF($G$4="trimestral",S576,0))</f>
        <v>10000</v>
      </c>
      <c r="U579" s="356">
        <f t="shared" si="193"/>
        <v>431796.03039112984</v>
      </c>
      <c r="V579" s="359">
        <f t="shared" si="175"/>
        <v>-536.9657288691659</v>
      </c>
      <c r="X579" s="359">
        <f t="shared" si="194"/>
        <v>-63313.7260815494</v>
      </c>
      <c r="Y579" s="356">
        <f t="shared" si="178"/>
        <v>54517484.62008173</v>
      </c>
      <c r="AA579" s="357">
        <f>+Bono!J579</f>
        <v>685084.6207314781</v>
      </c>
      <c r="AC579" s="378">
        <f t="shared" si="179"/>
        <v>46.333333333333336</v>
      </c>
      <c r="AD579" s="356">
        <f t="shared" si="180"/>
        <v>56286131.44296805</v>
      </c>
    </row>
    <row r="580" spans="1:30" x14ac:dyDescent="0.25">
      <c r="A580" s="356">
        <f t="shared" si="181"/>
        <v>46.416666666666664</v>
      </c>
      <c r="B580" s="356">
        <f t="shared" si="182"/>
        <v>557</v>
      </c>
      <c r="C580" s="357">
        <f t="shared" si="187"/>
        <v>46</v>
      </c>
      <c r="D580" s="357">
        <f t="shared" si="188"/>
        <v>5</v>
      </c>
      <c r="E580" s="357">
        <f t="shared" si="189"/>
        <v>75</v>
      </c>
      <c r="F580" s="356">
        <f t="shared" si="183"/>
        <v>1083562.2021548366</v>
      </c>
      <c r="H580" s="356">
        <f t="shared" si="176"/>
        <v>8640.477163434876</v>
      </c>
      <c r="I580" s="356">
        <v>0</v>
      </c>
      <c r="J580" s="356">
        <v>0</v>
      </c>
      <c r="K580" s="356">
        <f t="shared" si="184"/>
        <v>-1266.9551080091949</v>
      </c>
      <c r="L580" s="356">
        <f t="shared" si="177"/>
        <v>1090935.7242102623</v>
      </c>
      <c r="N580" s="356">
        <f t="shared" si="185"/>
        <v>557</v>
      </c>
      <c r="O580" s="357">
        <f t="shared" si="190"/>
        <v>46</v>
      </c>
      <c r="P580" s="357">
        <f t="shared" si="191"/>
        <v>5</v>
      </c>
      <c r="Q580" s="357">
        <f t="shared" si="192"/>
        <v>46</v>
      </c>
      <c r="R580" s="356">
        <f t="shared" si="186"/>
        <v>54517484.62008173</v>
      </c>
      <c r="S580" s="356">
        <f>IF($G$4="mensual",S579,0)</f>
        <v>10000</v>
      </c>
      <c r="U580" s="356">
        <f t="shared" si="193"/>
        <v>434809.81959542196</v>
      </c>
      <c r="V580" s="359">
        <f t="shared" si="175"/>
        <v>-536.9657288691659</v>
      </c>
      <c r="X580" s="359">
        <f t="shared" si="194"/>
        <v>-63755.638669780004</v>
      </c>
      <c r="Y580" s="356">
        <f t="shared" si="178"/>
        <v>54898001.835278496</v>
      </c>
      <c r="AA580" s="357">
        <f>+Bono!J580</f>
        <v>689332.2248449108</v>
      </c>
      <c r="AC580" s="378">
        <f t="shared" si="179"/>
        <v>46.416666666666664</v>
      </c>
      <c r="AD580" s="356">
        <f t="shared" si="180"/>
        <v>56678269.78433367</v>
      </c>
    </row>
    <row r="581" spans="1:30" x14ac:dyDescent="0.25">
      <c r="A581" s="356">
        <f t="shared" si="181"/>
        <v>46.5</v>
      </c>
      <c r="B581" s="356">
        <f t="shared" si="182"/>
        <v>558</v>
      </c>
      <c r="C581" s="357">
        <f t="shared" si="187"/>
        <v>46</v>
      </c>
      <c r="D581" s="357">
        <f t="shared" si="188"/>
        <v>6</v>
      </c>
      <c r="E581" s="357">
        <f t="shared" si="189"/>
        <v>75</v>
      </c>
      <c r="F581" s="356">
        <f t="shared" si="183"/>
        <v>1090935.7242102623</v>
      </c>
      <c r="H581" s="356">
        <f t="shared" si="176"/>
        <v>8699.27466376046</v>
      </c>
      <c r="I581" s="356">
        <v>0</v>
      </c>
      <c r="J581" s="360">
        <f>-SUM(F581:H581)*$J$21*1.16</f>
        <v>-11480.189388244798</v>
      </c>
      <c r="K581" s="356">
        <f t="shared" si="184"/>
        <v>-1262.2595790035025</v>
      </c>
      <c r="L581" s="356">
        <f t="shared" si="177"/>
        <v>1086892.5499067744</v>
      </c>
      <c r="N581" s="356">
        <f t="shared" si="185"/>
        <v>558</v>
      </c>
      <c r="O581" s="357">
        <f t="shared" si="190"/>
        <v>46</v>
      </c>
      <c r="P581" s="357">
        <f t="shared" si="191"/>
        <v>6</v>
      </c>
      <c r="Q581" s="357">
        <f t="shared" si="192"/>
        <v>46</v>
      </c>
      <c r="R581" s="356">
        <f t="shared" si="186"/>
        <v>54898001.835278496</v>
      </c>
      <c r="S581" s="356">
        <f>IF($G$4="mensual",S580,0)</f>
        <v>10000</v>
      </c>
      <c r="U581" s="356">
        <f t="shared" si="193"/>
        <v>437844.1173050163</v>
      </c>
      <c r="V581" s="359">
        <f t="shared" si="175"/>
        <v>-536.9657288691659</v>
      </c>
      <c r="X581" s="359">
        <f t="shared" si="194"/>
        <v>-64200.55842475138</v>
      </c>
      <c r="Y581" s="356">
        <f t="shared" si="178"/>
        <v>55281108.428429894</v>
      </c>
      <c r="AA581" s="357">
        <f>+Bono!J581</f>
        <v>687357.4604109839</v>
      </c>
      <c r="AC581" s="378">
        <f t="shared" si="179"/>
        <v>46.5</v>
      </c>
      <c r="AD581" s="356">
        <f t="shared" si="180"/>
        <v>57055358.43874765</v>
      </c>
    </row>
    <row r="582" spans="1:30" x14ac:dyDescent="0.25">
      <c r="A582" s="356">
        <f t="shared" si="181"/>
        <v>46.583333333333336</v>
      </c>
      <c r="B582" s="356">
        <f t="shared" si="182"/>
        <v>559</v>
      </c>
      <c r="C582" s="357">
        <f t="shared" si="187"/>
        <v>46</v>
      </c>
      <c r="D582" s="357">
        <f t="shared" si="188"/>
        <v>7</v>
      </c>
      <c r="E582" s="357">
        <f t="shared" si="189"/>
        <v>75</v>
      </c>
      <c r="F582" s="356">
        <f t="shared" si="183"/>
        <v>1086892.5499067744</v>
      </c>
      <c r="H582" s="356">
        <f t="shared" si="176"/>
        <v>8667.033824085913</v>
      </c>
      <c r="I582" s="356">
        <v>0</v>
      </c>
      <c r="J582" s="356">
        <v>0</v>
      </c>
      <c r="K582" s="356">
        <f t="shared" si="184"/>
        <v>-1270.8491171277979</v>
      </c>
      <c r="L582" s="356">
        <f t="shared" si="177"/>
        <v>1094288.7346137327</v>
      </c>
      <c r="N582" s="356">
        <f t="shared" si="185"/>
        <v>559</v>
      </c>
      <c r="O582" s="357">
        <f t="shared" si="190"/>
        <v>46</v>
      </c>
      <c r="P582" s="357">
        <f t="shared" si="191"/>
        <v>7</v>
      </c>
      <c r="Q582" s="357">
        <f t="shared" si="192"/>
        <v>46</v>
      </c>
      <c r="R582" s="356">
        <f t="shared" si="186"/>
        <v>55281108.428429894</v>
      </c>
      <c r="S582" s="356">
        <f>+IF($G$4="mensual",S576,IF($G$4="trimestral",S576,IF($G$4="semestral",S576,0)))</f>
        <v>10000</v>
      </c>
      <c r="U582" s="356">
        <f t="shared" si="193"/>
        <v>440899.0630780445</v>
      </c>
      <c r="V582" s="359">
        <f t="shared" si="175"/>
        <v>-536.9657288691659</v>
      </c>
      <c r="X582" s="359">
        <f t="shared" si="194"/>
        <v>-64648.50580990372</v>
      </c>
      <c r="Y582" s="356">
        <f t="shared" si="178"/>
        <v>55666822.019969165</v>
      </c>
      <c r="AA582" s="357">
        <f>+Bono!J582</f>
        <v>691619.1563940626</v>
      </c>
      <c r="AC582" s="378">
        <f t="shared" si="179"/>
        <v>46.583333333333336</v>
      </c>
      <c r="AD582" s="356">
        <f t="shared" si="180"/>
        <v>57452729.91097696</v>
      </c>
    </row>
    <row r="583" spans="1:30" x14ac:dyDescent="0.25">
      <c r="A583" s="356">
        <f t="shared" si="181"/>
        <v>46.666666666666664</v>
      </c>
      <c r="B583" s="356">
        <f t="shared" si="182"/>
        <v>560</v>
      </c>
      <c r="C583" s="357">
        <f t="shared" si="187"/>
        <v>46</v>
      </c>
      <c r="D583" s="357">
        <f t="shared" si="188"/>
        <v>8</v>
      </c>
      <c r="E583" s="357">
        <f t="shared" si="189"/>
        <v>75</v>
      </c>
      <c r="F583" s="356">
        <f t="shared" si="183"/>
        <v>1094288.7346137327</v>
      </c>
      <c r="H583" s="356">
        <f t="shared" si="176"/>
        <v>8726.012039577308</v>
      </c>
      <c r="I583" s="356">
        <v>0</v>
      </c>
      <c r="J583" s="356">
        <v>0</v>
      </c>
      <c r="K583" s="356">
        <f t="shared" si="184"/>
        <v>-1279.4971061178396</v>
      </c>
      <c r="L583" s="356">
        <f t="shared" si="177"/>
        <v>1101735.2495471921</v>
      </c>
      <c r="N583" s="356">
        <f t="shared" si="185"/>
        <v>560</v>
      </c>
      <c r="O583" s="357">
        <f t="shared" si="190"/>
        <v>46</v>
      </c>
      <c r="P583" s="357">
        <f t="shared" si="191"/>
        <v>8</v>
      </c>
      <c r="Q583" s="357">
        <f t="shared" si="192"/>
        <v>46</v>
      </c>
      <c r="R583" s="356">
        <f t="shared" si="186"/>
        <v>55666822.019969165</v>
      </c>
      <c r="S583" s="356">
        <f>IF($G$4="mensual",S582,0)</f>
        <v>10000</v>
      </c>
      <c r="U583" s="356">
        <f t="shared" si="193"/>
        <v>443974.79742231546</v>
      </c>
      <c r="V583" s="359">
        <f t="shared" si="175"/>
        <v>-536.9657288691659</v>
      </c>
      <c r="X583" s="359">
        <f t="shared" si="194"/>
        <v>-65099.501427928626</v>
      </c>
      <c r="Y583" s="356">
        <f t="shared" si="178"/>
        <v>56055160.35023468</v>
      </c>
      <c r="AA583" s="357">
        <f>+Bono!J583</f>
        <v>695907.2753865625</v>
      </c>
      <c r="AC583" s="378">
        <f t="shared" si="179"/>
        <v>46.666666666666664</v>
      </c>
      <c r="AD583" s="356">
        <f t="shared" si="180"/>
        <v>57852802.875168435</v>
      </c>
    </row>
    <row r="584" spans="1:30" x14ac:dyDescent="0.25">
      <c r="A584" s="356">
        <f t="shared" si="181"/>
        <v>46.75</v>
      </c>
      <c r="B584" s="356">
        <f t="shared" si="182"/>
        <v>561</v>
      </c>
      <c r="C584" s="357">
        <f t="shared" si="187"/>
        <v>46</v>
      </c>
      <c r="D584" s="357">
        <f t="shared" si="188"/>
        <v>9</v>
      </c>
      <c r="E584" s="357">
        <f t="shared" si="189"/>
        <v>75</v>
      </c>
      <c r="F584" s="356">
        <f t="shared" si="183"/>
        <v>1101735.2495471921</v>
      </c>
      <c r="H584" s="356">
        <f t="shared" si="176"/>
        <v>8785.391595362642</v>
      </c>
      <c r="I584" s="356">
        <v>0</v>
      </c>
      <c r="J584" s="360">
        <f>-SUM(F584:H584)*$J$21*1.16</f>
        <v>-11593.835493528273</v>
      </c>
      <c r="K584" s="356">
        <f t="shared" si="184"/>
        <v>-1274.7550945528708</v>
      </c>
      <c r="L584" s="356">
        <f t="shared" si="177"/>
        <v>1097652.0505544737</v>
      </c>
      <c r="N584" s="356">
        <f t="shared" si="185"/>
        <v>561</v>
      </c>
      <c r="O584" s="357">
        <f t="shared" si="190"/>
        <v>46</v>
      </c>
      <c r="P584" s="357">
        <f t="shared" si="191"/>
        <v>9</v>
      </c>
      <c r="Q584" s="357">
        <f t="shared" si="192"/>
        <v>46</v>
      </c>
      <c r="R584" s="356">
        <f t="shared" si="186"/>
        <v>56055160.35023468</v>
      </c>
      <c r="S584" s="356">
        <f>IF($G$4="mensual",S583,0)</f>
        <v>10000</v>
      </c>
      <c r="U584" s="356">
        <f t="shared" si="193"/>
        <v>447071.4618017787</v>
      </c>
      <c r="V584" s="359">
        <f t="shared" si="175"/>
        <v>-536.9657288691659</v>
      </c>
      <c r="X584" s="359">
        <f t="shared" si="194"/>
        <v>-65553.5660217168</v>
      </c>
      <c r="Y584" s="356">
        <f t="shared" si="178"/>
        <v>56446141.28028587</v>
      </c>
      <c r="AA584" s="357">
        <f>+Bono!J584</f>
        <v>693913.675077142</v>
      </c>
      <c r="AC584" s="378">
        <f t="shared" si="179"/>
        <v>46.75</v>
      </c>
      <c r="AD584" s="356">
        <f t="shared" si="180"/>
        <v>58237707.00591749</v>
      </c>
    </row>
    <row r="585" spans="1:30" x14ac:dyDescent="0.25">
      <c r="A585" s="356">
        <f t="shared" si="181"/>
        <v>46.833333333333336</v>
      </c>
      <c r="B585" s="356">
        <f t="shared" si="182"/>
        <v>562</v>
      </c>
      <c r="C585" s="357">
        <f t="shared" si="187"/>
        <v>46</v>
      </c>
      <c r="D585" s="357">
        <f t="shared" si="188"/>
        <v>10</v>
      </c>
      <c r="E585" s="357">
        <f t="shared" si="189"/>
        <v>75</v>
      </c>
      <c r="F585" s="356">
        <f t="shared" si="183"/>
        <v>1097652.0505544737</v>
      </c>
      <c r="H585" s="356">
        <f t="shared" si="176"/>
        <v>8752.831593195548</v>
      </c>
      <c r="I585" s="356">
        <v>0</v>
      </c>
      <c r="J585" s="356">
        <v>0</v>
      </c>
      <c r="K585" s="356">
        <f t="shared" si="184"/>
        <v>-1283.429663291296</v>
      </c>
      <c r="L585" s="356">
        <f t="shared" si="177"/>
        <v>1105121.452484378</v>
      </c>
      <c r="N585" s="356">
        <f t="shared" si="185"/>
        <v>562</v>
      </c>
      <c r="O585" s="357">
        <f t="shared" si="190"/>
        <v>46</v>
      </c>
      <c r="P585" s="357">
        <f t="shared" si="191"/>
        <v>10</v>
      </c>
      <c r="Q585" s="357">
        <f t="shared" si="192"/>
        <v>46</v>
      </c>
      <c r="R585" s="356">
        <f t="shared" si="186"/>
        <v>56446141.28028587</v>
      </c>
      <c r="S585" s="356">
        <f>IF($G$4="mensual",S576,IF($G$4="trimestral",S576,0))</f>
        <v>10000</v>
      </c>
      <c r="U585" s="356">
        <f t="shared" si="193"/>
        <v>450189.1986430303</v>
      </c>
      <c r="V585" s="359">
        <f>V584</f>
        <v>-536.9657288691659</v>
      </c>
      <c r="X585" s="359">
        <f t="shared" si="194"/>
        <v>-66010.72047531203</v>
      </c>
      <c r="Y585" s="356">
        <f t="shared" si="178"/>
        <v>56839782.79272472</v>
      </c>
      <c r="AA585" s="357">
        <f>+Bono!J585</f>
        <v>698216.0203516247</v>
      </c>
      <c r="AC585" s="378">
        <f t="shared" si="179"/>
        <v>46.833333333333336</v>
      </c>
      <c r="AD585" s="356">
        <f t="shared" si="180"/>
        <v>58643120.265560724</v>
      </c>
    </row>
    <row r="586" spans="1:30" x14ac:dyDescent="0.25">
      <c r="A586" s="356">
        <f t="shared" si="181"/>
        <v>46.916666666666664</v>
      </c>
      <c r="B586" s="356">
        <f t="shared" si="182"/>
        <v>563</v>
      </c>
      <c r="C586" s="357">
        <f t="shared" si="187"/>
        <v>46</v>
      </c>
      <c r="D586" s="357">
        <f t="shared" si="188"/>
        <v>11</v>
      </c>
      <c r="E586" s="357">
        <f t="shared" si="189"/>
        <v>75</v>
      </c>
      <c r="F586" s="356">
        <f t="shared" si="183"/>
        <v>1105121.452484378</v>
      </c>
      <c r="H586" s="356">
        <f t="shared" si="176"/>
        <v>8812.393653104527</v>
      </c>
      <c r="I586" s="356">
        <v>0</v>
      </c>
      <c r="J586" s="356">
        <v>0</v>
      </c>
      <c r="K586" s="356">
        <f t="shared" si="184"/>
        <v>-1292.1632615194796</v>
      </c>
      <c r="L586" s="356">
        <f t="shared" si="177"/>
        <v>1112641.682875963</v>
      </c>
      <c r="N586" s="356">
        <f t="shared" si="185"/>
        <v>563</v>
      </c>
      <c r="O586" s="357">
        <f t="shared" si="190"/>
        <v>46</v>
      </c>
      <c r="P586" s="357">
        <f t="shared" si="191"/>
        <v>11</v>
      </c>
      <c r="Q586" s="357">
        <f t="shared" si="192"/>
        <v>46</v>
      </c>
      <c r="R586" s="356">
        <f t="shared" si="186"/>
        <v>56839782.79272472</v>
      </c>
      <c r="S586" s="356">
        <f>IF($G$17="si",S574*(1+$G$20),S574)</f>
        <v>10000</v>
      </c>
      <c r="U586" s="356">
        <f t="shared" si="193"/>
        <v>453328.15134186373</v>
      </c>
      <c r="V586" s="359">
        <f>V585</f>
        <v>-536.9657288691659</v>
      </c>
      <c r="X586" s="359">
        <f t="shared" si="194"/>
        <v>-66470.98581487175</v>
      </c>
      <c r="Y586" s="356">
        <f t="shared" si="178"/>
        <v>57236102.99252284</v>
      </c>
      <c r="AA586" s="357">
        <f>+Bono!J586</f>
        <v>702545.0406658503</v>
      </c>
      <c r="AC586" s="378">
        <f t="shared" si="179"/>
        <v>46.916666666666664</v>
      </c>
      <c r="AD586" s="356">
        <f t="shared" si="180"/>
        <v>59051289.716064654</v>
      </c>
    </row>
    <row r="587" spans="1:30" x14ac:dyDescent="0.25">
      <c r="A587" s="356">
        <f t="shared" si="181"/>
        <v>47</v>
      </c>
      <c r="B587" s="356">
        <f t="shared" si="182"/>
        <v>564</v>
      </c>
      <c r="C587" s="357">
        <f t="shared" si="187"/>
        <v>46</v>
      </c>
      <c r="D587" s="357">
        <f t="shared" si="188"/>
        <v>12</v>
      </c>
      <c r="E587" s="357">
        <f t="shared" si="189"/>
        <v>75</v>
      </c>
      <c r="F587" s="356">
        <f t="shared" si="183"/>
        <v>1112641.682875963</v>
      </c>
      <c r="H587" s="356">
        <f t="shared" si="176"/>
        <v>8872.361026304738</v>
      </c>
      <c r="I587" s="356">
        <v>0</v>
      </c>
      <c r="J587" s="360">
        <f>-SUM(F587:H587)*$J$21*1.16</f>
        <v>-11708.606618339676</v>
      </c>
      <c r="K587" s="356">
        <f t="shared" si="184"/>
        <v>-1287.3743072493564</v>
      </c>
      <c r="L587" s="356">
        <f t="shared" si="177"/>
        <v>1108518.0629766786</v>
      </c>
      <c r="N587" s="356">
        <f t="shared" si="185"/>
        <v>564</v>
      </c>
      <c r="O587" s="357">
        <f t="shared" si="190"/>
        <v>46</v>
      </c>
      <c r="P587" s="357">
        <f t="shared" si="191"/>
        <v>12</v>
      </c>
      <c r="Q587" s="357">
        <f t="shared" si="192"/>
        <v>46</v>
      </c>
      <c r="R587" s="356">
        <f t="shared" si="186"/>
        <v>57236102.99252284</v>
      </c>
      <c r="S587" s="356">
        <f>IF($G$4="mensual",S586,0)</f>
        <v>10000</v>
      </c>
      <c r="U587" s="356">
        <f t="shared" si="193"/>
        <v>456488.4642698652</v>
      </c>
      <c r="V587" s="359">
        <f>V586</f>
        <v>-536.9657288691659</v>
      </c>
      <c r="X587" s="359">
        <f t="shared" si="194"/>
        <v>-66934.38320963405</v>
      </c>
      <c r="Y587" s="356">
        <f t="shared" si="178"/>
        <v>57635120.1078542</v>
      </c>
      <c r="AA587" s="357">
        <f>+Bono!J587</f>
        <v>700532.4248188967</v>
      </c>
      <c r="AC587" s="378">
        <f t="shared" si="179"/>
        <v>47</v>
      </c>
      <c r="AD587" s="356">
        <f t="shared" si="180"/>
        <v>59444170.59564978</v>
      </c>
    </row>
    <row r="588" spans="1:30" x14ac:dyDescent="0.25">
      <c r="A588" s="356">
        <f t="shared" si="181"/>
        <v>47.083333333333336</v>
      </c>
      <c r="B588" s="356">
        <f t="shared" si="182"/>
        <v>565</v>
      </c>
      <c r="C588" s="357">
        <f t="shared" si="187"/>
        <v>47</v>
      </c>
      <c r="D588" s="357">
        <f t="shared" si="188"/>
        <v>1</v>
      </c>
      <c r="E588" s="357">
        <f t="shared" si="189"/>
        <v>76</v>
      </c>
      <c r="F588" s="356">
        <f t="shared" si="183"/>
        <v>1108518.0629766786</v>
      </c>
      <c r="H588" s="356">
        <f t="shared" si="176"/>
        <v>8839.478702152423</v>
      </c>
      <c r="I588" s="356">
        <v>0</v>
      </c>
      <c r="J588" s="356">
        <v>0</v>
      </c>
      <c r="K588" s="356">
        <f t="shared" si="184"/>
        <v>-1296.134748347444</v>
      </c>
      <c r="L588" s="356">
        <f t="shared" si="177"/>
        <v>1116061.4069304836</v>
      </c>
      <c r="N588" s="356">
        <f t="shared" si="185"/>
        <v>565</v>
      </c>
      <c r="O588" s="357">
        <f t="shared" si="190"/>
        <v>47</v>
      </c>
      <c r="P588" s="357">
        <f t="shared" si="191"/>
        <v>1</v>
      </c>
      <c r="Q588" s="357">
        <f t="shared" si="192"/>
        <v>47</v>
      </c>
      <c r="R588" s="356">
        <f t="shared" si="186"/>
        <v>57635120.1078542</v>
      </c>
      <c r="S588" s="356">
        <f>IF($G$17="si",S576*(1+$G$20),S576)</f>
        <v>10000</v>
      </c>
      <c r="U588" s="356">
        <f t="shared" si="193"/>
        <v>459670.2827810535</v>
      </c>
      <c r="V588" s="359">
        <f>V587*(1+$G$18)</f>
        <v>-558.4443580239325</v>
      </c>
      <c r="X588" s="359">
        <f t="shared" si="194"/>
        <v>-67400.9090576816</v>
      </c>
      <c r="Y588" s="356">
        <f t="shared" si="178"/>
        <v>58036831.037219554</v>
      </c>
      <c r="AA588" s="357">
        <f>+Bono!J588</f>
        <v>704875.8071095058</v>
      </c>
      <c r="AC588" s="378">
        <f t="shared" si="179"/>
        <v>47.083333333333336</v>
      </c>
      <c r="AD588" s="356">
        <f t="shared" si="180"/>
        <v>59857768.25125954</v>
      </c>
    </row>
    <row r="589" spans="1:30" x14ac:dyDescent="0.25">
      <c r="A589" s="356">
        <f t="shared" si="181"/>
        <v>47.166666666666664</v>
      </c>
      <c r="B589" s="356">
        <f t="shared" si="182"/>
        <v>566</v>
      </c>
      <c r="C589" s="357">
        <f t="shared" si="187"/>
        <v>47</v>
      </c>
      <c r="D589" s="357">
        <f t="shared" si="188"/>
        <v>2</v>
      </c>
      <c r="E589" s="357">
        <f t="shared" si="189"/>
        <v>76</v>
      </c>
      <c r="F589" s="356">
        <f t="shared" si="183"/>
        <v>1116061.4069304836</v>
      </c>
      <c r="H589" s="356">
        <f t="shared" si="176"/>
        <v>8899.630386143586</v>
      </c>
      <c r="I589" s="356">
        <v>0</v>
      </c>
      <c r="J589" s="356">
        <v>0</v>
      </c>
      <c r="K589" s="356">
        <f t="shared" si="184"/>
        <v>-1304.9548032872876</v>
      </c>
      <c r="L589" s="356">
        <f t="shared" si="177"/>
        <v>1123656.08251334</v>
      </c>
      <c r="N589" s="356">
        <f t="shared" si="185"/>
        <v>566</v>
      </c>
      <c r="O589" s="357">
        <f t="shared" si="190"/>
        <v>47</v>
      </c>
      <c r="P589" s="357">
        <f t="shared" si="191"/>
        <v>2</v>
      </c>
      <c r="Q589" s="357">
        <f t="shared" si="192"/>
        <v>47</v>
      </c>
      <c r="R589" s="356">
        <f t="shared" si="186"/>
        <v>58036831.037219554</v>
      </c>
      <c r="S589" s="356">
        <f>IF($G$4="mensual",S588,0)</f>
        <v>10000</v>
      </c>
      <c r="U589" s="356">
        <f t="shared" si="193"/>
        <v>462873.5821436383</v>
      </c>
      <c r="V589" s="359">
        <f t="shared" ref="V589:V652" si="195">V588</f>
        <v>-558.4443580239325</v>
      </c>
      <c r="X589" s="359">
        <f t="shared" si="194"/>
        <v>-67870.60956300599</v>
      </c>
      <c r="Y589" s="356">
        <f t="shared" si="178"/>
        <v>58441275.56544216</v>
      </c>
      <c r="AA589" s="357">
        <f>+Bono!J589</f>
        <v>709246.1188741176</v>
      </c>
      <c r="AC589" s="378">
        <f t="shared" si="179"/>
        <v>47.166666666666664</v>
      </c>
      <c r="AD589" s="356">
        <f t="shared" si="180"/>
        <v>60274177.76682962</v>
      </c>
    </row>
    <row r="590" spans="1:30" x14ac:dyDescent="0.25">
      <c r="A590" s="356">
        <f t="shared" si="181"/>
        <v>47.25</v>
      </c>
      <c r="B590" s="356">
        <f t="shared" si="182"/>
        <v>567</v>
      </c>
      <c r="C590" s="357">
        <f t="shared" si="187"/>
        <v>47</v>
      </c>
      <c r="D590" s="357">
        <f t="shared" si="188"/>
        <v>3</v>
      </c>
      <c r="E590" s="357">
        <f t="shared" si="189"/>
        <v>76</v>
      </c>
      <c r="F590" s="356">
        <f t="shared" si="183"/>
        <v>1123656.08251334</v>
      </c>
      <c r="H590" s="356">
        <f t="shared" si="176"/>
        <v>8960.191395753249</v>
      </c>
      <c r="I590" s="356">
        <v>0</v>
      </c>
      <c r="J590" s="360">
        <f>-SUM(F590:H590)*$J$21*1.16</f>
        <v>-11824.513899610936</v>
      </c>
      <c r="K590" s="356">
        <f t="shared" si="184"/>
        <v>-1300.1184416109995</v>
      </c>
      <c r="L590" s="356">
        <f t="shared" si="177"/>
        <v>1119491.6415678714</v>
      </c>
      <c r="N590" s="356">
        <f t="shared" si="185"/>
        <v>567</v>
      </c>
      <c r="O590" s="357">
        <f t="shared" si="190"/>
        <v>47</v>
      </c>
      <c r="P590" s="357">
        <f t="shared" si="191"/>
        <v>3</v>
      </c>
      <c r="Q590" s="357">
        <f t="shared" si="192"/>
        <v>47</v>
      </c>
      <c r="R590" s="356">
        <f t="shared" si="186"/>
        <v>58441275.56544216</v>
      </c>
      <c r="S590" s="356">
        <f>IF($G$4="mensual",S589,0)</f>
        <v>10000</v>
      </c>
      <c r="U590" s="356">
        <f t="shared" si="193"/>
        <v>466098.67960738705</v>
      </c>
      <c r="V590" s="359">
        <f t="shared" si="195"/>
        <v>-558.4443580239325</v>
      </c>
      <c r="X590" s="359">
        <f t="shared" si="194"/>
        <v>-68343.50632880216</v>
      </c>
      <c r="Y590" s="356">
        <f t="shared" si="178"/>
        <v>58848472.294362724</v>
      </c>
      <c r="AA590" s="357">
        <f>+Bono!J590</f>
        <v>707214.306113923</v>
      </c>
      <c r="AC590" s="378">
        <f t="shared" si="179"/>
        <v>47.25</v>
      </c>
      <c r="AD590" s="356">
        <f t="shared" si="180"/>
        <v>60675178.242044516</v>
      </c>
    </row>
    <row r="591" spans="1:30" x14ac:dyDescent="0.25">
      <c r="A591" s="356">
        <f t="shared" si="181"/>
        <v>47.333333333333336</v>
      </c>
      <c r="B591" s="356">
        <f t="shared" si="182"/>
        <v>568</v>
      </c>
      <c r="C591" s="357">
        <f t="shared" si="187"/>
        <v>47</v>
      </c>
      <c r="D591" s="357">
        <f t="shared" si="188"/>
        <v>4</v>
      </c>
      <c r="E591" s="357">
        <f t="shared" si="189"/>
        <v>76</v>
      </c>
      <c r="F591" s="356">
        <f t="shared" si="183"/>
        <v>1119491.6415678714</v>
      </c>
      <c r="H591" s="356">
        <f t="shared" si="176"/>
        <v>8926.983558846205</v>
      </c>
      <c r="I591" s="356">
        <v>0</v>
      </c>
      <c r="J591" s="356">
        <v>0</v>
      </c>
      <c r="K591" s="356">
        <f t="shared" si="184"/>
        <v>-1308.9656051469924</v>
      </c>
      <c r="L591" s="356">
        <f t="shared" si="177"/>
        <v>1127109.6595215707</v>
      </c>
      <c r="N591" s="356">
        <f t="shared" si="185"/>
        <v>568</v>
      </c>
      <c r="O591" s="357">
        <f t="shared" si="190"/>
        <v>47</v>
      </c>
      <c r="P591" s="357">
        <f t="shared" si="191"/>
        <v>4</v>
      </c>
      <c r="Q591" s="357">
        <f t="shared" si="192"/>
        <v>47</v>
      </c>
      <c r="R591" s="356">
        <f t="shared" si="186"/>
        <v>58848472.294362724</v>
      </c>
      <c r="S591" s="356">
        <f>IF($G$4="mensual",S588,IF($G$4="trimestral",S588,0))</f>
        <v>10000</v>
      </c>
      <c r="U591" s="356">
        <f t="shared" si="193"/>
        <v>469345.7235059899</v>
      </c>
      <c r="V591" s="359">
        <f t="shared" si="195"/>
        <v>-558.4443580239325</v>
      </c>
      <c r="X591" s="359">
        <f t="shared" si="194"/>
        <v>-68819.6211052724</v>
      </c>
      <c r="Y591" s="356">
        <f t="shared" si="178"/>
        <v>59258439.952405415</v>
      </c>
      <c r="AA591" s="357">
        <f>+Bono!J591</f>
        <v>711599.1168436114</v>
      </c>
      <c r="AC591" s="378">
        <f t="shared" si="179"/>
        <v>47.333333333333336</v>
      </c>
      <c r="AD591" s="356">
        <f t="shared" si="180"/>
        <v>61097148.7287706</v>
      </c>
    </row>
    <row r="592" spans="1:30" x14ac:dyDescent="0.25">
      <c r="A592" s="356">
        <f t="shared" si="181"/>
        <v>47.416666666666664</v>
      </c>
      <c r="B592" s="356">
        <f t="shared" si="182"/>
        <v>569</v>
      </c>
      <c r="C592" s="357">
        <f t="shared" si="187"/>
        <v>47</v>
      </c>
      <c r="D592" s="357">
        <f t="shared" si="188"/>
        <v>5</v>
      </c>
      <c r="E592" s="357">
        <f t="shared" si="189"/>
        <v>76</v>
      </c>
      <c r="F592" s="356">
        <f t="shared" si="183"/>
        <v>1127109.6595215707</v>
      </c>
      <c r="H592" s="356">
        <f t="shared" si="176"/>
        <v>8987.730703798914</v>
      </c>
      <c r="I592" s="356">
        <v>0</v>
      </c>
      <c r="J592" s="356">
        <v>0</v>
      </c>
      <c r="K592" s="356">
        <f t="shared" si="184"/>
        <v>-1317.8729726614285</v>
      </c>
      <c r="L592" s="356">
        <f t="shared" si="177"/>
        <v>1134779.517252708</v>
      </c>
      <c r="N592" s="356">
        <f t="shared" si="185"/>
        <v>569</v>
      </c>
      <c r="O592" s="357">
        <f t="shared" si="190"/>
        <v>47</v>
      </c>
      <c r="P592" s="357">
        <f t="shared" si="191"/>
        <v>5</v>
      </c>
      <c r="Q592" s="357">
        <f t="shared" si="192"/>
        <v>47</v>
      </c>
      <c r="R592" s="356">
        <f t="shared" si="186"/>
        <v>59258439.952405415</v>
      </c>
      <c r="S592" s="356">
        <f>IF($G$4="mensual",S591,0)</f>
        <v>10000</v>
      </c>
      <c r="U592" s="356">
        <f t="shared" si="193"/>
        <v>472614.86318253115</v>
      </c>
      <c r="V592" s="359">
        <f t="shared" si="195"/>
        <v>-558.4443580239325</v>
      </c>
      <c r="X592" s="359">
        <f t="shared" si="194"/>
        <v>-69298.97579062672</v>
      </c>
      <c r="Y592" s="356">
        <f t="shared" si="178"/>
        <v>59671197.3954393</v>
      </c>
      <c r="AA592" s="357">
        <f>+Bono!J592</f>
        <v>716011.1139084304</v>
      </c>
      <c r="AC592" s="378">
        <f t="shared" si="179"/>
        <v>47.416666666666664</v>
      </c>
      <c r="AD592" s="356">
        <f t="shared" si="180"/>
        <v>61521988.026600435</v>
      </c>
    </row>
    <row r="593" spans="1:30" x14ac:dyDescent="0.25">
      <c r="A593" s="356">
        <f t="shared" si="181"/>
        <v>47.5</v>
      </c>
      <c r="B593" s="356">
        <f t="shared" si="182"/>
        <v>570</v>
      </c>
      <c r="C593" s="357">
        <f t="shared" si="187"/>
        <v>47</v>
      </c>
      <c r="D593" s="357">
        <f t="shared" si="188"/>
        <v>6</v>
      </c>
      <c r="E593" s="357">
        <f t="shared" si="189"/>
        <v>76</v>
      </c>
      <c r="F593" s="356">
        <f t="shared" si="183"/>
        <v>1134779.517252708</v>
      </c>
      <c r="H593" s="356">
        <f t="shared" si="176"/>
        <v>9048.891226416716</v>
      </c>
      <c r="I593" s="356">
        <v>0</v>
      </c>
      <c r="J593" s="360">
        <f>-SUM(F593:H593)*$J$21*1.16</f>
        <v>-11941.568584522063</v>
      </c>
      <c r="K593" s="356">
        <f t="shared" si="184"/>
        <v>-1312.9887342777392</v>
      </c>
      <c r="L593" s="356">
        <f t="shared" si="177"/>
        <v>1130573.851160325</v>
      </c>
      <c r="N593" s="356">
        <f t="shared" si="185"/>
        <v>570</v>
      </c>
      <c r="O593" s="357">
        <f t="shared" si="190"/>
        <v>47</v>
      </c>
      <c r="P593" s="357">
        <f t="shared" si="191"/>
        <v>6</v>
      </c>
      <c r="Q593" s="357">
        <f t="shared" si="192"/>
        <v>47</v>
      </c>
      <c r="R593" s="356">
        <f t="shared" si="186"/>
        <v>59671197.3954393</v>
      </c>
      <c r="S593" s="356">
        <f>IF($G$4="mensual",S592,0)</f>
        <v>10000</v>
      </c>
      <c r="U593" s="356">
        <f t="shared" si="193"/>
        <v>475906.24899635854</v>
      </c>
      <c r="V593" s="359">
        <f t="shared" si="195"/>
        <v>-558.4443580239325</v>
      </c>
      <c r="X593" s="359">
        <f t="shared" si="194"/>
        <v>-69781.59243209007</v>
      </c>
      <c r="Y593" s="356">
        <f t="shared" si="178"/>
        <v>60086763.60764555</v>
      </c>
      <c r="AA593" s="357">
        <f>+Bono!J593</f>
        <v>713959.9211292726</v>
      </c>
      <c r="AC593" s="378">
        <f t="shared" si="179"/>
        <v>47.5</v>
      </c>
      <c r="AD593" s="356">
        <f t="shared" si="180"/>
        <v>61931297.379935145</v>
      </c>
    </row>
    <row r="594" spans="1:30" x14ac:dyDescent="0.25">
      <c r="A594" s="356">
        <f t="shared" si="181"/>
        <v>47.583333333333336</v>
      </c>
      <c r="B594" s="356">
        <f t="shared" si="182"/>
        <v>571</v>
      </c>
      <c r="C594" s="357">
        <f t="shared" si="187"/>
        <v>47</v>
      </c>
      <c r="D594" s="357">
        <f t="shared" si="188"/>
        <v>7</v>
      </c>
      <c r="E594" s="357">
        <f t="shared" si="189"/>
        <v>76</v>
      </c>
      <c r="F594" s="356">
        <f t="shared" si="183"/>
        <v>1130573.851160325</v>
      </c>
      <c r="H594" s="356">
        <f t="shared" si="176"/>
        <v>9015.354654398976</v>
      </c>
      <c r="I594" s="356">
        <v>0</v>
      </c>
      <c r="J594" s="356">
        <v>0</v>
      </c>
      <c r="K594" s="356">
        <f t="shared" si="184"/>
        <v>-1321.92347874508</v>
      </c>
      <c r="L594" s="356">
        <f t="shared" si="177"/>
        <v>1138267.282335979</v>
      </c>
      <c r="N594" s="356">
        <f t="shared" si="185"/>
        <v>571</v>
      </c>
      <c r="O594" s="357">
        <f t="shared" si="190"/>
        <v>47</v>
      </c>
      <c r="P594" s="357">
        <f t="shared" si="191"/>
        <v>7</v>
      </c>
      <c r="Q594" s="357">
        <f t="shared" si="192"/>
        <v>47</v>
      </c>
      <c r="R594" s="356">
        <f t="shared" si="186"/>
        <v>60086763.60764555</v>
      </c>
      <c r="S594" s="356">
        <f>+IF($G$4="mensual",S588,IF($G$4="trimestral",S588,IF($G$4="semestral",S588,0)))</f>
        <v>10000</v>
      </c>
      <c r="U594" s="356">
        <f t="shared" si="193"/>
        <v>479220.0323299988</v>
      </c>
      <c r="V594" s="359">
        <f t="shared" si="195"/>
        <v>-558.4443580239325</v>
      </c>
      <c r="X594" s="359">
        <f t="shared" si="194"/>
        <v>-70267.49322691633</v>
      </c>
      <c r="Y594" s="356">
        <f t="shared" si="178"/>
        <v>60505157.70239061</v>
      </c>
      <c r="AA594" s="357">
        <f>+Bono!J594</f>
        <v>718386.5554544991</v>
      </c>
      <c r="AC594" s="378">
        <f t="shared" si="179"/>
        <v>47.583333333333336</v>
      </c>
      <c r="AD594" s="356">
        <f t="shared" si="180"/>
        <v>62361811.54018109</v>
      </c>
    </row>
    <row r="595" spans="1:30" x14ac:dyDescent="0.25">
      <c r="A595" s="356">
        <f t="shared" si="181"/>
        <v>47.666666666666664</v>
      </c>
      <c r="B595" s="356">
        <f t="shared" si="182"/>
        <v>572</v>
      </c>
      <c r="C595" s="357">
        <f t="shared" si="187"/>
        <v>47</v>
      </c>
      <c r="D595" s="357">
        <f t="shared" si="188"/>
        <v>8</v>
      </c>
      <c r="E595" s="357">
        <f t="shared" si="189"/>
        <v>76</v>
      </c>
      <c r="F595" s="356">
        <f t="shared" si="183"/>
        <v>1138267.282335979</v>
      </c>
      <c r="H595" s="356">
        <f t="shared" si="176"/>
        <v>9076.703154973746</v>
      </c>
      <c r="I595" s="356">
        <v>0</v>
      </c>
      <c r="J595" s="356">
        <v>0</v>
      </c>
      <c r="K595" s="356">
        <f t="shared" si="184"/>
        <v>-1330.919023169505</v>
      </c>
      <c r="L595" s="356">
        <f t="shared" si="177"/>
        <v>1146013.0664677832</v>
      </c>
      <c r="N595" s="356">
        <f t="shared" si="185"/>
        <v>572</v>
      </c>
      <c r="O595" s="357">
        <f t="shared" si="190"/>
        <v>47</v>
      </c>
      <c r="P595" s="357">
        <f t="shared" si="191"/>
        <v>8</v>
      </c>
      <c r="Q595" s="357">
        <f t="shared" si="192"/>
        <v>47</v>
      </c>
      <c r="R595" s="356">
        <f t="shared" si="186"/>
        <v>60505157.70239061</v>
      </c>
      <c r="S595" s="356">
        <f>IF($G$4="mensual",S594,0)</f>
        <v>10000</v>
      </c>
      <c r="U595" s="356">
        <f t="shared" si="193"/>
        <v>482556.36559612</v>
      </c>
      <c r="V595" s="359">
        <f t="shared" si="195"/>
        <v>-558.4443580239325</v>
      </c>
      <c r="X595" s="359">
        <f t="shared" si="194"/>
        <v>-70756.70052340931</v>
      </c>
      <c r="Y595" s="356">
        <f t="shared" si="178"/>
        <v>60926398.92310531</v>
      </c>
      <c r="AA595" s="357">
        <f>+Bono!J595</f>
        <v>722840.6354259998</v>
      </c>
      <c r="AC595" s="378">
        <f t="shared" si="179"/>
        <v>47.666666666666664</v>
      </c>
      <c r="AD595" s="356">
        <f t="shared" si="180"/>
        <v>62795252.62499909</v>
      </c>
    </row>
    <row r="596" spans="1:30" x14ac:dyDescent="0.25">
      <c r="A596" s="356">
        <f t="shared" si="181"/>
        <v>47.75</v>
      </c>
      <c r="B596" s="356">
        <f t="shared" si="182"/>
        <v>573</v>
      </c>
      <c r="C596" s="357">
        <f t="shared" si="187"/>
        <v>47</v>
      </c>
      <c r="D596" s="357">
        <f t="shared" si="188"/>
        <v>9</v>
      </c>
      <c r="E596" s="357">
        <f t="shared" si="189"/>
        <v>76</v>
      </c>
      <c r="F596" s="356">
        <f t="shared" si="183"/>
        <v>1146013.0664677832</v>
      </c>
      <c r="H596" s="356">
        <f t="shared" si="176"/>
        <v>9138.469125372727</v>
      </c>
      <c r="I596" s="356">
        <v>0</v>
      </c>
      <c r="J596" s="360">
        <f>-SUM(F596:H596)*$J$21*1.16</f>
        <v>-12059.78203159255</v>
      </c>
      <c r="K596" s="356">
        <f t="shared" si="184"/>
        <v>-1325.9864341314137</v>
      </c>
      <c r="L596" s="356">
        <f t="shared" si="177"/>
        <v>1141765.7671274322</v>
      </c>
      <c r="N596" s="356">
        <f t="shared" si="185"/>
        <v>573</v>
      </c>
      <c r="O596" s="357">
        <f t="shared" si="190"/>
        <v>47</v>
      </c>
      <c r="P596" s="357">
        <f t="shared" si="191"/>
        <v>9</v>
      </c>
      <c r="Q596" s="357">
        <f t="shared" si="192"/>
        <v>47</v>
      </c>
      <c r="R596" s="356">
        <f t="shared" si="186"/>
        <v>60926398.92310531</v>
      </c>
      <c r="S596" s="356">
        <f>IF($G$4="mensual",S595,0)</f>
        <v>10000</v>
      </c>
      <c r="U596" s="356">
        <f t="shared" si="193"/>
        <v>485915.40224454185</v>
      </c>
      <c r="V596" s="359">
        <f t="shared" si="195"/>
        <v>-558.4443580239325</v>
      </c>
      <c r="X596" s="359">
        <f t="shared" si="194"/>
        <v>-71249.23682195052</v>
      </c>
      <c r="Y596" s="356">
        <f t="shared" si="178"/>
        <v>61350506.64416988</v>
      </c>
      <c r="AA596" s="357">
        <f>+Bono!J596</f>
        <v>720769.877775641</v>
      </c>
      <c r="AC596" s="378">
        <f t="shared" si="179"/>
        <v>47.75</v>
      </c>
      <c r="AD596" s="356">
        <f t="shared" si="180"/>
        <v>63213042.28907295</v>
      </c>
    </row>
    <row r="597" spans="1:30" x14ac:dyDescent="0.25">
      <c r="A597" s="356">
        <f t="shared" si="181"/>
        <v>47.833333333333336</v>
      </c>
      <c r="B597" s="356">
        <f t="shared" si="182"/>
        <v>574</v>
      </c>
      <c r="C597" s="357">
        <f t="shared" si="187"/>
        <v>47</v>
      </c>
      <c r="D597" s="357">
        <f t="shared" si="188"/>
        <v>10</v>
      </c>
      <c r="E597" s="357">
        <f t="shared" si="189"/>
        <v>76</v>
      </c>
      <c r="F597" s="356">
        <f t="shared" si="183"/>
        <v>1141765.7671274322</v>
      </c>
      <c r="H597" s="356">
        <f t="shared" si="176"/>
        <v>9104.600563989177</v>
      </c>
      <c r="I597" s="356">
        <v>0</v>
      </c>
      <c r="J597" s="356">
        <v>0</v>
      </c>
      <c r="K597" s="356">
        <f t="shared" si="184"/>
        <v>-1335.0096265220488</v>
      </c>
      <c r="L597" s="356">
        <f t="shared" si="177"/>
        <v>1149535.3580648995</v>
      </c>
      <c r="N597" s="356">
        <f t="shared" si="185"/>
        <v>574</v>
      </c>
      <c r="O597" s="357">
        <f t="shared" si="190"/>
        <v>47</v>
      </c>
      <c r="P597" s="357">
        <f t="shared" si="191"/>
        <v>10</v>
      </c>
      <c r="Q597" s="357">
        <f t="shared" si="192"/>
        <v>47</v>
      </c>
      <c r="R597" s="356">
        <f t="shared" si="186"/>
        <v>61350506.64416988</v>
      </c>
      <c r="S597" s="356">
        <f>IF($G$4="mensual",S588,IF($G$4="trimestral",S588,0))</f>
        <v>10000</v>
      </c>
      <c r="U597" s="356">
        <f t="shared" si="193"/>
        <v>489297.2967692931</v>
      </c>
      <c r="V597" s="359">
        <f t="shared" si="195"/>
        <v>-558.4443580239325</v>
      </c>
      <c r="X597" s="359">
        <f t="shared" si="194"/>
        <v>-71745.12477603414</v>
      </c>
      <c r="Y597" s="356">
        <f t="shared" si="178"/>
        <v>61777500.37180512</v>
      </c>
      <c r="AA597" s="357">
        <f>+Bono!J597</f>
        <v>725238.7346219812</v>
      </c>
      <c r="AC597" s="378">
        <f t="shared" si="179"/>
        <v>47.833333333333336</v>
      </c>
      <c r="AD597" s="356">
        <f t="shared" si="180"/>
        <v>63652274.46449199</v>
      </c>
    </row>
    <row r="598" spans="1:30" x14ac:dyDescent="0.25">
      <c r="A598" s="356">
        <f t="shared" si="181"/>
        <v>47.916666666666664</v>
      </c>
      <c r="B598" s="356">
        <f t="shared" si="182"/>
        <v>575</v>
      </c>
      <c r="C598" s="357">
        <f t="shared" si="187"/>
        <v>47</v>
      </c>
      <c r="D598" s="357">
        <f t="shared" si="188"/>
        <v>11</v>
      </c>
      <c r="E598" s="357">
        <f t="shared" si="189"/>
        <v>76</v>
      </c>
      <c r="F598" s="356">
        <f t="shared" si="183"/>
        <v>1149535.3580648995</v>
      </c>
      <c r="H598" s="356">
        <f t="shared" si="176"/>
        <v>9166.556373199679</v>
      </c>
      <c r="I598" s="356">
        <v>0</v>
      </c>
      <c r="J598" s="356">
        <v>0</v>
      </c>
      <c r="K598" s="356">
        <f t="shared" si="184"/>
        <v>-1344.094220748195</v>
      </c>
      <c r="L598" s="356">
        <f t="shared" si="177"/>
        <v>1157357.820217351</v>
      </c>
      <c r="N598" s="356">
        <f t="shared" si="185"/>
        <v>575</v>
      </c>
      <c r="O598" s="357">
        <f t="shared" si="190"/>
        <v>47</v>
      </c>
      <c r="P598" s="357">
        <f t="shared" si="191"/>
        <v>11</v>
      </c>
      <c r="Q598" s="357">
        <f t="shared" si="192"/>
        <v>47</v>
      </c>
      <c r="R598" s="356">
        <f t="shared" si="186"/>
        <v>61777500.37180512</v>
      </c>
      <c r="S598" s="356">
        <f>IF($G$17="si",S586*(1+$G$20),S586)</f>
        <v>10000</v>
      </c>
      <c r="U598" s="356">
        <f t="shared" si="193"/>
        <v>492702.2047157175</v>
      </c>
      <c r="V598" s="359">
        <f t="shared" si="195"/>
        <v>-558.4443580239325</v>
      </c>
      <c r="X598" s="359">
        <f t="shared" si="194"/>
        <v>-72244.38719330885</v>
      </c>
      <c r="Y598" s="356">
        <f t="shared" si="178"/>
        <v>62207399.7449695</v>
      </c>
      <c r="AA598" s="357">
        <f>+Bono!J598</f>
        <v>729735.2988991239</v>
      </c>
      <c r="AC598" s="378">
        <f t="shared" si="179"/>
        <v>47.916666666666664</v>
      </c>
      <c r="AD598" s="356">
        <f t="shared" si="180"/>
        <v>64094492.86408597</v>
      </c>
    </row>
    <row r="599" spans="1:30" x14ac:dyDescent="0.25">
      <c r="A599" s="356">
        <f t="shared" si="181"/>
        <v>48</v>
      </c>
      <c r="B599" s="356">
        <f t="shared" si="182"/>
        <v>576</v>
      </c>
      <c r="C599" s="357">
        <f t="shared" si="187"/>
        <v>47</v>
      </c>
      <c r="D599" s="357">
        <f t="shared" si="188"/>
        <v>12</v>
      </c>
      <c r="E599" s="357">
        <f t="shared" si="189"/>
        <v>76</v>
      </c>
      <c r="F599" s="356">
        <f t="shared" si="183"/>
        <v>1157357.820217351</v>
      </c>
      <c r="H599" s="356">
        <f t="shared" si="176"/>
        <v>9228.933784903113</v>
      </c>
      <c r="I599" s="356">
        <v>0</v>
      </c>
      <c r="J599" s="360">
        <f>-SUM(F599:H599)*$J$21*1.16</f>
        <v>-12179.165711783531</v>
      </c>
      <c r="K599" s="356">
        <f t="shared" si="184"/>
        <v>-1339.1128024169454</v>
      </c>
      <c r="L599" s="356">
        <f t="shared" si="177"/>
        <v>1153068.4754880534</v>
      </c>
      <c r="N599" s="356">
        <f t="shared" si="185"/>
        <v>576</v>
      </c>
      <c r="O599" s="357">
        <f t="shared" si="190"/>
        <v>47</v>
      </c>
      <c r="P599" s="357">
        <f t="shared" si="191"/>
        <v>12</v>
      </c>
      <c r="Q599" s="357">
        <f t="shared" si="192"/>
        <v>47</v>
      </c>
      <c r="R599" s="356">
        <f t="shared" si="186"/>
        <v>62207399.7449695</v>
      </c>
      <c r="S599" s="356">
        <f>IF($G$4="mensual",S598,0)</f>
        <v>10000</v>
      </c>
      <c r="U599" s="356">
        <f t="shared" si="193"/>
        <v>496130.28268762806</v>
      </c>
      <c r="V599" s="359">
        <f t="shared" si="195"/>
        <v>-558.4443580239325</v>
      </c>
      <c r="X599" s="359">
        <f t="shared" si="194"/>
        <v>-72747.04703662696</v>
      </c>
      <c r="Y599" s="356">
        <f t="shared" si="178"/>
        <v>62640224.53626248</v>
      </c>
      <c r="AA599" s="357">
        <f>+Bono!J599</f>
        <v>727644.7897621527</v>
      </c>
      <c r="AC599" s="378">
        <f t="shared" si="179"/>
        <v>48</v>
      </c>
      <c r="AD599" s="356">
        <f t="shared" si="180"/>
        <v>64520937.80151269</v>
      </c>
    </row>
    <row r="600" spans="1:30" x14ac:dyDescent="0.25">
      <c r="A600" s="356">
        <f t="shared" si="181"/>
        <v>48.083333333333336</v>
      </c>
      <c r="B600" s="356">
        <f t="shared" si="182"/>
        <v>577</v>
      </c>
      <c r="C600" s="357">
        <f t="shared" si="187"/>
        <v>48</v>
      </c>
      <c r="D600" s="357">
        <f t="shared" si="188"/>
        <v>1</v>
      </c>
      <c r="E600" s="357">
        <f t="shared" si="189"/>
        <v>77</v>
      </c>
      <c r="F600" s="356">
        <f t="shared" si="183"/>
        <v>1153068.4754880534</v>
      </c>
      <c r="H600" s="356">
        <f t="shared" ref="H600:H663" si="196">SUM(F600:G600)*$G$8</f>
        <v>9194.729947683716</v>
      </c>
      <c r="I600" s="356">
        <v>0</v>
      </c>
      <c r="J600" s="356">
        <v>0</v>
      </c>
      <c r="K600" s="356">
        <f t="shared" si="184"/>
        <v>-1348.225318305455</v>
      </c>
      <c r="L600" s="356">
        <f t="shared" ref="L600:L663" si="197">SUM(F600:K600)</f>
        <v>1160914.9801174316</v>
      </c>
      <c r="N600" s="356">
        <f t="shared" si="185"/>
        <v>577</v>
      </c>
      <c r="O600" s="357">
        <f t="shared" si="190"/>
        <v>48</v>
      </c>
      <c r="P600" s="357">
        <f t="shared" si="191"/>
        <v>1</v>
      </c>
      <c r="Q600" s="357">
        <f t="shared" si="192"/>
        <v>48</v>
      </c>
      <c r="R600" s="356">
        <f t="shared" si="186"/>
        <v>62640224.53626248</v>
      </c>
      <c r="S600" s="356">
        <f>IF($G$17="si",S588*(1+$G$20),S588)</f>
        <v>10000</v>
      </c>
      <c r="U600" s="356">
        <f t="shared" si="193"/>
        <v>499581.68835450924</v>
      </c>
      <c r="V600" s="359">
        <f>V599*(1+$G$18)</f>
        <v>-580.7821323448899</v>
      </c>
      <c r="X600" s="359">
        <f t="shared" si="194"/>
        <v>-73253.10151328219</v>
      </c>
      <c r="Y600" s="356">
        <f t="shared" ref="Y600:Y663" si="198">SUM(R600:X600)</f>
        <v>63075972.340971366</v>
      </c>
      <c r="AA600" s="357">
        <f>+Bono!J600</f>
        <v>732156.2718602497</v>
      </c>
      <c r="AC600" s="378">
        <f t="shared" ref="AC600:AC663" si="199">+B600/12</f>
        <v>48.083333333333336</v>
      </c>
      <c r="AD600" s="356">
        <f t="shared" ref="AD600:AD663" si="200">+AA600+Y600+L600</f>
        <v>64969043.59294905</v>
      </c>
    </row>
    <row r="601" spans="1:30" x14ac:dyDescent="0.25">
      <c r="A601" s="356">
        <f t="shared" ref="A601:A664" si="201">+B601/12</f>
        <v>48.166666666666664</v>
      </c>
      <c r="B601" s="356">
        <f t="shared" ref="B601:B664" si="202">+B600+1</f>
        <v>578</v>
      </c>
      <c r="C601" s="357">
        <f t="shared" si="187"/>
        <v>48</v>
      </c>
      <c r="D601" s="357">
        <f t="shared" si="188"/>
        <v>2</v>
      </c>
      <c r="E601" s="357">
        <f t="shared" si="189"/>
        <v>77</v>
      </c>
      <c r="F601" s="356">
        <f t="shared" ref="F601:F664" si="203">L600</f>
        <v>1160914.9801174316</v>
      </c>
      <c r="H601" s="356">
        <f t="shared" si="196"/>
        <v>9257.299077474421</v>
      </c>
      <c r="I601" s="356">
        <v>0</v>
      </c>
      <c r="J601" s="356">
        <v>0</v>
      </c>
      <c r="K601" s="356">
        <f t="shared" ref="K601:K664" si="204">-SUM(F601:J601)*0.1%*1.16</f>
        <v>-1357.399843866091</v>
      </c>
      <c r="L601" s="356">
        <f t="shared" si="197"/>
        <v>1168814.87935104</v>
      </c>
      <c r="N601" s="356">
        <f t="shared" ref="N601:N664" si="205">+N600+1</f>
        <v>578</v>
      </c>
      <c r="O601" s="357">
        <f t="shared" si="190"/>
        <v>48</v>
      </c>
      <c r="P601" s="357">
        <f t="shared" si="191"/>
        <v>2</v>
      </c>
      <c r="Q601" s="357">
        <f t="shared" si="192"/>
        <v>48</v>
      </c>
      <c r="R601" s="356">
        <f t="shared" ref="R601:R664" si="206">Y600</f>
        <v>63075972.340971366</v>
      </c>
      <c r="S601" s="356">
        <f>IF($G$4="mensual",S600,0)</f>
        <v>10000</v>
      </c>
      <c r="U601" s="356">
        <f t="shared" si="193"/>
        <v>503056.4025408444</v>
      </c>
      <c r="V601" s="359">
        <f t="shared" si="195"/>
        <v>-580.7821323448899</v>
      </c>
      <c r="X601" s="359">
        <f t="shared" si="194"/>
        <v>-73762.59963520065</v>
      </c>
      <c r="Y601" s="356">
        <f t="shared" si="198"/>
        <v>63514685.36174467</v>
      </c>
      <c r="AA601" s="357">
        <f>+Bono!J601</f>
        <v>736695.7256706543</v>
      </c>
      <c r="AC601" s="378">
        <f t="shared" si="199"/>
        <v>48.166666666666664</v>
      </c>
      <c r="AD601" s="356">
        <f t="shared" si="200"/>
        <v>65420195.966766365</v>
      </c>
    </row>
    <row r="602" spans="1:30" x14ac:dyDescent="0.25">
      <c r="A602" s="356">
        <f t="shared" si="201"/>
        <v>48.25</v>
      </c>
      <c r="B602" s="356">
        <f t="shared" si="202"/>
        <v>579</v>
      </c>
      <c r="C602" s="357">
        <f t="shared" si="187"/>
        <v>48</v>
      </c>
      <c r="D602" s="357">
        <f t="shared" si="188"/>
        <v>3</v>
      </c>
      <c r="E602" s="357">
        <f t="shared" si="189"/>
        <v>77</v>
      </c>
      <c r="F602" s="356">
        <f t="shared" si="203"/>
        <v>1168814.87935104</v>
      </c>
      <c r="H602" s="356">
        <f t="shared" si="196"/>
        <v>9320.293983337404</v>
      </c>
      <c r="I602" s="356">
        <v>0</v>
      </c>
      <c r="J602" s="360">
        <f>-SUM(F602:H602)*$J$21*1.16</f>
        <v>-12299.731209610902</v>
      </c>
      <c r="K602" s="356">
        <f t="shared" si="204"/>
        <v>-1352.3691128647295</v>
      </c>
      <c r="L602" s="356">
        <f t="shared" si="197"/>
        <v>1164483.073011902</v>
      </c>
      <c r="N602" s="356">
        <f t="shared" si="205"/>
        <v>579</v>
      </c>
      <c r="O602" s="357">
        <f t="shared" si="190"/>
        <v>48</v>
      </c>
      <c r="P602" s="357">
        <f t="shared" si="191"/>
        <v>3</v>
      </c>
      <c r="Q602" s="357">
        <f t="shared" si="192"/>
        <v>48</v>
      </c>
      <c r="R602" s="356">
        <f t="shared" si="206"/>
        <v>63514685.36174467</v>
      </c>
      <c r="S602" s="356">
        <f>IF($G$4="mensual",S601,0)</f>
        <v>10000</v>
      </c>
      <c r="U602" s="356">
        <f t="shared" si="193"/>
        <v>506554.7617764793</v>
      </c>
      <c r="V602" s="359">
        <f t="shared" si="195"/>
        <v>-580.7821323448899</v>
      </c>
      <c r="X602" s="359">
        <f t="shared" si="194"/>
        <v>-74275.56483601102</v>
      </c>
      <c r="Y602" s="356">
        <f t="shared" si="198"/>
        <v>63956383.7765528</v>
      </c>
      <c r="AA602" s="357">
        <f>+Bono!J602</f>
        <v>734585.276651667</v>
      </c>
      <c r="AC602" s="378">
        <f t="shared" si="199"/>
        <v>48.25</v>
      </c>
      <c r="AD602" s="356">
        <f t="shared" si="200"/>
        <v>65855452.12621637</v>
      </c>
    </row>
    <row r="603" spans="1:30" x14ac:dyDescent="0.25">
      <c r="A603" s="356">
        <f t="shared" si="201"/>
        <v>48.333333333333336</v>
      </c>
      <c r="B603" s="356">
        <f t="shared" si="202"/>
        <v>580</v>
      </c>
      <c r="C603" s="357">
        <f t="shared" si="187"/>
        <v>48</v>
      </c>
      <c r="D603" s="357">
        <f t="shared" si="188"/>
        <v>4</v>
      </c>
      <c r="E603" s="357">
        <f t="shared" si="189"/>
        <v>77</v>
      </c>
      <c r="F603" s="356">
        <f t="shared" si="203"/>
        <v>1164483.073011902</v>
      </c>
      <c r="H603" s="356">
        <f t="shared" si="196"/>
        <v>9285.751551278301</v>
      </c>
      <c r="I603" s="356">
        <v>0</v>
      </c>
      <c r="J603" s="356">
        <v>0</v>
      </c>
      <c r="K603" s="356">
        <f t="shared" si="204"/>
        <v>-1361.571836493289</v>
      </c>
      <c r="L603" s="356">
        <f t="shared" si="197"/>
        <v>1172407.2527266871</v>
      </c>
      <c r="N603" s="356">
        <f t="shared" si="205"/>
        <v>580</v>
      </c>
      <c r="O603" s="357">
        <f t="shared" si="190"/>
        <v>48</v>
      </c>
      <c r="P603" s="357">
        <f t="shared" si="191"/>
        <v>4</v>
      </c>
      <c r="Q603" s="357">
        <f t="shared" si="192"/>
        <v>48</v>
      </c>
      <c r="R603" s="356">
        <f t="shared" si="206"/>
        <v>63956383.7765528</v>
      </c>
      <c r="S603" s="356">
        <f>IF($G$4="mensual",S600,IF($G$4="trimestral",S600,0))</f>
        <v>10000</v>
      </c>
      <c r="U603" s="356">
        <f t="shared" si="193"/>
        <v>510076.9269633835</v>
      </c>
      <c r="V603" s="359">
        <f t="shared" si="195"/>
        <v>-580.7821323448899</v>
      </c>
      <c r="X603" s="359">
        <f t="shared" si="194"/>
        <v>-74792.02070880524</v>
      </c>
      <c r="Y603" s="356">
        <f t="shared" si="198"/>
        <v>64401087.90067503</v>
      </c>
      <c r="AA603" s="357">
        <f>+Bono!J603</f>
        <v>739139.7905735255</v>
      </c>
      <c r="AC603" s="378">
        <f t="shared" si="199"/>
        <v>48.333333333333336</v>
      </c>
      <c r="AD603" s="356">
        <f t="shared" si="200"/>
        <v>66312634.94397524</v>
      </c>
    </row>
    <row r="604" spans="1:30" x14ac:dyDescent="0.25">
      <c r="A604" s="356">
        <f t="shared" si="201"/>
        <v>48.416666666666664</v>
      </c>
      <c r="B604" s="356">
        <f t="shared" si="202"/>
        <v>581</v>
      </c>
      <c r="C604" s="357">
        <f t="shared" si="187"/>
        <v>48</v>
      </c>
      <c r="D604" s="357">
        <f t="shared" si="188"/>
        <v>5</v>
      </c>
      <c r="E604" s="357">
        <f t="shared" si="189"/>
        <v>77</v>
      </c>
      <c r="F604" s="356">
        <f t="shared" si="203"/>
        <v>1172407.2527266871</v>
      </c>
      <c r="H604" s="356">
        <f t="shared" si="196"/>
        <v>9348.94007310787</v>
      </c>
      <c r="I604" s="356">
        <v>0</v>
      </c>
      <c r="J604" s="356">
        <v>0</v>
      </c>
      <c r="K604" s="356">
        <f t="shared" si="204"/>
        <v>-1370.837183647762</v>
      </c>
      <c r="L604" s="356">
        <f t="shared" si="197"/>
        <v>1180385.3556161472</v>
      </c>
      <c r="N604" s="356">
        <f t="shared" si="205"/>
        <v>581</v>
      </c>
      <c r="O604" s="357">
        <f t="shared" si="190"/>
        <v>48</v>
      </c>
      <c r="P604" s="357">
        <f t="shared" si="191"/>
        <v>5</v>
      </c>
      <c r="Q604" s="357">
        <f t="shared" si="192"/>
        <v>48</v>
      </c>
      <c r="R604" s="356">
        <f t="shared" si="206"/>
        <v>64401087.90067503</v>
      </c>
      <c r="S604" s="356">
        <f>IF($G$4="mensual",S603,0)</f>
        <v>10000</v>
      </c>
      <c r="U604" s="356">
        <f t="shared" si="193"/>
        <v>513623.06009844685</v>
      </c>
      <c r="V604" s="359">
        <f t="shared" si="195"/>
        <v>-580.7821323448899</v>
      </c>
      <c r="X604" s="359">
        <f t="shared" si="194"/>
        <v>-75311.99100722371</v>
      </c>
      <c r="Y604" s="356">
        <f t="shared" si="198"/>
        <v>64848818.18763391</v>
      </c>
      <c r="AA604" s="357">
        <f>+Bono!J604</f>
        <v>743722.5430099904</v>
      </c>
      <c r="AC604" s="378">
        <f t="shared" si="199"/>
        <v>48.416666666666664</v>
      </c>
      <c r="AD604" s="356">
        <f t="shared" si="200"/>
        <v>66772926.08626004</v>
      </c>
    </row>
    <row r="605" spans="1:30" x14ac:dyDescent="0.25">
      <c r="A605" s="356">
        <f t="shared" si="201"/>
        <v>48.5</v>
      </c>
      <c r="B605" s="356">
        <f t="shared" si="202"/>
        <v>582</v>
      </c>
      <c r="C605" s="357">
        <f t="shared" si="187"/>
        <v>48</v>
      </c>
      <c r="D605" s="357">
        <f t="shared" si="188"/>
        <v>6</v>
      </c>
      <c r="E605" s="357">
        <f t="shared" si="189"/>
        <v>77</v>
      </c>
      <c r="F605" s="356">
        <f t="shared" si="203"/>
        <v>1180385.3556161472</v>
      </c>
      <c r="H605" s="356">
        <f t="shared" si="196"/>
        <v>9412.558585904666</v>
      </c>
      <c r="I605" s="356">
        <v>0</v>
      </c>
      <c r="J605" s="360">
        <f>-SUM(F605:H605)*$J$21*1.16</f>
        <v>-12421.490224269422</v>
      </c>
      <c r="K605" s="356">
        <f t="shared" si="204"/>
        <v>-1365.7566518142276</v>
      </c>
      <c r="L605" s="356">
        <f t="shared" si="197"/>
        <v>1176010.6673259682</v>
      </c>
      <c r="N605" s="356">
        <f t="shared" si="205"/>
        <v>582</v>
      </c>
      <c r="O605" s="357">
        <f t="shared" si="190"/>
        <v>48</v>
      </c>
      <c r="P605" s="357">
        <f t="shared" si="191"/>
        <v>6</v>
      </c>
      <c r="Q605" s="357">
        <f t="shared" si="192"/>
        <v>48</v>
      </c>
      <c r="R605" s="356">
        <f t="shared" si="206"/>
        <v>64848818.18763391</v>
      </c>
      <c r="S605" s="356">
        <f>IF($G$4="mensual",S604,0)</f>
        <v>10000</v>
      </c>
      <c r="U605" s="356">
        <f t="shared" si="193"/>
        <v>517193.32428093033</v>
      </c>
      <c r="V605" s="359">
        <f t="shared" si="195"/>
        <v>-580.7821323448899</v>
      </c>
      <c r="X605" s="359">
        <f t="shared" si="194"/>
        <v>-75835.4996465477</v>
      </c>
      <c r="Y605" s="356">
        <f t="shared" si="198"/>
        <v>65299595.230135955</v>
      </c>
      <c r="AA605" s="357">
        <f>+Bono!J605</f>
        <v>741591.9639166131</v>
      </c>
      <c r="AC605" s="378">
        <f t="shared" si="199"/>
        <v>48.5</v>
      </c>
      <c r="AD605" s="356">
        <f t="shared" si="200"/>
        <v>67217197.86137854</v>
      </c>
    </row>
    <row r="606" spans="1:30" x14ac:dyDescent="0.25">
      <c r="A606" s="356">
        <f t="shared" si="201"/>
        <v>48.583333333333336</v>
      </c>
      <c r="B606" s="356">
        <f t="shared" si="202"/>
        <v>583</v>
      </c>
      <c r="C606" s="357">
        <f t="shared" si="187"/>
        <v>48</v>
      </c>
      <c r="D606" s="357">
        <f t="shared" si="188"/>
        <v>7</v>
      </c>
      <c r="E606" s="357">
        <f t="shared" si="189"/>
        <v>77</v>
      </c>
      <c r="F606" s="356">
        <f t="shared" si="203"/>
        <v>1176010.6673259682</v>
      </c>
      <c r="H606" s="356">
        <f t="shared" si="196"/>
        <v>9377.674207146098</v>
      </c>
      <c r="I606" s="356">
        <v>0</v>
      </c>
      <c r="J606" s="356">
        <v>0</v>
      </c>
      <c r="K606" s="356">
        <f t="shared" si="204"/>
        <v>-1375.0504761784125</v>
      </c>
      <c r="L606" s="356">
        <f t="shared" si="197"/>
        <v>1184013.2910569357</v>
      </c>
      <c r="N606" s="356">
        <f t="shared" si="205"/>
        <v>583</v>
      </c>
      <c r="O606" s="357">
        <f t="shared" si="190"/>
        <v>48</v>
      </c>
      <c r="P606" s="357">
        <f t="shared" si="191"/>
        <v>7</v>
      </c>
      <c r="Q606" s="357">
        <f t="shared" si="192"/>
        <v>48</v>
      </c>
      <c r="R606" s="356">
        <f t="shared" si="206"/>
        <v>65299595.230135955</v>
      </c>
      <c r="S606" s="356">
        <f>+IF($G$4="mensual",S600,IF($G$4="trimestral",S600,IF($G$4="semestral",S600,0)))</f>
        <v>10000</v>
      </c>
      <c r="U606" s="356">
        <f t="shared" si="193"/>
        <v>520787.88371996756</v>
      </c>
      <c r="V606" s="359">
        <f t="shared" si="195"/>
        <v>-580.7821323448899</v>
      </c>
      <c r="X606" s="359">
        <f t="shared" si="194"/>
        <v>-76362.57070479935</v>
      </c>
      <c r="Y606" s="356">
        <f t="shared" si="198"/>
        <v>65753439.761018775</v>
      </c>
      <c r="AA606" s="357">
        <f>+Bono!J606</f>
        <v>746189.9201122397</v>
      </c>
      <c r="AC606" s="378">
        <f t="shared" si="199"/>
        <v>48.583333333333336</v>
      </c>
      <c r="AD606" s="356">
        <f t="shared" si="200"/>
        <v>67683642.97218795</v>
      </c>
    </row>
    <row r="607" spans="1:30" x14ac:dyDescent="0.25">
      <c r="A607" s="356">
        <f t="shared" si="201"/>
        <v>48.666666666666664</v>
      </c>
      <c r="B607" s="356">
        <f t="shared" si="202"/>
        <v>584</v>
      </c>
      <c r="C607" s="357">
        <f t="shared" si="187"/>
        <v>48</v>
      </c>
      <c r="D607" s="357">
        <f t="shared" si="188"/>
        <v>8</v>
      </c>
      <c r="E607" s="357">
        <f t="shared" si="189"/>
        <v>77</v>
      </c>
      <c r="F607" s="356">
        <f t="shared" si="203"/>
        <v>1184013.2910569357</v>
      </c>
      <c r="H607" s="356">
        <f t="shared" si="196"/>
        <v>9441.48825257651</v>
      </c>
      <c r="I607" s="356">
        <v>0</v>
      </c>
      <c r="J607" s="356">
        <v>0</v>
      </c>
      <c r="K607" s="356">
        <f t="shared" si="204"/>
        <v>-1384.407543999034</v>
      </c>
      <c r="L607" s="356">
        <f t="shared" si="197"/>
        <v>1192070.371765513</v>
      </c>
      <c r="N607" s="356">
        <f t="shared" si="205"/>
        <v>584</v>
      </c>
      <c r="O607" s="357">
        <f t="shared" si="190"/>
        <v>48</v>
      </c>
      <c r="P607" s="357">
        <f t="shared" si="191"/>
        <v>8</v>
      </c>
      <c r="Q607" s="357">
        <f t="shared" si="192"/>
        <v>48</v>
      </c>
      <c r="R607" s="356">
        <f t="shared" si="206"/>
        <v>65753439.761018775</v>
      </c>
      <c r="S607" s="356">
        <f>IF($G$4="mensual",S606,0)</f>
        <v>10000</v>
      </c>
      <c r="U607" s="356">
        <f t="shared" si="193"/>
        <v>524406.9037421171</v>
      </c>
      <c r="V607" s="359">
        <f t="shared" si="195"/>
        <v>-580.7821323448899</v>
      </c>
      <c r="X607" s="359">
        <f t="shared" si="194"/>
        <v>-76893.22842384911</v>
      </c>
      <c r="Y607" s="356">
        <f t="shared" si="198"/>
        <v>66210372.654204704</v>
      </c>
      <c r="AA607" s="357">
        <f>+Bono!J607</f>
        <v>750816.384169609</v>
      </c>
      <c r="AC607" s="378">
        <f t="shared" si="199"/>
        <v>48.666666666666664</v>
      </c>
      <c r="AD607" s="356">
        <f t="shared" si="200"/>
        <v>68153259.41013983</v>
      </c>
    </row>
    <row r="608" spans="1:30" x14ac:dyDescent="0.25">
      <c r="A608" s="356">
        <f t="shared" si="201"/>
        <v>48.75</v>
      </c>
      <c r="B608" s="356">
        <f t="shared" si="202"/>
        <v>585</v>
      </c>
      <c r="C608" s="357">
        <f t="shared" si="187"/>
        <v>48</v>
      </c>
      <c r="D608" s="357">
        <f t="shared" si="188"/>
        <v>9</v>
      </c>
      <c r="E608" s="357">
        <f t="shared" si="189"/>
        <v>77</v>
      </c>
      <c r="F608" s="356">
        <f t="shared" si="203"/>
        <v>1192070.371765513</v>
      </c>
      <c r="H608" s="356">
        <f t="shared" si="196"/>
        <v>9505.736545593718</v>
      </c>
      <c r="I608" s="356">
        <v>0</v>
      </c>
      <c r="J608" s="360">
        <f>-SUM(F608:H608)*$J$21*1.16</f>
        <v>-12544.454570767955</v>
      </c>
      <c r="K608" s="356">
        <f t="shared" si="204"/>
        <v>-1379.2767183387928</v>
      </c>
      <c r="L608" s="356">
        <f t="shared" si="197"/>
        <v>1187652.377022</v>
      </c>
      <c r="N608" s="356">
        <f t="shared" si="205"/>
        <v>585</v>
      </c>
      <c r="O608" s="357">
        <f t="shared" si="190"/>
        <v>48</v>
      </c>
      <c r="P608" s="357">
        <f t="shared" si="191"/>
        <v>9</v>
      </c>
      <c r="Q608" s="357">
        <f t="shared" si="192"/>
        <v>48</v>
      </c>
      <c r="R608" s="356">
        <f t="shared" si="206"/>
        <v>66210372.654204704</v>
      </c>
      <c r="S608" s="356">
        <f>IF($G$4="mensual",S607,0)</f>
        <v>10000</v>
      </c>
      <c r="U608" s="356">
        <f t="shared" si="193"/>
        <v>528050.550798967</v>
      </c>
      <c r="V608" s="359">
        <f t="shared" si="195"/>
        <v>-580.7821323448899</v>
      </c>
      <c r="X608" s="359">
        <f t="shared" si="194"/>
        <v>-77427.49721053074</v>
      </c>
      <c r="Y608" s="356">
        <f t="shared" si="198"/>
        <v>66670414.9256608</v>
      </c>
      <c r="AA608" s="357">
        <f>+Bono!J608</f>
        <v>748665.4829953584</v>
      </c>
      <c r="AC608" s="378">
        <f t="shared" si="199"/>
        <v>48.75</v>
      </c>
      <c r="AD608" s="356">
        <f t="shared" si="200"/>
        <v>68606732.78567815</v>
      </c>
    </row>
    <row r="609" spans="1:30" x14ac:dyDescent="0.25">
      <c r="A609" s="356">
        <f t="shared" si="201"/>
        <v>48.833333333333336</v>
      </c>
      <c r="B609" s="356">
        <f t="shared" si="202"/>
        <v>586</v>
      </c>
      <c r="C609" s="357">
        <f t="shared" si="187"/>
        <v>48</v>
      </c>
      <c r="D609" s="357">
        <f t="shared" si="188"/>
        <v>10</v>
      </c>
      <c r="E609" s="357">
        <f t="shared" si="189"/>
        <v>77</v>
      </c>
      <c r="F609" s="356">
        <f t="shared" si="203"/>
        <v>1187652.377022</v>
      </c>
      <c r="H609" s="356">
        <f t="shared" si="196"/>
        <v>9470.506835094786</v>
      </c>
      <c r="I609" s="356">
        <v>0</v>
      </c>
      <c r="J609" s="356">
        <v>0</v>
      </c>
      <c r="K609" s="356">
        <f t="shared" si="204"/>
        <v>-1388.6625452742298</v>
      </c>
      <c r="L609" s="356">
        <f t="shared" si="197"/>
        <v>1195734.2213118207</v>
      </c>
      <c r="N609" s="356">
        <f t="shared" si="205"/>
        <v>586</v>
      </c>
      <c r="O609" s="357">
        <f t="shared" si="190"/>
        <v>48</v>
      </c>
      <c r="P609" s="357">
        <f t="shared" si="191"/>
        <v>10</v>
      </c>
      <c r="Q609" s="357">
        <f t="shared" si="192"/>
        <v>48</v>
      </c>
      <c r="R609" s="356">
        <f t="shared" si="206"/>
        <v>66670414.9256608</v>
      </c>
      <c r="S609" s="356">
        <f>IF($G$4="mensual",S600,IF($G$4="trimestral",S600,0))</f>
        <v>10000</v>
      </c>
      <c r="U609" s="356">
        <f t="shared" si="193"/>
        <v>531718.9924747897</v>
      </c>
      <c r="V609" s="359">
        <f t="shared" si="195"/>
        <v>-580.7821323448899</v>
      </c>
      <c r="X609" s="359">
        <f t="shared" si="194"/>
        <v>-77965.40163776376</v>
      </c>
      <c r="Y609" s="356">
        <f t="shared" si="198"/>
        <v>67133587.73436548</v>
      </c>
      <c r="AA609" s="357">
        <f>+Bono!J609</f>
        <v>753307.2958297506</v>
      </c>
      <c r="AC609" s="378">
        <f t="shared" si="199"/>
        <v>48.833333333333336</v>
      </c>
      <c r="AD609" s="356">
        <f t="shared" si="200"/>
        <v>69082629.25150706</v>
      </c>
    </row>
    <row r="610" spans="1:30" x14ac:dyDescent="0.25">
      <c r="A610" s="356">
        <f t="shared" si="201"/>
        <v>48.916666666666664</v>
      </c>
      <c r="B610" s="356">
        <f t="shared" si="202"/>
        <v>587</v>
      </c>
      <c r="C610" s="357">
        <f t="shared" si="187"/>
        <v>48</v>
      </c>
      <c r="D610" s="357">
        <f t="shared" si="188"/>
        <v>11</v>
      </c>
      <c r="E610" s="357">
        <f t="shared" si="189"/>
        <v>77</v>
      </c>
      <c r="F610" s="356">
        <f t="shared" si="203"/>
        <v>1195734.2213118207</v>
      </c>
      <c r="H610" s="356">
        <f t="shared" si="196"/>
        <v>9534.95259638635</v>
      </c>
      <c r="I610" s="356">
        <v>0</v>
      </c>
      <c r="J610" s="356">
        <v>0</v>
      </c>
      <c r="K610" s="356">
        <f t="shared" si="204"/>
        <v>-1398.1122417335202</v>
      </c>
      <c r="L610" s="356">
        <f t="shared" si="197"/>
        <v>1203871.0616664735</v>
      </c>
      <c r="N610" s="356">
        <f t="shared" si="205"/>
        <v>587</v>
      </c>
      <c r="O610" s="357">
        <f t="shared" si="190"/>
        <v>48</v>
      </c>
      <c r="P610" s="357">
        <f t="shared" si="191"/>
        <v>11</v>
      </c>
      <c r="Q610" s="357">
        <f t="shared" si="192"/>
        <v>48</v>
      </c>
      <c r="R610" s="356">
        <f t="shared" si="206"/>
        <v>67133587.73436548</v>
      </c>
      <c r="S610" s="356">
        <f>IF($G$17="si",S598*(1+$G$20),S598)</f>
        <v>10000</v>
      </c>
      <c r="U610" s="356">
        <f t="shared" si="193"/>
        <v>535412.3974942507</v>
      </c>
      <c r="V610" s="359">
        <f t="shared" si="195"/>
        <v>-580.7821323448899</v>
      </c>
      <c r="X610" s="359">
        <f t="shared" si="194"/>
        <v>-78506.96644568378</v>
      </c>
      <c r="Y610" s="356">
        <f t="shared" si="198"/>
        <v>67599912.38328171</v>
      </c>
      <c r="AA610" s="357">
        <f>+Bono!J610</f>
        <v>757977.8884421331</v>
      </c>
      <c r="AC610" s="378">
        <f t="shared" si="199"/>
        <v>48.916666666666664</v>
      </c>
      <c r="AD610" s="356">
        <f t="shared" si="200"/>
        <v>69561761.33339031</v>
      </c>
    </row>
    <row r="611" spans="1:30" x14ac:dyDescent="0.25">
      <c r="A611" s="356">
        <f t="shared" si="201"/>
        <v>49</v>
      </c>
      <c r="B611" s="356">
        <f t="shared" si="202"/>
        <v>588</v>
      </c>
      <c r="C611" s="357">
        <f t="shared" si="187"/>
        <v>48</v>
      </c>
      <c r="D611" s="357">
        <f t="shared" si="188"/>
        <v>12</v>
      </c>
      <c r="E611" s="357">
        <f t="shared" si="189"/>
        <v>77</v>
      </c>
      <c r="F611" s="356">
        <f t="shared" si="203"/>
        <v>1203871.0616664735</v>
      </c>
      <c r="H611" s="356">
        <f t="shared" si="196"/>
        <v>9599.836904021924</v>
      </c>
      <c r="I611" s="356">
        <v>0</v>
      </c>
      <c r="J611" s="360">
        <f>-SUM(F611:H611)*$J$21*1.16</f>
        <v>-12668.636181075972</v>
      </c>
      <c r="K611" s="356">
        <f t="shared" si="204"/>
        <v>-1392.9306243717265</v>
      </c>
      <c r="L611" s="356">
        <f t="shared" si="197"/>
        <v>1199409.3317650477</v>
      </c>
      <c r="N611" s="356">
        <f t="shared" si="205"/>
        <v>588</v>
      </c>
      <c r="O611" s="357">
        <f t="shared" si="190"/>
        <v>48</v>
      </c>
      <c r="P611" s="357">
        <f t="shared" si="191"/>
        <v>12</v>
      </c>
      <c r="Q611" s="357">
        <f t="shared" si="192"/>
        <v>48</v>
      </c>
      <c r="R611" s="356">
        <f t="shared" si="206"/>
        <v>67599912.38328171</v>
      </c>
      <c r="S611" s="356">
        <f>IF($G$4="mensual",S610,0)</f>
        <v>10000</v>
      </c>
      <c r="U611" s="356">
        <f t="shared" si="193"/>
        <v>539130.9357301679</v>
      </c>
      <c r="V611" s="359">
        <f t="shared" si="195"/>
        <v>-580.7821323448899</v>
      </c>
      <c r="X611" s="359">
        <f t="shared" si="194"/>
        <v>-79052.21654278025</v>
      </c>
      <c r="Y611" s="356">
        <f t="shared" si="198"/>
        <v>68069410.32033676</v>
      </c>
      <c r="AA611" s="357">
        <f>+Bono!J611</f>
        <v>755806.471349112</v>
      </c>
      <c r="AC611" s="378">
        <f t="shared" si="199"/>
        <v>49</v>
      </c>
      <c r="AD611" s="356">
        <f t="shared" si="200"/>
        <v>70024626.1234509</v>
      </c>
    </row>
    <row r="612" spans="1:30" x14ac:dyDescent="0.25">
      <c r="A612" s="356">
        <f t="shared" si="201"/>
        <v>49.083333333333336</v>
      </c>
      <c r="B612" s="356">
        <f t="shared" si="202"/>
        <v>589</v>
      </c>
      <c r="C612" s="357">
        <f t="shared" ref="C612:C675" si="207">C600+1</f>
        <v>49</v>
      </c>
      <c r="D612" s="357">
        <f t="shared" ref="D612:D675" si="208">D600</f>
        <v>1</v>
      </c>
      <c r="E612" s="357">
        <f t="shared" ref="E612:E675" si="209">E600+1</f>
        <v>78</v>
      </c>
      <c r="F612" s="356">
        <f t="shared" si="203"/>
        <v>1199409.3317650477</v>
      </c>
      <c r="H612" s="356">
        <f t="shared" si="196"/>
        <v>9564.258443232115</v>
      </c>
      <c r="I612" s="356">
        <v>0</v>
      </c>
      <c r="J612" s="356">
        <v>0</v>
      </c>
      <c r="K612" s="356">
        <f t="shared" si="204"/>
        <v>-1402.4093646416047</v>
      </c>
      <c r="L612" s="356">
        <f t="shared" si="197"/>
        <v>1207571.1808436383</v>
      </c>
      <c r="N612" s="356">
        <f t="shared" si="205"/>
        <v>589</v>
      </c>
      <c r="O612" s="357">
        <f t="shared" ref="O612:O675" si="210">O600+1</f>
        <v>49</v>
      </c>
      <c r="P612" s="357">
        <f t="shared" ref="P612:P675" si="211">P600</f>
        <v>1</v>
      </c>
      <c r="Q612" s="357">
        <f t="shared" ref="Q612:Q675" si="212">Q600+1</f>
        <v>49</v>
      </c>
      <c r="R612" s="356">
        <f t="shared" si="206"/>
        <v>68069410.32033676</v>
      </c>
      <c r="S612" s="356">
        <f>IF($G$17="si",S600*(1+$G$20),S600)</f>
        <v>10000</v>
      </c>
      <c r="U612" s="356">
        <f t="shared" ref="U612:U675" si="213">SUM(R612:T612)*$G$8</f>
        <v>542874.7782113255</v>
      </c>
      <c r="V612" s="359">
        <f>V611*(1+$G$18)</f>
        <v>-604.0134176386855</v>
      </c>
      <c r="X612" s="359">
        <f t="shared" si="194"/>
        <v>-79601.15005875133</v>
      </c>
      <c r="Y612" s="356">
        <f t="shared" si="198"/>
        <v>68542079.9350717</v>
      </c>
      <c r="AA612" s="357">
        <f>+Bono!J612</f>
        <v>760492.559139601</v>
      </c>
      <c r="AC612" s="378">
        <f t="shared" si="199"/>
        <v>49.083333333333336</v>
      </c>
      <c r="AD612" s="356">
        <f t="shared" si="200"/>
        <v>70510143.67505494</v>
      </c>
    </row>
    <row r="613" spans="1:30" x14ac:dyDescent="0.25">
      <c r="A613" s="356">
        <f t="shared" si="201"/>
        <v>49.166666666666664</v>
      </c>
      <c r="B613" s="356">
        <f t="shared" si="202"/>
        <v>590</v>
      </c>
      <c r="C613" s="357">
        <f t="shared" si="207"/>
        <v>49</v>
      </c>
      <c r="D613" s="357">
        <f t="shared" si="208"/>
        <v>2</v>
      </c>
      <c r="E613" s="357">
        <f t="shared" si="209"/>
        <v>78</v>
      </c>
      <c r="F613" s="356">
        <f t="shared" si="203"/>
        <v>1207571.1808436383</v>
      </c>
      <c r="H613" s="356">
        <f t="shared" si="196"/>
        <v>9629.342173944315</v>
      </c>
      <c r="I613" s="356">
        <v>0</v>
      </c>
      <c r="J613" s="356">
        <v>0</v>
      </c>
      <c r="K613" s="356">
        <f t="shared" si="204"/>
        <v>-1411.9526067003956</v>
      </c>
      <c r="L613" s="356">
        <f t="shared" si="197"/>
        <v>1215788.5704108821</v>
      </c>
      <c r="N613" s="356">
        <f t="shared" si="205"/>
        <v>590</v>
      </c>
      <c r="O613" s="357">
        <f t="shared" si="210"/>
        <v>49</v>
      </c>
      <c r="P613" s="357">
        <f t="shared" si="211"/>
        <v>2</v>
      </c>
      <c r="Q613" s="357">
        <f t="shared" si="212"/>
        <v>49</v>
      </c>
      <c r="R613" s="356">
        <f t="shared" si="206"/>
        <v>68542079.9350717</v>
      </c>
      <c r="S613" s="356">
        <f>IF($G$4="mensual",S612,0)</f>
        <v>10000</v>
      </c>
      <c r="U613" s="356">
        <f t="shared" si="213"/>
        <v>546643.9120956978</v>
      </c>
      <c r="V613" s="359">
        <f t="shared" si="195"/>
        <v>-604.0134176386855</v>
      </c>
      <c r="X613" s="359">
        <f t="shared" si="194"/>
        <v>-80153.81900714974</v>
      </c>
      <c r="Y613" s="356">
        <f t="shared" si="198"/>
        <v>69017966.01474263</v>
      </c>
      <c r="AA613" s="357">
        <f>+Bono!J613</f>
        <v>765207.7012179435</v>
      </c>
      <c r="AC613" s="378">
        <f t="shared" si="199"/>
        <v>49.166666666666664</v>
      </c>
      <c r="AD613" s="356">
        <f t="shared" si="200"/>
        <v>70998962.28637145</v>
      </c>
    </row>
    <row r="614" spans="1:30" x14ac:dyDescent="0.25">
      <c r="A614" s="356">
        <f t="shared" si="201"/>
        <v>49.25</v>
      </c>
      <c r="B614" s="356">
        <f t="shared" si="202"/>
        <v>591</v>
      </c>
      <c r="C614" s="357">
        <f t="shared" si="207"/>
        <v>49</v>
      </c>
      <c r="D614" s="357">
        <f t="shared" si="208"/>
        <v>3</v>
      </c>
      <c r="E614" s="357">
        <f t="shared" si="209"/>
        <v>78</v>
      </c>
      <c r="F614" s="356">
        <f t="shared" si="203"/>
        <v>1215788.5704108821</v>
      </c>
      <c r="H614" s="356">
        <f t="shared" si="196"/>
        <v>9694.868792312525</v>
      </c>
      <c r="I614" s="356">
        <v>0</v>
      </c>
      <c r="J614" s="360">
        <f>-SUM(F614:H614)*$J$21*1.16</f>
        <v>-12794.047105281352</v>
      </c>
      <c r="K614" s="356">
        <f t="shared" si="204"/>
        <v>-1406.7196948335793</v>
      </c>
      <c r="L614" s="356">
        <f t="shared" si="197"/>
        <v>1211282.6724030797</v>
      </c>
      <c r="N614" s="356">
        <f t="shared" si="205"/>
        <v>591</v>
      </c>
      <c r="O614" s="357">
        <f t="shared" si="210"/>
        <v>49</v>
      </c>
      <c r="P614" s="357">
        <f t="shared" si="211"/>
        <v>3</v>
      </c>
      <c r="Q614" s="357">
        <f t="shared" si="212"/>
        <v>49</v>
      </c>
      <c r="R614" s="356">
        <f t="shared" si="206"/>
        <v>69017966.01474263</v>
      </c>
      <c r="S614" s="356">
        <f>IF($G$4="mensual",S613,0)</f>
        <v>10000</v>
      </c>
      <c r="U614" s="356">
        <f t="shared" si="213"/>
        <v>550438.6945231543</v>
      </c>
      <c r="V614" s="359">
        <f t="shared" si="195"/>
        <v>-604.0134176386855</v>
      </c>
      <c r="X614" s="359">
        <f t="shared" si="194"/>
        <v>-80710.24880718386</v>
      </c>
      <c r="Y614" s="356">
        <f t="shared" si="198"/>
        <v>69497090.44704098</v>
      </c>
      <c r="AA614" s="357">
        <f>+Bono!J614</f>
        <v>763015.5725193727</v>
      </c>
      <c r="AC614" s="378">
        <f t="shared" si="199"/>
        <v>49.25</v>
      </c>
      <c r="AD614" s="356">
        <f t="shared" si="200"/>
        <v>71471388.69196343</v>
      </c>
    </row>
    <row r="615" spans="1:30" x14ac:dyDescent="0.25">
      <c r="A615" s="356">
        <f t="shared" si="201"/>
        <v>49.333333333333336</v>
      </c>
      <c r="B615" s="356">
        <f t="shared" si="202"/>
        <v>592</v>
      </c>
      <c r="C615" s="357">
        <f t="shared" si="207"/>
        <v>49</v>
      </c>
      <c r="D615" s="357">
        <f t="shared" si="208"/>
        <v>4</v>
      </c>
      <c r="E615" s="357">
        <f t="shared" si="209"/>
        <v>78</v>
      </c>
      <c r="F615" s="356">
        <f t="shared" si="203"/>
        <v>1211282.6724030797</v>
      </c>
      <c r="H615" s="356">
        <f t="shared" si="196"/>
        <v>9658.93812883999</v>
      </c>
      <c r="I615" s="356">
        <v>0</v>
      </c>
      <c r="J615" s="356">
        <v>0</v>
      </c>
      <c r="K615" s="356">
        <f t="shared" si="204"/>
        <v>-1416.2922682170267</v>
      </c>
      <c r="L615" s="356">
        <f t="shared" si="197"/>
        <v>1219525.3182637026</v>
      </c>
      <c r="N615" s="356">
        <f t="shared" si="205"/>
        <v>592</v>
      </c>
      <c r="O615" s="357">
        <f t="shared" si="210"/>
        <v>49</v>
      </c>
      <c r="P615" s="357">
        <f t="shared" si="211"/>
        <v>4</v>
      </c>
      <c r="Q615" s="357">
        <f t="shared" si="212"/>
        <v>49</v>
      </c>
      <c r="R615" s="356">
        <f t="shared" si="206"/>
        <v>69497090.44704098</v>
      </c>
      <c r="S615" s="356">
        <f>IF($G$4="mensual",S612,IF($G$4="trimestral",S612,0))</f>
        <v>10000</v>
      </c>
      <c r="U615" s="356">
        <f t="shared" si="213"/>
        <v>554259.3000292201</v>
      </c>
      <c r="V615" s="359">
        <f t="shared" si="195"/>
        <v>-604.0134176386855</v>
      </c>
      <c r="X615" s="359">
        <f t="shared" si="194"/>
        <v>-81270.46505103697</v>
      </c>
      <c r="Y615" s="356">
        <f t="shared" si="198"/>
        <v>69979475.26860152</v>
      </c>
      <c r="AA615" s="357">
        <f>+Bono!J615</f>
        <v>767746.3575733212</v>
      </c>
      <c r="AC615" s="378">
        <f t="shared" si="199"/>
        <v>49.333333333333336</v>
      </c>
      <c r="AD615" s="356">
        <f t="shared" si="200"/>
        <v>71966746.94443855</v>
      </c>
    </row>
    <row r="616" spans="1:30" x14ac:dyDescent="0.25">
      <c r="A616" s="356">
        <f t="shared" si="201"/>
        <v>49.416666666666664</v>
      </c>
      <c r="B616" s="356">
        <f t="shared" si="202"/>
        <v>593</v>
      </c>
      <c r="C616" s="357">
        <f t="shared" si="207"/>
        <v>49</v>
      </c>
      <c r="D616" s="357">
        <f t="shared" si="208"/>
        <v>5</v>
      </c>
      <c r="E616" s="357">
        <f t="shared" si="209"/>
        <v>78</v>
      </c>
      <c r="F616" s="356">
        <f t="shared" si="203"/>
        <v>1219525.3182637026</v>
      </c>
      <c r="H616" s="356">
        <f t="shared" si="196"/>
        <v>9724.66614443832</v>
      </c>
      <c r="I616" s="356">
        <v>0</v>
      </c>
      <c r="J616" s="356">
        <v>0</v>
      </c>
      <c r="K616" s="356">
        <f t="shared" si="204"/>
        <v>-1425.9299819134435</v>
      </c>
      <c r="L616" s="356">
        <f t="shared" si="197"/>
        <v>1227824.0544262275</v>
      </c>
      <c r="N616" s="356">
        <f t="shared" si="205"/>
        <v>593</v>
      </c>
      <c r="O616" s="357">
        <f t="shared" si="210"/>
        <v>49</v>
      </c>
      <c r="P616" s="357">
        <f t="shared" si="211"/>
        <v>5</v>
      </c>
      <c r="Q616" s="357">
        <f t="shared" si="212"/>
        <v>49</v>
      </c>
      <c r="R616" s="356">
        <f t="shared" si="206"/>
        <v>69979475.26860152</v>
      </c>
      <c r="S616" s="356">
        <f>IF($G$4="mensual",S615,0)</f>
        <v>10000</v>
      </c>
      <c r="U616" s="356">
        <f t="shared" si="213"/>
        <v>558105.9043371156</v>
      </c>
      <c r="V616" s="359">
        <f t="shared" si="195"/>
        <v>-604.0134176386855</v>
      </c>
      <c r="X616" s="359">
        <f t="shared" si="194"/>
        <v>-81834.49350504437</v>
      </c>
      <c r="Y616" s="356">
        <f t="shared" si="198"/>
        <v>70465142.66601597</v>
      </c>
      <c r="AA616" s="357">
        <f>+Bono!J616</f>
        <v>772506.4740433414</v>
      </c>
      <c r="AC616" s="378">
        <f t="shared" si="199"/>
        <v>49.416666666666664</v>
      </c>
      <c r="AD616" s="356">
        <f t="shared" si="200"/>
        <v>72465473.19448553</v>
      </c>
    </row>
    <row r="617" spans="1:30" x14ac:dyDescent="0.25">
      <c r="A617" s="356">
        <f t="shared" si="201"/>
        <v>49.5</v>
      </c>
      <c r="B617" s="356">
        <f t="shared" si="202"/>
        <v>594</v>
      </c>
      <c r="C617" s="357">
        <f t="shared" si="207"/>
        <v>49</v>
      </c>
      <c r="D617" s="357">
        <f t="shared" si="208"/>
        <v>6</v>
      </c>
      <c r="E617" s="357">
        <f t="shared" si="209"/>
        <v>78</v>
      </c>
      <c r="F617" s="356">
        <f t="shared" si="203"/>
        <v>1227824.0544262275</v>
      </c>
      <c r="H617" s="356">
        <f t="shared" si="196"/>
        <v>9790.841431980716</v>
      </c>
      <c r="I617" s="356">
        <v>0</v>
      </c>
      <c r="J617" s="360">
        <f>-SUM(F617:H617)*$J$21*1.16</f>
        <v>-12920.699512759695</v>
      </c>
      <c r="K617" s="356">
        <f t="shared" si="204"/>
        <v>-1420.6452677607201</v>
      </c>
      <c r="L617" s="356">
        <f t="shared" si="197"/>
        <v>1223273.5510776879</v>
      </c>
      <c r="N617" s="356">
        <f t="shared" si="205"/>
        <v>594</v>
      </c>
      <c r="O617" s="357">
        <f t="shared" si="210"/>
        <v>49</v>
      </c>
      <c r="P617" s="357">
        <f t="shared" si="211"/>
        <v>6</v>
      </c>
      <c r="Q617" s="357">
        <f t="shared" si="212"/>
        <v>49</v>
      </c>
      <c r="R617" s="356">
        <f t="shared" si="206"/>
        <v>70465142.66601597</v>
      </c>
      <c r="S617" s="356">
        <f>IF($G$4="mensual",S616,0)</f>
        <v>10000</v>
      </c>
      <c r="U617" s="356">
        <f t="shared" si="213"/>
        <v>561978.6843658385</v>
      </c>
      <c r="V617" s="359">
        <f t="shared" si="195"/>
        <v>-604.0134176386855</v>
      </c>
      <c r="X617" s="359">
        <f t="shared" si="194"/>
        <v>-82402.36011087844</v>
      </c>
      <c r="Y617" s="356">
        <f t="shared" si="198"/>
        <v>70954114.9768533</v>
      </c>
      <c r="AA617" s="357">
        <f>+Bono!J617</f>
        <v>770293.4361859246</v>
      </c>
      <c r="AC617" s="378">
        <f t="shared" si="199"/>
        <v>49.5</v>
      </c>
      <c r="AD617" s="356">
        <f t="shared" si="200"/>
        <v>72947681.96411692</v>
      </c>
    </row>
    <row r="618" spans="1:30" x14ac:dyDescent="0.25">
      <c r="A618" s="356">
        <f t="shared" si="201"/>
        <v>49.583333333333336</v>
      </c>
      <c r="B618" s="356">
        <f t="shared" si="202"/>
        <v>595</v>
      </c>
      <c r="C618" s="357">
        <f t="shared" si="207"/>
        <v>49</v>
      </c>
      <c r="D618" s="357">
        <f t="shared" si="208"/>
        <v>7</v>
      </c>
      <c r="E618" s="357">
        <f t="shared" si="209"/>
        <v>78</v>
      </c>
      <c r="F618" s="356">
        <f t="shared" si="203"/>
        <v>1223273.5510776879</v>
      </c>
      <c r="H618" s="356">
        <f t="shared" si="196"/>
        <v>9754.555079257265</v>
      </c>
      <c r="I618" s="356">
        <v>0</v>
      </c>
      <c r="J618" s="356">
        <v>0</v>
      </c>
      <c r="K618" s="356">
        <f t="shared" si="204"/>
        <v>-1430.3126031420566</v>
      </c>
      <c r="L618" s="356">
        <f t="shared" si="197"/>
        <v>1231597.793553803</v>
      </c>
      <c r="N618" s="356">
        <f t="shared" si="205"/>
        <v>595</v>
      </c>
      <c r="O618" s="357">
        <f t="shared" si="210"/>
        <v>49</v>
      </c>
      <c r="P618" s="357">
        <f t="shared" si="211"/>
        <v>7</v>
      </c>
      <c r="Q618" s="357">
        <f t="shared" si="212"/>
        <v>49</v>
      </c>
      <c r="R618" s="356">
        <f t="shared" si="206"/>
        <v>70954114.9768533</v>
      </c>
      <c r="S618" s="356">
        <f>+IF($G$4="mensual",S612,IF($G$4="trimestral",S612,IF($G$4="semestral",S612,0)))</f>
        <v>10000</v>
      </c>
      <c r="U618" s="356">
        <f t="shared" si="213"/>
        <v>565877.818238301</v>
      </c>
      <c r="V618" s="359">
        <f t="shared" si="195"/>
        <v>-604.0134176386855</v>
      </c>
      <c r="X618" s="359">
        <f t="shared" si="194"/>
        <v>-82974.09098674181</v>
      </c>
      <c r="Y618" s="356">
        <f t="shared" si="198"/>
        <v>71446414.69068722</v>
      </c>
      <c r="AA618" s="357">
        <f>+Bono!J618</f>
        <v>775069.3448387857</v>
      </c>
      <c r="AC618" s="378">
        <f t="shared" si="199"/>
        <v>49.583333333333336</v>
      </c>
      <c r="AD618" s="356">
        <f t="shared" si="200"/>
        <v>73453081.8290798</v>
      </c>
    </row>
    <row r="619" spans="1:30" x14ac:dyDescent="0.25">
      <c r="A619" s="356">
        <f t="shared" si="201"/>
        <v>49.666666666666664</v>
      </c>
      <c r="B619" s="356">
        <f t="shared" si="202"/>
        <v>596</v>
      </c>
      <c r="C619" s="357">
        <f t="shared" si="207"/>
        <v>49</v>
      </c>
      <c r="D619" s="357">
        <f t="shared" si="208"/>
        <v>8</v>
      </c>
      <c r="E619" s="357">
        <f t="shared" si="209"/>
        <v>78</v>
      </c>
      <c r="F619" s="356">
        <f t="shared" si="203"/>
        <v>1231597.793553803</v>
      </c>
      <c r="H619" s="356">
        <f t="shared" si="196"/>
        <v>9820.933757726054</v>
      </c>
      <c r="I619" s="356">
        <v>0</v>
      </c>
      <c r="J619" s="356">
        <v>0</v>
      </c>
      <c r="K619" s="356">
        <f t="shared" si="204"/>
        <v>-1440.0457236813738</v>
      </c>
      <c r="L619" s="356">
        <f t="shared" si="197"/>
        <v>1239978.6815878479</v>
      </c>
      <c r="N619" s="356">
        <f t="shared" si="205"/>
        <v>596</v>
      </c>
      <c r="O619" s="357">
        <f t="shared" si="210"/>
        <v>49</v>
      </c>
      <c r="P619" s="357">
        <f t="shared" si="211"/>
        <v>8</v>
      </c>
      <c r="Q619" s="357">
        <f t="shared" si="212"/>
        <v>49</v>
      </c>
      <c r="R619" s="356">
        <f t="shared" si="206"/>
        <v>71446414.69068722</v>
      </c>
      <c r="S619" s="356">
        <f>IF($G$4="mensual",S618,0)</f>
        <v>10000</v>
      </c>
      <c r="U619" s="356">
        <f t="shared" si="213"/>
        <v>569803.4852895219</v>
      </c>
      <c r="V619" s="359">
        <f t="shared" si="195"/>
        <v>-604.0134176386855</v>
      </c>
      <c r="X619" s="359">
        <f t="shared" ref="X619:X682" si="214">-SUM(R619:V619)*0.1%*1.16</f>
        <v>-83549.71242856859</v>
      </c>
      <c r="Y619" s="356">
        <f t="shared" si="198"/>
        <v>71942064.45013055</v>
      </c>
      <c r="AA619" s="357">
        <f>+Bono!J619</f>
        <v>779874.8646792657</v>
      </c>
      <c r="AC619" s="378">
        <f t="shared" si="199"/>
        <v>49.666666666666664</v>
      </c>
      <c r="AD619" s="356">
        <f t="shared" si="200"/>
        <v>73961917.99639766</v>
      </c>
    </row>
    <row r="620" spans="1:30" x14ac:dyDescent="0.25">
      <c r="A620" s="356">
        <f t="shared" si="201"/>
        <v>49.75</v>
      </c>
      <c r="B620" s="356">
        <f t="shared" si="202"/>
        <v>597</v>
      </c>
      <c r="C620" s="357">
        <f t="shared" si="207"/>
        <v>49</v>
      </c>
      <c r="D620" s="357">
        <f t="shared" si="208"/>
        <v>9</v>
      </c>
      <c r="E620" s="357">
        <f t="shared" si="209"/>
        <v>78</v>
      </c>
      <c r="F620" s="356">
        <f t="shared" si="203"/>
        <v>1239978.6815878479</v>
      </c>
      <c r="H620" s="356">
        <f t="shared" si="196"/>
        <v>9887.764135828445</v>
      </c>
      <c r="I620" s="356">
        <v>0</v>
      </c>
      <c r="J620" s="360">
        <f>-SUM(F620:H620)*$J$21*1.16</f>
        <v>-13048.605693355183</v>
      </c>
      <c r="K620" s="356">
        <f t="shared" si="204"/>
        <v>-1434.7086944351724</v>
      </c>
      <c r="L620" s="356">
        <f t="shared" si="197"/>
        <v>1235383.131335886</v>
      </c>
      <c r="N620" s="356">
        <f t="shared" si="205"/>
        <v>597</v>
      </c>
      <c r="O620" s="357">
        <f t="shared" si="210"/>
        <v>49</v>
      </c>
      <c r="P620" s="357">
        <f t="shared" si="211"/>
        <v>9</v>
      </c>
      <c r="Q620" s="357">
        <f t="shared" si="212"/>
        <v>49</v>
      </c>
      <c r="R620" s="356">
        <f t="shared" si="206"/>
        <v>71942064.45013055</v>
      </c>
      <c r="S620" s="356">
        <f>IF($G$4="mensual",S619,0)</f>
        <v>10000</v>
      </c>
      <c r="U620" s="356">
        <f t="shared" si="213"/>
        <v>573755.8660748753</v>
      </c>
      <c r="V620" s="359">
        <f t="shared" si="195"/>
        <v>-604.0134176386855</v>
      </c>
      <c r="X620" s="359">
        <f t="shared" si="214"/>
        <v>-84129.25091123384</v>
      </c>
      <c r="Y620" s="356">
        <f t="shared" si="198"/>
        <v>72441087.05187656</v>
      </c>
      <c r="AA620" s="357">
        <f>+Bono!J620</f>
        <v>777640.7182253861</v>
      </c>
      <c r="AC620" s="378">
        <f t="shared" si="199"/>
        <v>49.75</v>
      </c>
      <c r="AD620" s="356">
        <f t="shared" si="200"/>
        <v>74454110.90143783</v>
      </c>
    </row>
    <row r="621" spans="1:30" x14ac:dyDescent="0.25">
      <c r="A621" s="356">
        <f t="shared" si="201"/>
        <v>49.833333333333336</v>
      </c>
      <c r="B621" s="356">
        <f t="shared" si="202"/>
        <v>598</v>
      </c>
      <c r="C621" s="357">
        <f t="shared" si="207"/>
        <v>49</v>
      </c>
      <c r="D621" s="357">
        <f t="shared" si="208"/>
        <v>10</v>
      </c>
      <c r="E621" s="357">
        <f t="shared" si="209"/>
        <v>78</v>
      </c>
      <c r="F621" s="356">
        <f t="shared" si="203"/>
        <v>1235383.131335886</v>
      </c>
      <c r="H621" s="356">
        <f t="shared" si="196"/>
        <v>9851.118572771216</v>
      </c>
      <c r="I621" s="356">
        <v>0</v>
      </c>
      <c r="J621" s="356">
        <v>0</v>
      </c>
      <c r="K621" s="356">
        <f t="shared" si="204"/>
        <v>-1444.4717298940425</v>
      </c>
      <c r="L621" s="356">
        <f t="shared" si="197"/>
        <v>1243789.7781787633</v>
      </c>
      <c r="N621" s="356">
        <f t="shared" si="205"/>
        <v>598</v>
      </c>
      <c r="O621" s="357">
        <f t="shared" si="210"/>
        <v>49</v>
      </c>
      <c r="P621" s="357">
        <f t="shared" si="211"/>
        <v>10</v>
      </c>
      <c r="Q621" s="357">
        <f t="shared" si="212"/>
        <v>49</v>
      </c>
      <c r="R621" s="356">
        <f t="shared" si="206"/>
        <v>72441087.05187656</v>
      </c>
      <c r="S621" s="356">
        <f>IF($G$4="mensual",S612,IF($G$4="trimestral",S612,0))</f>
        <v>10000</v>
      </c>
      <c r="U621" s="356">
        <f t="shared" si="213"/>
        <v>577735.142378395</v>
      </c>
      <c r="V621" s="359">
        <f t="shared" si="195"/>
        <v>-604.0134176386855</v>
      </c>
      <c r="X621" s="359">
        <f t="shared" si="214"/>
        <v>-84712.73308977128</v>
      </c>
      <c r="Y621" s="356">
        <f t="shared" si="198"/>
        <v>72943505.44774754</v>
      </c>
      <c r="AA621" s="357">
        <f>+Bono!J621</f>
        <v>782462.1808791237</v>
      </c>
      <c r="AC621" s="378">
        <f t="shared" si="199"/>
        <v>49.833333333333336</v>
      </c>
      <c r="AD621" s="356">
        <f t="shared" si="200"/>
        <v>74969757.40680544</v>
      </c>
    </row>
    <row r="622" spans="1:30" x14ac:dyDescent="0.25">
      <c r="A622" s="356">
        <f t="shared" si="201"/>
        <v>49.916666666666664</v>
      </c>
      <c r="B622" s="356">
        <f t="shared" si="202"/>
        <v>599</v>
      </c>
      <c r="C622" s="357">
        <f t="shared" si="207"/>
        <v>49</v>
      </c>
      <c r="D622" s="357">
        <f t="shared" si="208"/>
        <v>11</v>
      </c>
      <c r="E622" s="357">
        <f t="shared" si="209"/>
        <v>78</v>
      </c>
      <c r="F622" s="356">
        <f t="shared" si="203"/>
        <v>1243789.7781787633</v>
      </c>
      <c r="H622" s="356">
        <f t="shared" si="196"/>
        <v>9918.154355232522</v>
      </c>
      <c r="I622" s="356">
        <v>0</v>
      </c>
      <c r="J622" s="356">
        <v>0</v>
      </c>
      <c r="K622" s="356">
        <f t="shared" si="204"/>
        <v>-1454.3012017394353</v>
      </c>
      <c r="L622" s="356">
        <f t="shared" si="197"/>
        <v>1252253.6313322566</v>
      </c>
      <c r="N622" s="356">
        <f t="shared" si="205"/>
        <v>599</v>
      </c>
      <c r="O622" s="357">
        <f t="shared" si="210"/>
        <v>49</v>
      </c>
      <c r="P622" s="357">
        <f t="shared" si="211"/>
        <v>11</v>
      </c>
      <c r="Q622" s="357">
        <f t="shared" si="212"/>
        <v>49</v>
      </c>
      <c r="R622" s="356">
        <f t="shared" si="206"/>
        <v>72943505.44774754</v>
      </c>
      <c r="S622" s="356">
        <f>IF($G$17="si",S610*(1+$G$20),S610)</f>
        <v>10000</v>
      </c>
      <c r="U622" s="356">
        <f t="shared" si="213"/>
        <v>581741.4972211347</v>
      </c>
      <c r="V622" s="359">
        <f t="shared" si="195"/>
        <v>-604.0134176386855</v>
      </c>
      <c r="X622" s="359">
        <f t="shared" si="214"/>
        <v>-85300.18580059923</v>
      </c>
      <c r="Y622" s="356">
        <f t="shared" si="198"/>
        <v>73449342.74575046</v>
      </c>
      <c r="AA622" s="357">
        <f>+Bono!J622</f>
        <v>787313.5371605696</v>
      </c>
      <c r="AC622" s="378">
        <f t="shared" si="199"/>
        <v>49.916666666666664</v>
      </c>
      <c r="AD622" s="356">
        <f t="shared" si="200"/>
        <v>75488909.9142433</v>
      </c>
    </row>
    <row r="623" spans="1:30" x14ac:dyDescent="0.25">
      <c r="A623" s="356">
        <f t="shared" si="201"/>
        <v>50</v>
      </c>
      <c r="B623" s="356">
        <f t="shared" si="202"/>
        <v>600</v>
      </c>
      <c r="C623" s="357">
        <f t="shared" si="207"/>
        <v>49</v>
      </c>
      <c r="D623" s="357">
        <f t="shared" si="208"/>
        <v>12</v>
      </c>
      <c r="E623" s="357">
        <f t="shared" si="209"/>
        <v>78</v>
      </c>
      <c r="F623" s="356">
        <f t="shared" si="203"/>
        <v>1252253.6313322566</v>
      </c>
      <c r="H623" s="356">
        <f t="shared" si="196"/>
        <v>9985.646308848098</v>
      </c>
      <c r="I623" s="356">
        <v>0</v>
      </c>
      <c r="J623" s="360">
        <f>-SUM(F623:H623)*$J$21*1.16</f>
        <v>-13177.778058573136</v>
      </c>
      <c r="K623" s="356">
        <f t="shared" si="204"/>
        <v>-1448.9113395157367</v>
      </c>
      <c r="L623" s="356">
        <f t="shared" si="197"/>
        <v>1247612.5882430158</v>
      </c>
      <c r="N623" s="356">
        <f t="shared" si="205"/>
        <v>600</v>
      </c>
      <c r="O623" s="357">
        <f t="shared" si="210"/>
        <v>49</v>
      </c>
      <c r="P623" s="357">
        <f t="shared" si="211"/>
        <v>12</v>
      </c>
      <c r="Q623" s="357">
        <f t="shared" si="212"/>
        <v>49</v>
      </c>
      <c r="R623" s="356">
        <f t="shared" si="206"/>
        <v>73449342.74575046</v>
      </c>
      <c r="S623" s="356">
        <f>IF($G$4="mensual",S622,0)</f>
        <v>10000</v>
      </c>
      <c r="U623" s="356">
        <f t="shared" si="213"/>
        <v>585775.1148695871</v>
      </c>
      <c r="V623" s="359">
        <f t="shared" si="195"/>
        <v>-604.0134176386855</v>
      </c>
      <c r="X623" s="359">
        <f t="shared" si="214"/>
        <v>-85891.63606275481</v>
      </c>
      <c r="Y623" s="356">
        <f t="shared" si="198"/>
        <v>73958622.21113966</v>
      </c>
      <c r="AA623" s="357">
        <f>+Bono!J623</f>
        <v>785058.0807703164</v>
      </c>
      <c r="AC623" s="378">
        <f t="shared" si="199"/>
        <v>50</v>
      </c>
      <c r="AD623" s="356">
        <f t="shared" si="200"/>
        <v>75991292.880153</v>
      </c>
    </row>
    <row r="624" spans="1:30" x14ac:dyDescent="0.25">
      <c r="A624" s="356">
        <f t="shared" si="201"/>
        <v>50.083333333333336</v>
      </c>
      <c r="B624" s="356">
        <f t="shared" si="202"/>
        <v>601</v>
      </c>
      <c r="C624" s="357">
        <f t="shared" si="207"/>
        <v>50</v>
      </c>
      <c r="D624" s="357">
        <f t="shared" si="208"/>
        <v>1</v>
      </c>
      <c r="E624" s="357">
        <f t="shared" si="209"/>
        <v>79</v>
      </c>
      <c r="F624" s="356">
        <f t="shared" si="203"/>
        <v>1247612.5882430158</v>
      </c>
      <c r="H624" s="356">
        <f t="shared" si="196"/>
        <v>9948.637979517898</v>
      </c>
      <c r="I624" s="356">
        <v>0</v>
      </c>
      <c r="J624" s="356">
        <v>0</v>
      </c>
      <c r="K624" s="356">
        <f t="shared" si="204"/>
        <v>-1458.7710224181392</v>
      </c>
      <c r="L624" s="356">
        <f t="shared" si="197"/>
        <v>1256102.4552001157</v>
      </c>
      <c r="N624" s="356">
        <f t="shared" si="205"/>
        <v>601</v>
      </c>
      <c r="O624" s="357">
        <f t="shared" si="210"/>
        <v>50</v>
      </c>
      <c r="P624" s="357">
        <f t="shared" si="211"/>
        <v>1</v>
      </c>
      <c r="Q624" s="357">
        <f t="shared" si="212"/>
        <v>50</v>
      </c>
      <c r="R624" s="356">
        <f t="shared" si="206"/>
        <v>73958622.21113966</v>
      </c>
      <c r="S624" s="356">
        <f>IF($G$17="si",S612*(1+$G$20),S612)</f>
        <v>10000</v>
      </c>
      <c r="U624" s="356">
        <f t="shared" si="213"/>
        <v>589836.1808441577</v>
      </c>
      <c r="V624" s="359">
        <f>V623*(1+$G$18)</f>
        <v>-628.1739543442329</v>
      </c>
      <c r="X624" s="359">
        <f t="shared" si="214"/>
        <v>-86487.0830529142</v>
      </c>
      <c r="Y624" s="356">
        <f t="shared" si="198"/>
        <v>74471343.13497657</v>
      </c>
      <c r="AA624" s="357">
        <f>+Bono!J624</f>
        <v>789925.5319321934</v>
      </c>
      <c r="AC624" s="378">
        <f t="shared" si="199"/>
        <v>50.083333333333336</v>
      </c>
      <c r="AD624" s="356">
        <f t="shared" si="200"/>
        <v>76517371.12210888</v>
      </c>
    </row>
    <row r="625" spans="1:30" x14ac:dyDescent="0.25">
      <c r="A625" s="356">
        <f t="shared" si="201"/>
        <v>50.166666666666664</v>
      </c>
      <c r="B625" s="356">
        <f t="shared" si="202"/>
        <v>602</v>
      </c>
      <c r="C625" s="357">
        <f t="shared" si="207"/>
        <v>50</v>
      </c>
      <c r="D625" s="357">
        <f t="shared" si="208"/>
        <v>2</v>
      </c>
      <c r="E625" s="357">
        <f t="shared" si="209"/>
        <v>79</v>
      </c>
      <c r="F625" s="356">
        <f t="shared" si="203"/>
        <v>1256102.4552001157</v>
      </c>
      <c r="H625" s="356">
        <f t="shared" si="196"/>
        <v>10016.337370856521</v>
      </c>
      <c r="I625" s="356">
        <v>0</v>
      </c>
      <c r="J625" s="356">
        <v>0</v>
      </c>
      <c r="K625" s="356">
        <f t="shared" si="204"/>
        <v>-1468.6977993823275</v>
      </c>
      <c r="L625" s="356">
        <f t="shared" si="197"/>
        <v>1264650.0947715899</v>
      </c>
      <c r="N625" s="356">
        <f t="shared" si="205"/>
        <v>602</v>
      </c>
      <c r="O625" s="357">
        <f t="shared" si="210"/>
        <v>50</v>
      </c>
      <c r="P625" s="357">
        <f t="shared" si="211"/>
        <v>2</v>
      </c>
      <c r="Q625" s="357">
        <f t="shared" si="212"/>
        <v>50</v>
      </c>
      <c r="R625" s="356">
        <f t="shared" si="206"/>
        <v>74471343.13497657</v>
      </c>
      <c r="S625" s="356">
        <f>IF($G$4="mensual",S624,0)</f>
        <v>10000</v>
      </c>
      <c r="U625" s="356">
        <f t="shared" si="213"/>
        <v>593924.6894916705</v>
      </c>
      <c r="V625" s="359">
        <f t="shared" si="195"/>
        <v>-628.1739543442329</v>
      </c>
      <c r="X625" s="359">
        <f t="shared" si="214"/>
        <v>-87086.58199459611</v>
      </c>
      <c r="Y625" s="356">
        <f t="shared" si="198"/>
        <v>74987553.06851931</v>
      </c>
      <c r="AA625" s="357">
        <f>+Bono!J625</f>
        <v>794823.1618558635</v>
      </c>
      <c r="AC625" s="378">
        <f t="shared" si="199"/>
        <v>50.166666666666664</v>
      </c>
      <c r="AD625" s="356">
        <f t="shared" si="200"/>
        <v>77047026.32514676</v>
      </c>
    </row>
    <row r="626" spans="1:30" x14ac:dyDescent="0.25">
      <c r="A626" s="356">
        <f t="shared" si="201"/>
        <v>50.25</v>
      </c>
      <c r="B626" s="356">
        <f t="shared" si="202"/>
        <v>603</v>
      </c>
      <c r="C626" s="357">
        <f t="shared" si="207"/>
        <v>50</v>
      </c>
      <c r="D626" s="357">
        <f t="shared" si="208"/>
        <v>3</v>
      </c>
      <c r="E626" s="357">
        <f t="shared" si="209"/>
        <v>79</v>
      </c>
      <c r="F626" s="356">
        <f t="shared" si="203"/>
        <v>1264650.0947715899</v>
      </c>
      <c r="H626" s="356">
        <f t="shared" si="196"/>
        <v>10084.497449135111</v>
      </c>
      <c r="I626" s="356">
        <v>0</v>
      </c>
      <c r="J626" s="360">
        <f>-SUM(F626:H626)*$J$21*1.16</f>
        <v>-13308.22914278437</v>
      </c>
      <c r="K626" s="356">
        <f t="shared" si="204"/>
        <v>-1463.2545811704113</v>
      </c>
      <c r="L626" s="356">
        <f t="shared" si="197"/>
        <v>1259963.1084967703</v>
      </c>
      <c r="N626" s="356">
        <f t="shared" si="205"/>
        <v>603</v>
      </c>
      <c r="O626" s="357">
        <f t="shared" si="210"/>
        <v>50</v>
      </c>
      <c r="P626" s="357">
        <f t="shared" si="211"/>
        <v>3</v>
      </c>
      <c r="Q626" s="357">
        <f t="shared" si="212"/>
        <v>50</v>
      </c>
      <c r="R626" s="356">
        <f t="shared" si="206"/>
        <v>74987553.06851931</v>
      </c>
      <c r="S626" s="356">
        <f>IF($G$4="mensual",S625,0)</f>
        <v>10000</v>
      </c>
      <c r="U626" s="356">
        <f t="shared" si="213"/>
        <v>598041.0199925354</v>
      </c>
      <c r="V626" s="359">
        <f t="shared" si="195"/>
        <v>-628.1739543442329</v>
      </c>
      <c r="X626" s="359">
        <f t="shared" si="214"/>
        <v>-87690.16046088669</v>
      </c>
      <c r="Y626" s="356">
        <f t="shared" si="198"/>
        <v>75507275.75409661</v>
      </c>
      <c r="AA626" s="357">
        <f>+Bono!J626</f>
        <v>792546.1922688877</v>
      </c>
      <c r="AC626" s="378">
        <f t="shared" si="199"/>
        <v>50.25</v>
      </c>
      <c r="AD626" s="356">
        <f t="shared" si="200"/>
        <v>77559785.05486228</v>
      </c>
    </row>
    <row r="627" spans="1:30" x14ac:dyDescent="0.25">
      <c r="A627" s="356">
        <f t="shared" si="201"/>
        <v>50.333333333333336</v>
      </c>
      <c r="B627" s="356">
        <f t="shared" si="202"/>
        <v>604</v>
      </c>
      <c r="C627" s="357">
        <f t="shared" si="207"/>
        <v>50</v>
      </c>
      <c r="D627" s="357">
        <f t="shared" si="208"/>
        <v>4</v>
      </c>
      <c r="E627" s="357">
        <f t="shared" si="209"/>
        <v>79</v>
      </c>
      <c r="F627" s="356">
        <f t="shared" si="203"/>
        <v>1259963.1084967703</v>
      </c>
      <c r="H627" s="356">
        <f t="shared" si="196"/>
        <v>10047.122762391356</v>
      </c>
      <c r="I627" s="356">
        <v>0</v>
      </c>
      <c r="J627" s="356">
        <v>0</v>
      </c>
      <c r="K627" s="356">
        <f t="shared" si="204"/>
        <v>-1473.2118682606274</v>
      </c>
      <c r="L627" s="356">
        <f t="shared" si="197"/>
        <v>1268537.019390901</v>
      </c>
      <c r="N627" s="356">
        <f t="shared" si="205"/>
        <v>604</v>
      </c>
      <c r="O627" s="357">
        <f t="shared" si="210"/>
        <v>50</v>
      </c>
      <c r="P627" s="357">
        <f t="shared" si="211"/>
        <v>4</v>
      </c>
      <c r="Q627" s="357">
        <f t="shared" si="212"/>
        <v>50</v>
      </c>
      <c r="R627" s="356">
        <f t="shared" si="206"/>
        <v>75507275.75409661</v>
      </c>
      <c r="S627" s="356">
        <f>IF($G$4="mensual",S624,IF($G$4="trimestral",S624,0))</f>
        <v>10000</v>
      </c>
      <c r="U627" s="356">
        <f t="shared" si="213"/>
        <v>602185.3616714159</v>
      </c>
      <c r="V627" s="359">
        <f t="shared" si="195"/>
        <v>-628.1739543442329</v>
      </c>
      <c r="X627" s="359">
        <f t="shared" si="214"/>
        <v>-88297.8462125039</v>
      </c>
      <c r="Y627" s="356">
        <f t="shared" si="198"/>
        <v>76030535.09560119</v>
      </c>
      <c r="AA627" s="357">
        <f>+Bono!J627</f>
        <v>797460.0705906231</v>
      </c>
      <c r="AC627" s="378">
        <f t="shared" si="199"/>
        <v>50.333333333333336</v>
      </c>
      <c r="AD627" s="356">
        <f t="shared" si="200"/>
        <v>78096532.18558271</v>
      </c>
    </row>
    <row r="628" spans="1:30" x14ac:dyDescent="0.25">
      <c r="A628" s="356">
        <f t="shared" si="201"/>
        <v>50.416666666666664</v>
      </c>
      <c r="B628" s="356">
        <f t="shared" si="202"/>
        <v>605</v>
      </c>
      <c r="C628" s="357">
        <f t="shared" si="207"/>
        <v>50</v>
      </c>
      <c r="D628" s="357">
        <f t="shared" si="208"/>
        <v>5</v>
      </c>
      <c r="E628" s="357">
        <f t="shared" si="209"/>
        <v>79</v>
      </c>
      <c r="F628" s="356">
        <f t="shared" si="203"/>
        <v>1268537.019390901</v>
      </c>
      <c r="H628" s="356">
        <f t="shared" si="196"/>
        <v>10115.492331886062</v>
      </c>
      <c r="I628" s="356">
        <v>0</v>
      </c>
      <c r="J628" s="356">
        <v>0</v>
      </c>
      <c r="K628" s="356">
        <f t="shared" si="204"/>
        <v>-1483.236913598433</v>
      </c>
      <c r="L628" s="356">
        <f t="shared" si="197"/>
        <v>1277169.2748091887</v>
      </c>
      <c r="N628" s="356">
        <f t="shared" si="205"/>
        <v>605</v>
      </c>
      <c r="O628" s="357">
        <f t="shared" si="210"/>
        <v>50</v>
      </c>
      <c r="P628" s="357">
        <f t="shared" si="211"/>
        <v>5</v>
      </c>
      <c r="Q628" s="357">
        <f t="shared" si="212"/>
        <v>50</v>
      </c>
      <c r="R628" s="356">
        <f t="shared" si="206"/>
        <v>76030535.09560119</v>
      </c>
      <c r="S628" s="356">
        <f>IF($G$4="mensual",S627,0)</f>
        <v>10000</v>
      </c>
      <c r="U628" s="356">
        <f t="shared" si="213"/>
        <v>606357.905141309</v>
      </c>
      <c r="V628" s="359">
        <f t="shared" si="195"/>
        <v>-628.1739543442329</v>
      </c>
      <c r="X628" s="359">
        <f t="shared" si="214"/>
        <v>-88909.66719907426</v>
      </c>
      <c r="Y628" s="356">
        <f t="shared" si="198"/>
        <v>76557355.15958908</v>
      </c>
      <c r="AA628" s="357">
        <f>+Bono!J628</f>
        <v>802404.4155279278</v>
      </c>
      <c r="AC628" s="378">
        <f t="shared" si="199"/>
        <v>50.416666666666664</v>
      </c>
      <c r="AD628" s="356">
        <f t="shared" si="200"/>
        <v>78636928.84992619</v>
      </c>
    </row>
    <row r="629" spans="1:30" x14ac:dyDescent="0.25">
      <c r="A629" s="356">
        <f t="shared" si="201"/>
        <v>50.5</v>
      </c>
      <c r="B629" s="356">
        <f t="shared" si="202"/>
        <v>606</v>
      </c>
      <c r="C629" s="357">
        <f t="shared" si="207"/>
        <v>50</v>
      </c>
      <c r="D629" s="357">
        <f t="shared" si="208"/>
        <v>6</v>
      </c>
      <c r="E629" s="357">
        <f t="shared" si="209"/>
        <v>79</v>
      </c>
      <c r="F629" s="356">
        <f t="shared" si="203"/>
        <v>1277169.2748091887</v>
      </c>
      <c r="H629" s="356">
        <f t="shared" si="196"/>
        <v>10184.327148809652</v>
      </c>
      <c r="I629" s="356">
        <v>0</v>
      </c>
      <c r="J629" s="360">
        <f>-SUM(F629:H629)*$J$21*1.16</f>
        <v>-13439.971604441502</v>
      </c>
      <c r="K629" s="356">
        <f t="shared" si="204"/>
        <v>-1477.7398112101257</v>
      </c>
      <c r="L629" s="356">
        <f t="shared" si="197"/>
        <v>1272435.8905423465</v>
      </c>
      <c r="N629" s="356">
        <f t="shared" si="205"/>
        <v>606</v>
      </c>
      <c r="O629" s="357">
        <f t="shared" si="210"/>
        <v>50</v>
      </c>
      <c r="P629" s="357">
        <f t="shared" si="211"/>
        <v>6</v>
      </c>
      <c r="Q629" s="357">
        <f t="shared" si="212"/>
        <v>50</v>
      </c>
      <c r="R629" s="356">
        <f t="shared" si="206"/>
        <v>76557355.15958908</v>
      </c>
      <c r="S629" s="356">
        <f>IF($G$4="mensual",S628,0)</f>
        <v>10000</v>
      </c>
      <c r="U629" s="356">
        <f t="shared" si="213"/>
        <v>610558.8423123126</v>
      </c>
      <c r="V629" s="359">
        <f t="shared" si="195"/>
        <v>-628.1739543442329</v>
      </c>
      <c r="X629" s="359">
        <f t="shared" si="214"/>
        <v>-89525.65156041857</v>
      </c>
      <c r="Y629" s="356">
        <f t="shared" si="198"/>
        <v>77087760.17638662</v>
      </c>
      <c r="AA629" s="357">
        <f>+Bono!J629</f>
        <v>800105.727545124</v>
      </c>
      <c r="AC629" s="378">
        <f t="shared" si="199"/>
        <v>50.5</v>
      </c>
      <c r="AD629" s="356">
        <f t="shared" si="200"/>
        <v>79160301.7944741</v>
      </c>
    </row>
    <row r="630" spans="1:30" x14ac:dyDescent="0.25">
      <c r="A630" s="356">
        <f t="shared" si="201"/>
        <v>50.583333333333336</v>
      </c>
      <c r="B630" s="356">
        <f t="shared" si="202"/>
        <v>607</v>
      </c>
      <c r="C630" s="357">
        <f t="shared" si="207"/>
        <v>50</v>
      </c>
      <c r="D630" s="357">
        <f t="shared" si="208"/>
        <v>7</v>
      </c>
      <c r="E630" s="357">
        <f t="shared" si="209"/>
        <v>79</v>
      </c>
      <c r="F630" s="356">
        <f t="shared" si="203"/>
        <v>1272435.8905423465</v>
      </c>
      <c r="H630" s="356">
        <f t="shared" si="196"/>
        <v>10146.58247796189</v>
      </c>
      <c r="I630" s="356">
        <v>0</v>
      </c>
      <c r="J630" s="356">
        <v>0</v>
      </c>
      <c r="K630" s="356">
        <f t="shared" si="204"/>
        <v>-1487.7956687035578</v>
      </c>
      <c r="L630" s="356">
        <f t="shared" si="197"/>
        <v>1281094.677351605</v>
      </c>
      <c r="N630" s="356">
        <f t="shared" si="205"/>
        <v>607</v>
      </c>
      <c r="O630" s="357">
        <f t="shared" si="210"/>
        <v>50</v>
      </c>
      <c r="P630" s="357">
        <f t="shared" si="211"/>
        <v>7</v>
      </c>
      <c r="Q630" s="357">
        <f t="shared" si="212"/>
        <v>50</v>
      </c>
      <c r="R630" s="356">
        <f t="shared" si="206"/>
        <v>77087760.17638662</v>
      </c>
      <c r="S630" s="356">
        <f>+IF($G$4="mensual",S624,IF($G$4="trimestral",S624,IF($G$4="semestral",S624,0)))</f>
        <v>10000</v>
      </c>
      <c r="U630" s="356">
        <f t="shared" si="213"/>
        <v>614788.3664004512</v>
      </c>
      <c r="V630" s="359">
        <f t="shared" si="195"/>
        <v>-628.1739543442329</v>
      </c>
      <c r="X630" s="359">
        <f t="shared" si="214"/>
        <v>-90145.82762784597</v>
      </c>
      <c r="Y630" s="356">
        <f t="shared" si="198"/>
        <v>77621774.54120488</v>
      </c>
      <c r="AA630" s="357">
        <f>+Bono!J630</f>
        <v>805066.4758624239</v>
      </c>
      <c r="AC630" s="378">
        <f t="shared" si="199"/>
        <v>50.583333333333336</v>
      </c>
      <c r="AD630" s="356">
        <f t="shared" si="200"/>
        <v>79707935.69441892</v>
      </c>
    </row>
    <row r="631" spans="1:30" x14ac:dyDescent="0.25">
      <c r="A631" s="356">
        <f t="shared" si="201"/>
        <v>50.666666666666664</v>
      </c>
      <c r="B631" s="356">
        <f t="shared" si="202"/>
        <v>608</v>
      </c>
      <c r="C631" s="357">
        <f t="shared" si="207"/>
        <v>50</v>
      </c>
      <c r="D631" s="357">
        <f t="shared" si="208"/>
        <v>8</v>
      </c>
      <c r="E631" s="357">
        <f t="shared" si="209"/>
        <v>79</v>
      </c>
      <c r="F631" s="356">
        <f t="shared" si="203"/>
        <v>1281094.677351605</v>
      </c>
      <c r="H631" s="356">
        <f t="shared" si="196"/>
        <v>10215.628859922856</v>
      </c>
      <c r="I631" s="356">
        <v>0</v>
      </c>
      <c r="J631" s="356">
        <v>0</v>
      </c>
      <c r="K631" s="356">
        <f t="shared" si="204"/>
        <v>-1497.919955205372</v>
      </c>
      <c r="L631" s="356">
        <f t="shared" si="197"/>
        <v>1289812.3862563223</v>
      </c>
      <c r="N631" s="356">
        <f t="shared" si="205"/>
        <v>608</v>
      </c>
      <c r="O631" s="357">
        <f t="shared" si="210"/>
        <v>50</v>
      </c>
      <c r="P631" s="357">
        <f t="shared" si="211"/>
        <v>8</v>
      </c>
      <c r="Q631" s="357">
        <f t="shared" si="212"/>
        <v>50</v>
      </c>
      <c r="R631" s="356">
        <f t="shared" si="206"/>
        <v>77621774.54120488</v>
      </c>
      <c r="S631" s="356">
        <f>IF($G$4="mensual",S630,0)</f>
        <v>10000</v>
      </c>
      <c r="U631" s="356">
        <f t="shared" si="213"/>
        <v>619046.6719365638</v>
      </c>
      <c r="V631" s="359">
        <f t="shared" si="195"/>
        <v>-628.1739543442329</v>
      </c>
      <c r="X631" s="359">
        <f t="shared" si="214"/>
        <v>-90770.22392545703</v>
      </c>
      <c r="Y631" s="356">
        <f t="shared" si="198"/>
        <v>78159422.81526165</v>
      </c>
      <c r="AA631" s="357">
        <f>+Bono!J631</f>
        <v>810057.9813947022</v>
      </c>
      <c r="AC631" s="378">
        <f t="shared" si="199"/>
        <v>50.666666666666664</v>
      </c>
      <c r="AD631" s="356">
        <f t="shared" si="200"/>
        <v>80259293.18291268</v>
      </c>
    </row>
    <row r="632" spans="1:30" x14ac:dyDescent="0.25">
      <c r="A632" s="356">
        <f t="shared" si="201"/>
        <v>50.75</v>
      </c>
      <c r="B632" s="356">
        <f t="shared" si="202"/>
        <v>609</v>
      </c>
      <c r="C632" s="357">
        <f t="shared" si="207"/>
        <v>50</v>
      </c>
      <c r="D632" s="357">
        <f t="shared" si="208"/>
        <v>9</v>
      </c>
      <c r="E632" s="357">
        <f t="shared" si="209"/>
        <v>79</v>
      </c>
      <c r="F632" s="356">
        <f t="shared" si="203"/>
        <v>1289812.3862563223</v>
      </c>
      <c r="H632" s="356">
        <f t="shared" si="196"/>
        <v>10285.145094947376</v>
      </c>
      <c r="I632" s="356">
        <v>0</v>
      </c>
      <c r="J632" s="360">
        <f>-SUM(F632:H632)*$J$21*1.16</f>
        <v>-13573.018227307257</v>
      </c>
      <c r="K632" s="356">
        <f t="shared" si="204"/>
        <v>-1492.3684352237963</v>
      </c>
      <c r="L632" s="356">
        <f t="shared" si="197"/>
        <v>1285032.1446887385</v>
      </c>
      <c r="N632" s="356">
        <f t="shared" si="205"/>
        <v>609</v>
      </c>
      <c r="O632" s="357">
        <f t="shared" si="210"/>
        <v>50</v>
      </c>
      <c r="P632" s="357">
        <f t="shared" si="211"/>
        <v>9</v>
      </c>
      <c r="Q632" s="357">
        <f t="shared" si="212"/>
        <v>50</v>
      </c>
      <c r="R632" s="356">
        <f t="shared" si="206"/>
        <v>78159422.81526165</v>
      </c>
      <c r="S632" s="356">
        <f>IF($G$4="mensual",S631,0)</f>
        <v>10000</v>
      </c>
      <c r="U632" s="356">
        <f t="shared" si="213"/>
        <v>623333.9547752502</v>
      </c>
      <c r="V632" s="359">
        <f t="shared" si="195"/>
        <v>-628.1739543442329</v>
      </c>
      <c r="X632" s="359">
        <f t="shared" si="214"/>
        <v>-91398.86917145575</v>
      </c>
      <c r="Y632" s="356">
        <f t="shared" si="198"/>
        <v>78700729.7269111</v>
      </c>
      <c r="AA632" s="357">
        <f>+Bono!J632</f>
        <v>807737.3678597166</v>
      </c>
      <c r="AC632" s="378">
        <f t="shared" si="199"/>
        <v>50.75</v>
      </c>
      <c r="AD632" s="356">
        <f t="shared" si="200"/>
        <v>80793499.23945956</v>
      </c>
    </row>
    <row r="633" spans="1:30" x14ac:dyDescent="0.25">
      <c r="A633" s="356">
        <f t="shared" si="201"/>
        <v>50.833333333333336</v>
      </c>
      <c r="B633" s="356">
        <f t="shared" si="202"/>
        <v>610</v>
      </c>
      <c r="C633" s="357">
        <f t="shared" si="207"/>
        <v>50</v>
      </c>
      <c r="D633" s="357">
        <f t="shared" si="208"/>
        <v>10</v>
      </c>
      <c r="E633" s="357">
        <f t="shared" si="209"/>
        <v>79</v>
      </c>
      <c r="F633" s="356">
        <f t="shared" si="203"/>
        <v>1285032.1446887385</v>
      </c>
      <c r="H633" s="356">
        <f t="shared" si="196"/>
        <v>10247.026777403382</v>
      </c>
      <c r="I633" s="356">
        <v>0</v>
      </c>
      <c r="J633" s="356">
        <v>0</v>
      </c>
      <c r="K633" s="356">
        <f t="shared" si="204"/>
        <v>-1502.5238389007245</v>
      </c>
      <c r="L633" s="356">
        <f t="shared" si="197"/>
        <v>1293776.6476272412</v>
      </c>
      <c r="N633" s="356">
        <f t="shared" si="205"/>
        <v>610</v>
      </c>
      <c r="O633" s="357">
        <f t="shared" si="210"/>
        <v>50</v>
      </c>
      <c r="P633" s="357">
        <f t="shared" si="211"/>
        <v>10</v>
      </c>
      <c r="Q633" s="357">
        <f t="shared" si="212"/>
        <v>50</v>
      </c>
      <c r="R633" s="356">
        <f t="shared" si="206"/>
        <v>78700729.7269111</v>
      </c>
      <c r="S633" s="356">
        <f>IF($G$4="mensual",S624,IF($G$4="trimestral",S624,0))</f>
        <v>10000</v>
      </c>
      <c r="U633" s="356">
        <f t="shared" si="213"/>
        <v>627650.4121038791</v>
      </c>
      <c r="V633" s="359">
        <f t="shared" si="195"/>
        <v>-628.1739543442329</v>
      </c>
      <c r="X633" s="359">
        <f t="shared" si="214"/>
        <v>-92031.79227947033</v>
      </c>
      <c r="Y633" s="356">
        <f t="shared" si="198"/>
        <v>79245720.17278117</v>
      </c>
      <c r="AA633" s="357">
        <f>+Bono!J633</f>
        <v>812745.4332321825</v>
      </c>
      <c r="AC633" s="378">
        <f t="shared" si="199"/>
        <v>50.833333333333336</v>
      </c>
      <c r="AD633" s="356">
        <f t="shared" si="200"/>
        <v>81352242.25364059</v>
      </c>
    </row>
    <row r="634" spans="1:30" x14ac:dyDescent="0.25">
      <c r="A634" s="356">
        <f t="shared" si="201"/>
        <v>50.916666666666664</v>
      </c>
      <c r="B634" s="356">
        <f t="shared" si="202"/>
        <v>611</v>
      </c>
      <c r="C634" s="357">
        <f t="shared" si="207"/>
        <v>50</v>
      </c>
      <c r="D634" s="357">
        <f t="shared" si="208"/>
        <v>11</v>
      </c>
      <c r="E634" s="357">
        <f t="shared" si="209"/>
        <v>79</v>
      </c>
      <c r="F634" s="356">
        <f t="shared" si="203"/>
        <v>1293776.6476272412</v>
      </c>
      <c r="H634" s="356">
        <f t="shared" si="196"/>
        <v>10316.756671815963</v>
      </c>
      <c r="I634" s="356">
        <v>0</v>
      </c>
      <c r="J634" s="356">
        <v>0</v>
      </c>
      <c r="K634" s="356">
        <f t="shared" si="204"/>
        <v>-1512.7483489869062</v>
      </c>
      <c r="L634" s="356">
        <f t="shared" si="197"/>
        <v>1302580.6559500701</v>
      </c>
      <c r="N634" s="356">
        <f t="shared" si="205"/>
        <v>611</v>
      </c>
      <c r="O634" s="357">
        <f t="shared" si="210"/>
        <v>50</v>
      </c>
      <c r="P634" s="357">
        <f t="shared" si="211"/>
        <v>11</v>
      </c>
      <c r="Q634" s="357">
        <f t="shared" si="212"/>
        <v>50</v>
      </c>
      <c r="R634" s="356">
        <f t="shared" si="206"/>
        <v>79245720.17278117</v>
      </c>
      <c r="S634" s="356">
        <f>IF($G$17="si",S622*(1+$G$20),S622)</f>
        <v>10000</v>
      </c>
      <c r="U634" s="356">
        <f t="shared" si="213"/>
        <v>631996.242451658</v>
      </c>
      <c r="V634" s="359">
        <f t="shared" si="195"/>
        <v>-628.1739543442329</v>
      </c>
      <c r="X634" s="359">
        <f t="shared" si="214"/>
        <v>-92669.02235988303</v>
      </c>
      <c r="Y634" s="356">
        <f t="shared" si="198"/>
        <v>79794419.2189186</v>
      </c>
      <c r="AA634" s="357">
        <f>+Bono!J634</f>
        <v>817784.5491908573</v>
      </c>
      <c r="AC634" s="378">
        <f t="shared" si="199"/>
        <v>50.916666666666664</v>
      </c>
      <c r="AD634" s="356">
        <f t="shared" si="200"/>
        <v>81914784.42405954</v>
      </c>
    </row>
    <row r="635" spans="1:30" x14ac:dyDescent="0.25">
      <c r="A635" s="356">
        <f t="shared" si="201"/>
        <v>51</v>
      </c>
      <c r="B635" s="356">
        <f t="shared" si="202"/>
        <v>612</v>
      </c>
      <c r="C635" s="357">
        <f t="shared" si="207"/>
        <v>50</v>
      </c>
      <c r="D635" s="357">
        <f t="shared" si="208"/>
        <v>12</v>
      </c>
      <c r="E635" s="357">
        <f t="shared" si="209"/>
        <v>79</v>
      </c>
      <c r="F635" s="356">
        <f t="shared" si="203"/>
        <v>1302580.6559500701</v>
      </c>
      <c r="H635" s="356">
        <f t="shared" si="196"/>
        <v>10386.961070519439</v>
      </c>
      <c r="I635" s="356">
        <v>0</v>
      </c>
      <c r="J635" s="360">
        <f>-SUM(F635:H635)*$J$21*1.16</f>
        <v>-13707.381921694954</v>
      </c>
      <c r="K635" s="356">
        <f t="shared" si="204"/>
        <v>-1507.141872714718</v>
      </c>
      <c r="L635" s="356">
        <f t="shared" si="197"/>
        <v>1297753.09322618</v>
      </c>
      <c r="N635" s="356">
        <f t="shared" si="205"/>
        <v>612</v>
      </c>
      <c r="O635" s="357">
        <f t="shared" si="210"/>
        <v>50</v>
      </c>
      <c r="P635" s="357">
        <f t="shared" si="211"/>
        <v>12</v>
      </c>
      <c r="Q635" s="357">
        <f t="shared" si="212"/>
        <v>50</v>
      </c>
      <c r="R635" s="356">
        <f t="shared" si="206"/>
        <v>79794419.2189186</v>
      </c>
      <c r="S635" s="356">
        <f>IF($G$4="mensual",S634,0)</f>
        <v>10000</v>
      </c>
      <c r="U635" s="356">
        <f t="shared" si="213"/>
        <v>636371.6456987634</v>
      </c>
      <c r="V635" s="359">
        <f t="shared" si="195"/>
        <v>-628.1739543442329</v>
      </c>
      <c r="X635" s="359">
        <f t="shared" si="214"/>
        <v>-93310.58872116912</v>
      </c>
      <c r="Y635" s="356">
        <f t="shared" si="198"/>
        <v>80346852.10194187</v>
      </c>
      <c r="AA635" s="357">
        <f>+Bono!J635</f>
        <v>815441.8009714189</v>
      </c>
      <c r="AC635" s="378">
        <f t="shared" si="199"/>
        <v>51</v>
      </c>
      <c r="AD635" s="356">
        <f t="shared" si="200"/>
        <v>82460046.99613947</v>
      </c>
    </row>
    <row r="636" spans="1:30" x14ac:dyDescent="0.25">
      <c r="A636" s="356">
        <f t="shared" si="201"/>
        <v>51.083333333333336</v>
      </c>
      <c r="B636" s="356">
        <f t="shared" si="202"/>
        <v>613</v>
      </c>
      <c r="C636" s="357">
        <f t="shared" si="207"/>
        <v>51</v>
      </c>
      <c r="D636" s="357">
        <f t="shared" si="208"/>
        <v>1</v>
      </c>
      <c r="E636" s="357">
        <f t="shared" si="209"/>
        <v>80</v>
      </c>
      <c r="F636" s="356">
        <f t="shared" si="203"/>
        <v>1297753.09322618</v>
      </c>
      <c r="H636" s="356">
        <f t="shared" si="196"/>
        <v>10348.465407429798</v>
      </c>
      <c r="I636" s="356">
        <v>0</v>
      </c>
      <c r="J636" s="356">
        <v>0</v>
      </c>
      <c r="K636" s="356">
        <f t="shared" si="204"/>
        <v>-1517.3978080149873</v>
      </c>
      <c r="L636" s="356">
        <f t="shared" si="197"/>
        <v>1306584.1608255948</v>
      </c>
      <c r="N636" s="356">
        <f t="shared" si="205"/>
        <v>613</v>
      </c>
      <c r="O636" s="357">
        <f t="shared" si="210"/>
        <v>51</v>
      </c>
      <c r="P636" s="357">
        <f t="shared" si="211"/>
        <v>1</v>
      </c>
      <c r="Q636" s="357">
        <f t="shared" si="212"/>
        <v>51</v>
      </c>
      <c r="R636" s="356">
        <f t="shared" si="206"/>
        <v>80346852.10194187</v>
      </c>
      <c r="S636" s="356">
        <f>IF($G$17="si",S624*(1+$G$20),S624)</f>
        <v>10000</v>
      </c>
      <c r="U636" s="356">
        <f t="shared" si="213"/>
        <v>640776.8230855351</v>
      </c>
      <c r="V636" s="359">
        <f>V635*(1+$G$18)</f>
        <v>-653.3009125180023</v>
      </c>
      <c r="X636" s="359">
        <f t="shared" si="214"/>
        <v>-93956.49172397326</v>
      </c>
      <c r="Y636" s="356">
        <f t="shared" si="198"/>
        <v>80903019.13239092</v>
      </c>
      <c r="AA636" s="357">
        <f>+Bono!J636</f>
        <v>820497.6347228362</v>
      </c>
      <c r="AC636" s="378">
        <f t="shared" si="199"/>
        <v>51.083333333333336</v>
      </c>
      <c r="AD636" s="356">
        <f t="shared" si="200"/>
        <v>83030100.92793934</v>
      </c>
    </row>
    <row r="637" spans="1:30" x14ac:dyDescent="0.25">
      <c r="A637" s="356">
        <f t="shared" si="201"/>
        <v>51.166666666666664</v>
      </c>
      <c r="B637" s="356">
        <f t="shared" si="202"/>
        <v>614</v>
      </c>
      <c r="C637" s="357">
        <f t="shared" si="207"/>
        <v>51</v>
      </c>
      <c r="D637" s="357">
        <f t="shared" si="208"/>
        <v>2</v>
      </c>
      <c r="E637" s="357">
        <f t="shared" si="209"/>
        <v>80</v>
      </c>
      <c r="F637" s="356">
        <f t="shared" si="203"/>
        <v>1306584.1608255948</v>
      </c>
      <c r="H637" s="356">
        <f t="shared" si="196"/>
        <v>10418.885580604674</v>
      </c>
      <c r="I637" s="356">
        <v>0</v>
      </c>
      <c r="J637" s="356">
        <v>0</v>
      </c>
      <c r="K637" s="356">
        <f t="shared" si="204"/>
        <v>-1527.7235338311914</v>
      </c>
      <c r="L637" s="356">
        <f t="shared" si="197"/>
        <v>1315475.3228723682</v>
      </c>
      <c r="N637" s="356">
        <f t="shared" si="205"/>
        <v>614</v>
      </c>
      <c r="O637" s="357">
        <f t="shared" si="210"/>
        <v>51</v>
      </c>
      <c r="P637" s="357">
        <f t="shared" si="211"/>
        <v>2</v>
      </c>
      <c r="Q637" s="357">
        <f t="shared" si="212"/>
        <v>51</v>
      </c>
      <c r="R637" s="356">
        <f t="shared" si="206"/>
        <v>80903019.13239092</v>
      </c>
      <c r="S637" s="356">
        <f>IF($G$4="mensual",S636,0)</f>
        <v>10000</v>
      </c>
      <c r="U637" s="356">
        <f t="shared" si="213"/>
        <v>645211.7770882621</v>
      </c>
      <c r="V637" s="359">
        <f t="shared" si="195"/>
        <v>-653.3009125180023</v>
      </c>
      <c r="X637" s="359">
        <f t="shared" si="214"/>
        <v>-94606.79002593731</v>
      </c>
      <c r="Y637" s="356">
        <f t="shared" si="198"/>
        <v>81462970.81854072</v>
      </c>
      <c r="AA637" s="357">
        <f>+Bono!J637</f>
        <v>825584.8152299527</v>
      </c>
      <c r="AC637" s="378">
        <f t="shared" si="199"/>
        <v>51.166666666666664</v>
      </c>
      <c r="AD637" s="356">
        <f t="shared" si="200"/>
        <v>83604030.95664304</v>
      </c>
    </row>
    <row r="638" spans="1:30" x14ac:dyDescent="0.25">
      <c r="A638" s="356">
        <f t="shared" si="201"/>
        <v>51.25</v>
      </c>
      <c r="B638" s="356">
        <f t="shared" si="202"/>
        <v>615</v>
      </c>
      <c r="C638" s="357">
        <f t="shared" si="207"/>
        <v>51</v>
      </c>
      <c r="D638" s="357">
        <f t="shared" si="208"/>
        <v>3</v>
      </c>
      <c r="E638" s="357">
        <f t="shared" si="209"/>
        <v>80</v>
      </c>
      <c r="F638" s="356">
        <f t="shared" si="203"/>
        <v>1315475.3228723682</v>
      </c>
      <c r="H638" s="356">
        <f t="shared" si="196"/>
        <v>10489.784955341784</v>
      </c>
      <c r="I638" s="356">
        <v>0</v>
      </c>
      <c r="J638" s="360">
        <f>-SUM(F638:H638)*$J$21*1.16</f>
        <v>-13843.075725721292</v>
      </c>
      <c r="K638" s="356">
        <f t="shared" si="204"/>
        <v>-1522.061557238307</v>
      </c>
      <c r="L638" s="356">
        <f t="shared" si="197"/>
        <v>1310599.9705447506</v>
      </c>
      <c r="N638" s="356">
        <f t="shared" si="205"/>
        <v>615</v>
      </c>
      <c r="O638" s="357">
        <f t="shared" si="210"/>
        <v>51</v>
      </c>
      <c r="P638" s="357">
        <f t="shared" si="211"/>
        <v>3</v>
      </c>
      <c r="Q638" s="357">
        <f t="shared" si="212"/>
        <v>51</v>
      </c>
      <c r="R638" s="356">
        <f t="shared" si="206"/>
        <v>81462970.81854072</v>
      </c>
      <c r="S638" s="356">
        <f>IF($G$4="mensual",S637,0)</f>
        <v>10000</v>
      </c>
      <c r="U638" s="356">
        <f t="shared" si="213"/>
        <v>649676.9104670222</v>
      </c>
      <c r="V638" s="359">
        <f t="shared" si="195"/>
        <v>-653.3009125180023</v>
      </c>
      <c r="X638" s="359">
        <f t="shared" si="214"/>
        <v>-95261.51353659046</v>
      </c>
      <c r="Y638" s="356">
        <f t="shared" si="198"/>
        <v>82026732.91455865</v>
      </c>
      <c r="AA638" s="357">
        <f>+Bono!J638</f>
        <v>823219.7211990259</v>
      </c>
      <c r="AC638" s="378">
        <f t="shared" si="199"/>
        <v>51.25</v>
      </c>
      <c r="AD638" s="356">
        <f t="shared" si="200"/>
        <v>84160552.60630243</v>
      </c>
    </row>
    <row r="639" spans="1:30" x14ac:dyDescent="0.25">
      <c r="A639" s="356">
        <f t="shared" si="201"/>
        <v>51.333333333333336</v>
      </c>
      <c r="B639" s="356">
        <f t="shared" si="202"/>
        <v>616</v>
      </c>
      <c r="C639" s="357">
        <f t="shared" si="207"/>
        <v>51</v>
      </c>
      <c r="D639" s="357">
        <f t="shared" si="208"/>
        <v>4</v>
      </c>
      <c r="E639" s="357">
        <f t="shared" si="209"/>
        <v>80</v>
      </c>
      <c r="F639" s="356">
        <f t="shared" si="203"/>
        <v>1310599.9705447506</v>
      </c>
      <c r="H639" s="356">
        <f t="shared" si="196"/>
        <v>10450.908211240978</v>
      </c>
      <c r="I639" s="356">
        <v>0</v>
      </c>
      <c r="J639" s="356">
        <v>0</v>
      </c>
      <c r="K639" s="356">
        <f t="shared" si="204"/>
        <v>-1532.41901935695</v>
      </c>
      <c r="L639" s="356">
        <f t="shared" si="197"/>
        <v>1319518.4597366347</v>
      </c>
      <c r="N639" s="356">
        <f t="shared" si="205"/>
        <v>616</v>
      </c>
      <c r="O639" s="357">
        <f t="shared" si="210"/>
        <v>51</v>
      </c>
      <c r="P639" s="357">
        <f t="shared" si="211"/>
        <v>4</v>
      </c>
      <c r="Q639" s="357">
        <f t="shared" si="212"/>
        <v>51</v>
      </c>
      <c r="R639" s="356">
        <f t="shared" si="206"/>
        <v>82026732.91455865</v>
      </c>
      <c r="S639" s="356">
        <f>IF($G$4="mensual",S636,IF($G$4="trimestral",S636,0))</f>
        <v>10000</v>
      </c>
      <c r="U639" s="356">
        <f t="shared" si="213"/>
        <v>654172.4285891623</v>
      </c>
      <c r="V639" s="359">
        <f t="shared" si="195"/>
        <v>-653.3009125180023</v>
      </c>
      <c r="X639" s="359">
        <f t="shared" si="214"/>
        <v>-95920.69236899294</v>
      </c>
      <c r="Y639" s="356">
        <f t="shared" si="198"/>
        <v>82594331.3498663</v>
      </c>
      <c r="AA639" s="357">
        <f>+Bono!J639</f>
        <v>828323.7789580371</v>
      </c>
      <c r="AC639" s="378">
        <f t="shared" si="199"/>
        <v>51.333333333333336</v>
      </c>
      <c r="AD639" s="356">
        <f t="shared" si="200"/>
        <v>84742173.58856097</v>
      </c>
    </row>
    <row r="640" spans="1:30" x14ac:dyDescent="0.25">
      <c r="A640" s="356">
        <f t="shared" si="201"/>
        <v>51.416666666666664</v>
      </c>
      <c r="B640" s="356">
        <f t="shared" si="202"/>
        <v>617</v>
      </c>
      <c r="C640" s="357">
        <f t="shared" si="207"/>
        <v>51</v>
      </c>
      <c r="D640" s="357">
        <f t="shared" si="208"/>
        <v>5</v>
      </c>
      <c r="E640" s="357">
        <f t="shared" si="209"/>
        <v>80</v>
      </c>
      <c r="F640" s="356">
        <f t="shared" si="203"/>
        <v>1319518.4597366347</v>
      </c>
      <c r="H640" s="356">
        <f t="shared" si="196"/>
        <v>10522.025496470724</v>
      </c>
      <c r="I640" s="356">
        <v>0</v>
      </c>
      <c r="J640" s="356">
        <v>0</v>
      </c>
      <c r="K640" s="356">
        <f t="shared" si="204"/>
        <v>-1542.8469628704022</v>
      </c>
      <c r="L640" s="356">
        <f t="shared" si="197"/>
        <v>1328497.6382702352</v>
      </c>
      <c r="N640" s="356">
        <f t="shared" si="205"/>
        <v>617</v>
      </c>
      <c r="O640" s="357">
        <f t="shared" si="210"/>
        <v>51</v>
      </c>
      <c r="P640" s="357">
        <f t="shared" si="211"/>
        <v>5</v>
      </c>
      <c r="Q640" s="357">
        <f t="shared" si="212"/>
        <v>51</v>
      </c>
      <c r="R640" s="356">
        <f t="shared" si="206"/>
        <v>82594331.3498663</v>
      </c>
      <c r="S640" s="356">
        <f>IF($G$4="mensual",S639,0)</f>
        <v>10000</v>
      </c>
      <c r="U640" s="356">
        <f t="shared" si="213"/>
        <v>658698.5382195315</v>
      </c>
      <c r="V640" s="359">
        <f t="shared" si="195"/>
        <v>-653.3009125180023</v>
      </c>
      <c r="X640" s="359">
        <f t="shared" si="214"/>
        <v>-96584.35684112104</v>
      </c>
      <c r="Y640" s="356">
        <f t="shared" si="198"/>
        <v>83165792.2303322</v>
      </c>
      <c r="AA640" s="357">
        <f>+Bono!J640</f>
        <v>833459.4824671884</v>
      </c>
      <c r="AC640" s="378">
        <f t="shared" si="199"/>
        <v>51.416666666666664</v>
      </c>
      <c r="AD640" s="356">
        <f t="shared" si="200"/>
        <v>85327749.35106961</v>
      </c>
    </row>
    <row r="641" spans="1:30" x14ac:dyDescent="0.25">
      <c r="A641" s="356">
        <f t="shared" si="201"/>
        <v>51.5</v>
      </c>
      <c r="B641" s="356">
        <f t="shared" si="202"/>
        <v>618</v>
      </c>
      <c r="C641" s="357">
        <f t="shared" si="207"/>
        <v>51</v>
      </c>
      <c r="D641" s="357">
        <f t="shared" si="208"/>
        <v>6</v>
      </c>
      <c r="E641" s="357">
        <f t="shared" si="209"/>
        <v>80</v>
      </c>
      <c r="F641" s="356">
        <f t="shared" si="203"/>
        <v>1328497.6382702352</v>
      </c>
      <c r="H641" s="356">
        <f t="shared" si="196"/>
        <v>10593.62672703385</v>
      </c>
      <c r="I641" s="356">
        <v>0</v>
      </c>
      <c r="J641" s="360">
        <f>-SUM(F641:H641)*$J$21*1.16</f>
        <v>-13980.11280657149</v>
      </c>
      <c r="K641" s="356">
        <f t="shared" si="204"/>
        <v>-1537.128936541209</v>
      </c>
      <c r="L641" s="356">
        <f t="shared" si="197"/>
        <v>1323574.0232541563</v>
      </c>
      <c r="N641" s="356">
        <f t="shared" si="205"/>
        <v>618</v>
      </c>
      <c r="O641" s="357">
        <f t="shared" si="210"/>
        <v>51</v>
      </c>
      <c r="P641" s="357">
        <f t="shared" si="211"/>
        <v>6</v>
      </c>
      <c r="Q641" s="357">
        <f t="shared" si="212"/>
        <v>51</v>
      </c>
      <c r="R641" s="356">
        <f t="shared" si="206"/>
        <v>83165792.2303322</v>
      </c>
      <c r="S641" s="356">
        <f>IF($G$4="mensual",S640,0)</f>
        <v>10000</v>
      </c>
      <c r="U641" s="356">
        <f t="shared" si="213"/>
        <v>663255.4475299915</v>
      </c>
      <c r="V641" s="359">
        <f t="shared" si="195"/>
        <v>-653.3009125180023</v>
      </c>
      <c r="X641" s="359">
        <f t="shared" si="214"/>
        <v>-97252.5374772616</v>
      </c>
      <c r="Y641" s="356">
        <f t="shared" si="198"/>
        <v>83741141.83947241</v>
      </c>
      <c r="AA641" s="357">
        <f>+Bono!J641</f>
        <v>831071.8294839471</v>
      </c>
      <c r="AC641" s="378">
        <f t="shared" si="199"/>
        <v>51.5</v>
      </c>
      <c r="AD641" s="356">
        <f t="shared" si="200"/>
        <v>85895787.69221051</v>
      </c>
    </row>
    <row r="642" spans="1:30" x14ac:dyDescent="0.25">
      <c r="A642" s="356">
        <f t="shared" si="201"/>
        <v>51.583333333333336</v>
      </c>
      <c r="B642" s="356">
        <f t="shared" si="202"/>
        <v>619</v>
      </c>
      <c r="C642" s="357">
        <f t="shared" si="207"/>
        <v>51</v>
      </c>
      <c r="D642" s="357">
        <f t="shared" si="208"/>
        <v>7</v>
      </c>
      <c r="E642" s="357">
        <f t="shared" si="209"/>
        <v>80</v>
      </c>
      <c r="F642" s="356">
        <f t="shared" si="203"/>
        <v>1323574.0232541563</v>
      </c>
      <c r="H642" s="356">
        <f t="shared" si="196"/>
        <v>10554.36512947778</v>
      </c>
      <c r="I642" s="356">
        <v>0</v>
      </c>
      <c r="J642" s="356">
        <v>0</v>
      </c>
      <c r="K642" s="356">
        <f t="shared" si="204"/>
        <v>-1547.5889305250157</v>
      </c>
      <c r="L642" s="356">
        <f t="shared" si="197"/>
        <v>1332580.799453109</v>
      </c>
      <c r="N642" s="356">
        <f t="shared" si="205"/>
        <v>619</v>
      </c>
      <c r="O642" s="357">
        <f t="shared" si="210"/>
        <v>51</v>
      </c>
      <c r="P642" s="357">
        <f t="shared" si="211"/>
        <v>7</v>
      </c>
      <c r="Q642" s="357">
        <f t="shared" si="212"/>
        <v>51</v>
      </c>
      <c r="R642" s="356">
        <f t="shared" si="206"/>
        <v>83741141.83947241</v>
      </c>
      <c r="S642" s="356">
        <f>+IF($G$4="mensual",S636,IF($G$4="trimestral",S636,IF($G$4="semestral",S636,0)))</f>
        <v>10000</v>
      </c>
      <c r="U642" s="356">
        <f t="shared" si="213"/>
        <v>667843.3661089905</v>
      </c>
      <c r="V642" s="359">
        <f t="shared" si="195"/>
        <v>-653.3009125180023</v>
      </c>
      <c r="X642" s="359">
        <f t="shared" si="214"/>
        <v>-97925.2650094159</v>
      </c>
      <c r="Y642" s="356">
        <f t="shared" si="198"/>
        <v>84320406.63965946</v>
      </c>
      <c r="AA642" s="357">
        <f>+Bono!J642</f>
        <v>836224.5712251131</v>
      </c>
      <c r="AC642" s="378">
        <f t="shared" si="199"/>
        <v>51.583333333333336</v>
      </c>
      <c r="AD642" s="356">
        <f t="shared" si="200"/>
        <v>86489212.01033768</v>
      </c>
    </row>
    <row r="643" spans="1:30" x14ac:dyDescent="0.25">
      <c r="A643" s="356">
        <f t="shared" si="201"/>
        <v>51.666666666666664</v>
      </c>
      <c r="B643" s="356">
        <f t="shared" si="202"/>
        <v>620</v>
      </c>
      <c r="C643" s="357">
        <f t="shared" si="207"/>
        <v>51</v>
      </c>
      <c r="D643" s="357">
        <f t="shared" si="208"/>
        <v>8</v>
      </c>
      <c r="E643" s="357">
        <f t="shared" si="209"/>
        <v>80</v>
      </c>
      <c r="F643" s="356">
        <f t="shared" si="203"/>
        <v>1332580.799453109</v>
      </c>
      <c r="H643" s="356">
        <f t="shared" si="196"/>
        <v>10626.186427699937</v>
      </c>
      <c r="I643" s="356">
        <v>0</v>
      </c>
      <c r="J643" s="356">
        <v>0</v>
      </c>
      <c r="K643" s="356">
        <f t="shared" si="204"/>
        <v>-1558.1201036217383</v>
      </c>
      <c r="L643" s="356">
        <f t="shared" si="197"/>
        <v>1341648.8657771873</v>
      </c>
      <c r="N643" s="356">
        <f t="shared" si="205"/>
        <v>620</v>
      </c>
      <c r="O643" s="357">
        <f t="shared" si="210"/>
        <v>51</v>
      </c>
      <c r="P643" s="357">
        <f t="shared" si="211"/>
        <v>8</v>
      </c>
      <c r="Q643" s="357">
        <f t="shared" si="212"/>
        <v>51</v>
      </c>
      <c r="R643" s="356">
        <f t="shared" si="206"/>
        <v>84320406.63965946</v>
      </c>
      <c r="S643" s="356">
        <f>IF($G$4="mensual",S642,0)</f>
        <v>10000</v>
      </c>
      <c r="U643" s="356">
        <f t="shared" si="213"/>
        <v>672462.5049712029</v>
      </c>
      <c r="V643" s="359">
        <f t="shared" si="195"/>
        <v>-653.3009125180023</v>
      </c>
      <c r="X643" s="359">
        <f t="shared" si="214"/>
        <v>-98602.57037871306</v>
      </c>
      <c r="Y643" s="356">
        <f t="shared" si="198"/>
        <v>84903613.27333945</v>
      </c>
      <c r="AA643" s="357">
        <f>+Bono!J643</f>
        <v>841409.2605627555</v>
      </c>
      <c r="AC643" s="378">
        <f t="shared" si="199"/>
        <v>51.666666666666664</v>
      </c>
      <c r="AD643" s="356">
        <f t="shared" si="200"/>
        <v>87086671.39967941</v>
      </c>
    </row>
    <row r="644" spans="1:30" x14ac:dyDescent="0.25">
      <c r="A644" s="356">
        <f t="shared" si="201"/>
        <v>51.75</v>
      </c>
      <c r="B644" s="356">
        <f t="shared" si="202"/>
        <v>621</v>
      </c>
      <c r="C644" s="357">
        <f t="shared" si="207"/>
        <v>51</v>
      </c>
      <c r="D644" s="357">
        <f t="shared" si="208"/>
        <v>9</v>
      </c>
      <c r="E644" s="357">
        <f t="shared" si="209"/>
        <v>80</v>
      </c>
      <c r="F644" s="356">
        <f t="shared" si="203"/>
        <v>1341648.8657771873</v>
      </c>
      <c r="H644" s="356">
        <f t="shared" si="196"/>
        <v>10698.49646198675</v>
      </c>
      <c r="I644" s="356">
        <v>0</v>
      </c>
      <c r="J644" s="360">
        <f>-SUM(F644:H644)*$J$21*1.16</f>
        <v>-14118.506461776979</v>
      </c>
      <c r="K644" s="356">
        <f t="shared" si="204"/>
        <v>-1552.3454727017804</v>
      </c>
      <c r="L644" s="356">
        <f t="shared" si="197"/>
        <v>1336676.5103046952</v>
      </c>
      <c r="N644" s="356">
        <f t="shared" si="205"/>
        <v>621</v>
      </c>
      <c r="O644" s="357">
        <f t="shared" si="210"/>
        <v>51</v>
      </c>
      <c r="P644" s="357">
        <f t="shared" si="211"/>
        <v>9</v>
      </c>
      <c r="Q644" s="357">
        <f t="shared" si="212"/>
        <v>51</v>
      </c>
      <c r="R644" s="356">
        <f t="shared" si="206"/>
        <v>84903613.27333945</v>
      </c>
      <c r="S644" s="356">
        <f>IF($G$4="mensual",S643,0)</f>
        <v>10000</v>
      </c>
      <c r="U644" s="356">
        <f t="shared" si="213"/>
        <v>677113.0765672354</v>
      </c>
      <c r="V644" s="359">
        <f t="shared" si="195"/>
        <v>-653.3009125180023</v>
      </c>
      <c r="X644" s="359">
        <f t="shared" si="214"/>
        <v>-99284.48473683323</v>
      </c>
      <c r="Y644" s="356">
        <f t="shared" si="198"/>
        <v>85490788.56425734</v>
      </c>
      <c r="AA644" s="357">
        <f>+Bono!J644</f>
        <v>838998.8334533746</v>
      </c>
      <c r="AC644" s="378">
        <f t="shared" si="199"/>
        <v>51.75</v>
      </c>
      <c r="AD644" s="356">
        <f t="shared" si="200"/>
        <v>87666463.9080154</v>
      </c>
    </row>
    <row r="645" spans="1:30" x14ac:dyDescent="0.25">
      <c r="A645" s="356">
        <f t="shared" si="201"/>
        <v>51.833333333333336</v>
      </c>
      <c r="B645" s="356">
        <f t="shared" si="202"/>
        <v>622</v>
      </c>
      <c r="C645" s="357">
        <f t="shared" si="207"/>
        <v>51</v>
      </c>
      <c r="D645" s="357">
        <f t="shared" si="208"/>
        <v>10</v>
      </c>
      <c r="E645" s="357">
        <f t="shared" si="209"/>
        <v>80</v>
      </c>
      <c r="F645" s="356">
        <f t="shared" si="203"/>
        <v>1336676.5103046952</v>
      </c>
      <c r="H645" s="356">
        <f t="shared" si="196"/>
        <v>10658.846201186669</v>
      </c>
      <c r="I645" s="356">
        <v>0</v>
      </c>
      <c r="J645" s="356">
        <v>0</v>
      </c>
      <c r="K645" s="356">
        <f t="shared" si="204"/>
        <v>-1562.909013546823</v>
      </c>
      <c r="L645" s="356">
        <f t="shared" si="197"/>
        <v>1345772.4474923352</v>
      </c>
      <c r="N645" s="356">
        <f t="shared" si="205"/>
        <v>622</v>
      </c>
      <c r="O645" s="357">
        <f t="shared" si="210"/>
        <v>51</v>
      </c>
      <c r="P645" s="357">
        <f t="shared" si="211"/>
        <v>10</v>
      </c>
      <c r="Q645" s="357">
        <f t="shared" si="212"/>
        <v>51</v>
      </c>
      <c r="R645" s="356">
        <f t="shared" si="206"/>
        <v>85490788.56425734</v>
      </c>
      <c r="S645" s="356">
        <f>IF($G$4="mensual",S636,IF($G$4="trimestral",S636,0))</f>
        <v>10000</v>
      </c>
      <c r="U645" s="356">
        <f t="shared" si="213"/>
        <v>681795.2947933971</v>
      </c>
      <c r="V645" s="359">
        <f t="shared" si="195"/>
        <v>-653.3009125180023</v>
      </c>
      <c r="X645" s="359">
        <f t="shared" si="214"/>
        <v>-99971.03944744033</v>
      </c>
      <c r="Y645" s="356">
        <f t="shared" si="198"/>
        <v>86081959.51869078</v>
      </c>
      <c r="AA645" s="357">
        <f>+Bono!J645</f>
        <v>844200.7235386267</v>
      </c>
      <c r="AC645" s="378">
        <f t="shared" si="199"/>
        <v>51.833333333333336</v>
      </c>
      <c r="AD645" s="356">
        <f t="shared" si="200"/>
        <v>88271932.68972173</v>
      </c>
    </row>
    <row r="646" spans="1:30" x14ac:dyDescent="0.25">
      <c r="A646" s="356">
        <f t="shared" si="201"/>
        <v>51.916666666666664</v>
      </c>
      <c r="B646" s="356">
        <f t="shared" si="202"/>
        <v>623</v>
      </c>
      <c r="C646" s="357">
        <f t="shared" si="207"/>
        <v>51</v>
      </c>
      <c r="D646" s="357">
        <f t="shared" si="208"/>
        <v>11</v>
      </c>
      <c r="E646" s="357">
        <f t="shared" si="209"/>
        <v>80</v>
      </c>
      <c r="F646" s="356">
        <f t="shared" si="203"/>
        <v>1345772.4474923352</v>
      </c>
      <c r="H646" s="356">
        <f t="shared" si="196"/>
        <v>10731.378481653399</v>
      </c>
      <c r="I646" s="356">
        <v>0</v>
      </c>
      <c r="J646" s="356">
        <v>0</v>
      </c>
      <c r="K646" s="356">
        <f t="shared" si="204"/>
        <v>-1573.5444381298266</v>
      </c>
      <c r="L646" s="356">
        <f t="shared" si="197"/>
        <v>1354930.2815358588</v>
      </c>
      <c r="N646" s="356">
        <f t="shared" si="205"/>
        <v>623</v>
      </c>
      <c r="O646" s="357">
        <f t="shared" si="210"/>
        <v>51</v>
      </c>
      <c r="P646" s="357">
        <f t="shared" si="211"/>
        <v>11</v>
      </c>
      <c r="Q646" s="357">
        <f t="shared" si="212"/>
        <v>51</v>
      </c>
      <c r="R646" s="356">
        <f t="shared" si="206"/>
        <v>86081959.51869078</v>
      </c>
      <c r="S646" s="356">
        <f>IF($G$17="si",S634*(1+$G$20),S634)</f>
        <v>10000</v>
      </c>
      <c r="U646" s="356">
        <f t="shared" si="213"/>
        <v>686509.3750015384</v>
      </c>
      <c r="V646" s="359">
        <f t="shared" si="195"/>
        <v>-653.3009125180023</v>
      </c>
      <c r="X646" s="359">
        <f t="shared" si="214"/>
        <v>-100662.26608762456</v>
      </c>
      <c r="Y646" s="356">
        <f t="shared" si="198"/>
        <v>86677153.32669218</v>
      </c>
      <c r="AA646" s="357">
        <f>+Bono!J646</f>
        <v>849434.8659457893</v>
      </c>
      <c r="AC646" s="378">
        <f t="shared" si="199"/>
        <v>51.916666666666664</v>
      </c>
      <c r="AD646" s="356">
        <f t="shared" si="200"/>
        <v>88881518.47417383</v>
      </c>
    </row>
    <row r="647" spans="1:30" x14ac:dyDescent="0.25">
      <c r="A647" s="356">
        <f t="shared" si="201"/>
        <v>52</v>
      </c>
      <c r="B647" s="356">
        <f t="shared" si="202"/>
        <v>624</v>
      </c>
      <c r="C647" s="357">
        <f t="shared" si="207"/>
        <v>51</v>
      </c>
      <c r="D647" s="357">
        <f t="shared" si="208"/>
        <v>12</v>
      </c>
      <c r="E647" s="357">
        <f t="shared" si="209"/>
        <v>80</v>
      </c>
      <c r="F647" s="356">
        <f t="shared" si="203"/>
        <v>1354930.2815358588</v>
      </c>
      <c r="H647" s="356">
        <f t="shared" si="196"/>
        <v>10804.404336341051</v>
      </c>
      <c r="I647" s="356">
        <v>0</v>
      </c>
      <c r="J647" s="360">
        <f>-SUM(F647:H647)*$J$21*1.16</f>
        <v>-14258.270120505766</v>
      </c>
      <c r="K647" s="356">
        <f t="shared" si="204"/>
        <v>-1567.712642271965</v>
      </c>
      <c r="L647" s="356">
        <f t="shared" si="197"/>
        <v>1349908.703109422</v>
      </c>
      <c r="N647" s="356">
        <f t="shared" si="205"/>
        <v>624</v>
      </c>
      <c r="O647" s="357">
        <f t="shared" si="210"/>
        <v>51</v>
      </c>
      <c r="P647" s="357">
        <f t="shared" si="211"/>
        <v>12</v>
      </c>
      <c r="Q647" s="357">
        <f t="shared" si="212"/>
        <v>51</v>
      </c>
      <c r="R647" s="356">
        <f t="shared" si="206"/>
        <v>86677153.32669218</v>
      </c>
      <c r="S647" s="356">
        <f>IF($G$4="mensual",S646,0)</f>
        <v>10000</v>
      </c>
      <c r="U647" s="356">
        <f t="shared" si="213"/>
        <v>691255.5340089556</v>
      </c>
      <c r="V647" s="359">
        <f t="shared" si="195"/>
        <v>-653.3009125180023</v>
      </c>
      <c r="X647" s="359">
        <f t="shared" si="214"/>
        <v>-101358.19644935479</v>
      </c>
      <c r="Y647" s="356">
        <f t="shared" si="198"/>
        <v>87276397.36333926</v>
      </c>
      <c r="AA647" s="357">
        <f>+Bono!J647</f>
        <v>847001.4474840532</v>
      </c>
      <c r="AC647" s="378">
        <f t="shared" si="199"/>
        <v>52</v>
      </c>
      <c r="AD647" s="356">
        <f t="shared" si="200"/>
        <v>89473307.51393273</v>
      </c>
    </row>
    <row r="648" spans="1:30" x14ac:dyDescent="0.25">
      <c r="A648" s="356">
        <f t="shared" si="201"/>
        <v>52.083333333333336</v>
      </c>
      <c r="B648" s="356">
        <f t="shared" si="202"/>
        <v>625</v>
      </c>
      <c r="C648" s="357">
        <f t="shared" si="207"/>
        <v>52</v>
      </c>
      <c r="D648" s="357">
        <f t="shared" si="208"/>
        <v>1</v>
      </c>
      <c r="E648" s="357">
        <f t="shared" si="209"/>
        <v>81</v>
      </c>
      <c r="F648" s="356">
        <f t="shared" si="203"/>
        <v>1349908.703109422</v>
      </c>
      <c r="H648" s="356">
        <f t="shared" si="196"/>
        <v>10764.361564793891</v>
      </c>
      <c r="I648" s="356">
        <v>0</v>
      </c>
      <c r="J648" s="356">
        <v>0</v>
      </c>
      <c r="K648" s="356">
        <f t="shared" si="204"/>
        <v>-1578.3807550220904</v>
      </c>
      <c r="L648" s="356">
        <f t="shared" si="197"/>
        <v>1359094.6839191937</v>
      </c>
      <c r="N648" s="356">
        <f t="shared" si="205"/>
        <v>625</v>
      </c>
      <c r="O648" s="357">
        <f t="shared" si="210"/>
        <v>52</v>
      </c>
      <c r="P648" s="357">
        <f t="shared" si="211"/>
        <v>1</v>
      </c>
      <c r="Q648" s="357">
        <f t="shared" si="212"/>
        <v>52</v>
      </c>
      <c r="R648" s="356">
        <f t="shared" si="206"/>
        <v>87276397.36333926</v>
      </c>
      <c r="S648" s="356">
        <f>IF($G$17="si",S636*(1+$G$20),S636)</f>
        <v>10000</v>
      </c>
      <c r="U648" s="356">
        <f t="shared" si="213"/>
        <v>696033.9901083625</v>
      </c>
      <c r="V648" s="359">
        <f>V647*(1+$G$18)</f>
        <v>-679.4329490187224</v>
      </c>
      <c r="X648" s="359">
        <f t="shared" si="214"/>
        <v>-102058.83222777837</v>
      </c>
      <c r="Y648" s="356">
        <f t="shared" si="198"/>
        <v>87879693.08827081</v>
      </c>
      <c r="AA648" s="357">
        <f>+Bono!J648</f>
        <v>852252.9547045412</v>
      </c>
      <c r="AC648" s="378">
        <f t="shared" si="199"/>
        <v>52.083333333333336</v>
      </c>
      <c r="AD648" s="356">
        <f t="shared" si="200"/>
        <v>90091040.72689454</v>
      </c>
    </row>
    <row r="649" spans="1:30" x14ac:dyDescent="0.25">
      <c r="A649" s="356">
        <f t="shared" si="201"/>
        <v>52.166666666666664</v>
      </c>
      <c r="B649" s="356">
        <f t="shared" si="202"/>
        <v>626</v>
      </c>
      <c r="C649" s="357">
        <f t="shared" si="207"/>
        <v>52</v>
      </c>
      <c r="D649" s="357">
        <f t="shared" si="208"/>
        <v>2</v>
      </c>
      <c r="E649" s="357">
        <f t="shared" si="209"/>
        <v>81</v>
      </c>
      <c r="F649" s="356">
        <f t="shared" si="203"/>
        <v>1359094.6839191937</v>
      </c>
      <c r="H649" s="356">
        <f t="shared" si="196"/>
        <v>10837.611865748226</v>
      </c>
      <c r="I649" s="356">
        <v>0</v>
      </c>
      <c r="J649" s="356">
        <v>0</v>
      </c>
      <c r="K649" s="356">
        <f t="shared" si="204"/>
        <v>-1589.1214631105327</v>
      </c>
      <c r="L649" s="356">
        <f t="shared" si="197"/>
        <v>1368343.1743218314</v>
      </c>
      <c r="N649" s="356">
        <f t="shared" si="205"/>
        <v>626</v>
      </c>
      <c r="O649" s="357">
        <f t="shared" si="210"/>
        <v>52</v>
      </c>
      <c r="P649" s="357">
        <f t="shared" si="211"/>
        <v>2</v>
      </c>
      <c r="Q649" s="357">
        <f t="shared" si="212"/>
        <v>52</v>
      </c>
      <c r="R649" s="356">
        <f t="shared" si="206"/>
        <v>87879693.08827081</v>
      </c>
      <c r="S649" s="356">
        <f>IF($G$4="mensual",S648,0)</f>
        <v>10000</v>
      </c>
      <c r="U649" s="356">
        <f t="shared" si="213"/>
        <v>700844.754939124</v>
      </c>
      <c r="V649" s="359">
        <f t="shared" si="195"/>
        <v>-679.4329490187224</v>
      </c>
      <c r="X649" s="359">
        <f t="shared" si="214"/>
        <v>-102764.23575590266</v>
      </c>
      <c r="Y649" s="356">
        <f t="shared" si="198"/>
        <v>88487094.17450501</v>
      </c>
      <c r="AA649" s="357">
        <f>+Bono!J649</f>
        <v>857537.0218789335</v>
      </c>
      <c r="AC649" s="378">
        <f t="shared" si="199"/>
        <v>52.166666666666664</v>
      </c>
      <c r="AD649" s="356">
        <f t="shared" si="200"/>
        <v>90712974.37070577</v>
      </c>
    </row>
    <row r="650" spans="1:30" x14ac:dyDescent="0.25">
      <c r="A650" s="356">
        <f t="shared" si="201"/>
        <v>52.25</v>
      </c>
      <c r="B650" s="356">
        <f t="shared" si="202"/>
        <v>627</v>
      </c>
      <c r="C650" s="357">
        <f t="shared" si="207"/>
        <v>52</v>
      </c>
      <c r="D650" s="357">
        <f t="shared" si="208"/>
        <v>3</v>
      </c>
      <c r="E650" s="357">
        <f t="shared" si="209"/>
        <v>81</v>
      </c>
      <c r="F650" s="356">
        <f t="shared" si="203"/>
        <v>1368343.1743218314</v>
      </c>
      <c r="H650" s="356">
        <f t="shared" si="196"/>
        <v>10911.360626974227</v>
      </c>
      <c r="I650" s="356">
        <v>0</v>
      </c>
      <c r="J650" s="360">
        <f>-SUM(F650:H650)*$J$21*1.16</f>
        <v>-14399.417344865531</v>
      </c>
      <c r="K650" s="356">
        <f t="shared" si="204"/>
        <v>-1583.2319364205703</v>
      </c>
      <c r="L650" s="356">
        <f t="shared" si="197"/>
        <v>1363271.8856675194</v>
      </c>
      <c r="N650" s="356">
        <f t="shared" si="205"/>
        <v>627</v>
      </c>
      <c r="O650" s="357">
        <f t="shared" si="210"/>
        <v>52</v>
      </c>
      <c r="P650" s="357">
        <f t="shared" si="211"/>
        <v>3</v>
      </c>
      <c r="Q650" s="357">
        <f t="shared" si="212"/>
        <v>52</v>
      </c>
      <c r="R650" s="356">
        <f t="shared" si="206"/>
        <v>88487094.17450501</v>
      </c>
      <c r="S650" s="356">
        <f>IF($G$4="mensual",S649,0)</f>
        <v>10000</v>
      </c>
      <c r="U650" s="356">
        <f t="shared" si="213"/>
        <v>705688.2564974242</v>
      </c>
      <c r="V650" s="359">
        <f t="shared" si="195"/>
        <v>-679.4329490187224</v>
      </c>
      <c r="X650" s="359">
        <f t="shared" si="214"/>
        <v>-103474.43947774197</v>
      </c>
      <c r="Y650" s="356">
        <f t="shared" si="198"/>
        <v>89098628.55857567</v>
      </c>
      <c r="AA650" s="357">
        <f>+Bono!J650</f>
        <v>855080.3927666602</v>
      </c>
      <c r="AC650" s="378">
        <f t="shared" si="199"/>
        <v>52.25</v>
      </c>
      <c r="AD650" s="356">
        <f t="shared" si="200"/>
        <v>91316980.83700985</v>
      </c>
    </row>
    <row r="651" spans="1:30" x14ac:dyDescent="0.25">
      <c r="A651" s="356">
        <f t="shared" si="201"/>
        <v>52.333333333333336</v>
      </c>
      <c r="B651" s="356">
        <f t="shared" si="202"/>
        <v>628</v>
      </c>
      <c r="C651" s="357">
        <f t="shared" si="207"/>
        <v>52</v>
      </c>
      <c r="D651" s="357">
        <f t="shared" si="208"/>
        <v>4</v>
      </c>
      <c r="E651" s="357">
        <f t="shared" si="209"/>
        <v>81</v>
      </c>
      <c r="F651" s="356">
        <f t="shared" si="203"/>
        <v>1363271.8856675194</v>
      </c>
      <c r="H651" s="356">
        <f t="shared" si="196"/>
        <v>10870.921459089237</v>
      </c>
      <c r="I651" s="356">
        <v>0</v>
      </c>
      <c r="J651" s="356">
        <v>0</v>
      </c>
      <c r="K651" s="356">
        <f t="shared" si="204"/>
        <v>-1594.005656266866</v>
      </c>
      <c r="L651" s="356">
        <f t="shared" si="197"/>
        <v>1372548.8014703419</v>
      </c>
      <c r="N651" s="356">
        <f t="shared" si="205"/>
        <v>628</v>
      </c>
      <c r="O651" s="357">
        <f t="shared" si="210"/>
        <v>52</v>
      </c>
      <c r="P651" s="357">
        <f t="shared" si="211"/>
        <v>4</v>
      </c>
      <c r="Q651" s="357">
        <f t="shared" si="212"/>
        <v>52</v>
      </c>
      <c r="R651" s="356">
        <f t="shared" si="206"/>
        <v>89098628.55857567</v>
      </c>
      <c r="S651" s="356">
        <f>IF($G$4="mensual",S648,IF($G$4="trimestral",S648,0))</f>
        <v>10000</v>
      </c>
      <c r="U651" s="356">
        <f t="shared" si="213"/>
        <v>710564.7175531068</v>
      </c>
      <c r="V651" s="359">
        <f t="shared" si="195"/>
        <v>-679.4329490187224</v>
      </c>
      <c r="X651" s="359">
        <f t="shared" si="214"/>
        <v>-104189.47605808852</v>
      </c>
      <c r="Y651" s="356">
        <f t="shared" si="198"/>
        <v>89714324.36712167</v>
      </c>
      <c r="AA651" s="357">
        <f>+Bono!J651</f>
        <v>860381.990385</v>
      </c>
      <c r="AC651" s="378">
        <f t="shared" si="199"/>
        <v>52.333333333333336</v>
      </c>
      <c r="AD651" s="356">
        <f t="shared" si="200"/>
        <v>91947255.158977</v>
      </c>
    </row>
    <row r="652" spans="1:30" x14ac:dyDescent="0.25">
      <c r="A652" s="356">
        <f t="shared" si="201"/>
        <v>52.416666666666664</v>
      </c>
      <c r="B652" s="356">
        <f t="shared" si="202"/>
        <v>629</v>
      </c>
      <c r="C652" s="357">
        <f t="shared" si="207"/>
        <v>52</v>
      </c>
      <c r="D652" s="357">
        <f t="shared" si="208"/>
        <v>5</v>
      </c>
      <c r="E652" s="357">
        <f t="shared" si="209"/>
        <v>81</v>
      </c>
      <c r="F652" s="356">
        <f t="shared" si="203"/>
        <v>1372548.8014703419</v>
      </c>
      <c r="H652" s="356">
        <f t="shared" si="196"/>
        <v>10944.89688844806</v>
      </c>
      <c r="I652" s="356">
        <v>0</v>
      </c>
      <c r="J652" s="356">
        <v>0</v>
      </c>
      <c r="K652" s="356">
        <f t="shared" si="204"/>
        <v>-1604.8526900961963</v>
      </c>
      <c r="L652" s="356">
        <f t="shared" si="197"/>
        <v>1381888.8456686938</v>
      </c>
      <c r="N652" s="356">
        <f t="shared" si="205"/>
        <v>629</v>
      </c>
      <c r="O652" s="357">
        <f t="shared" si="210"/>
        <v>52</v>
      </c>
      <c r="P652" s="357">
        <f t="shared" si="211"/>
        <v>5</v>
      </c>
      <c r="Q652" s="357">
        <f t="shared" si="212"/>
        <v>52</v>
      </c>
      <c r="R652" s="356">
        <f t="shared" si="206"/>
        <v>89714324.36712167</v>
      </c>
      <c r="S652" s="356">
        <f>IF($G$4="mensual",S651,0)</f>
        <v>10000</v>
      </c>
      <c r="U652" s="356">
        <f t="shared" si="213"/>
        <v>715474.3623919401</v>
      </c>
      <c r="V652" s="359">
        <f t="shared" si="195"/>
        <v>-679.4329490187224</v>
      </c>
      <c r="X652" s="359">
        <f t="shared" si="214"/>
        <v>-104909.3783840149</v>
      </c>
      <c r="Y652" s="356">
        <f t="shared" si="198"/>
        <v>90334209.91818057</v>
      </c>
      <c r="AA652" s="357">
        <f>+Bono!J652</f>
        <v>865716.4585235209</v>
      </c>
      <c r="AC652" s="378">
        <f t="shared" si="199"/>
        <v>52.416666666666664</v>
      </c>
      <c r="AD652" s="356">
        <f t="shared" si="200"/>
        <v>92581815.22237279</v>
      </c>
    </row>
    <row r="653" spans="1:30" x14ac:dyDescent="0.25">
      <c r="A653" s="356">
        <f t="shared" si="201"/>
        <v>52.5</v>
      </c>
      <c r="B653" s="356">
        <f t="shared" si="202"/>
        <v>630</v>
      </c>
      <c r="C653" s="357">
        <f t="shared" si="207"/>
        <v>52</v>
      </c>
      <c r="D653" s="357">
        <f t="shared" si="208"/>
        <v>6</v>
      </c>
      <c r="E653" s="357">
        <f t="shared" si="209"/>
        <v>81</v>
      </c>
      <c r="F653" s="356">
        <f t="shared" si="203"/>
        <v>1381888.8456686938</v>
      </c>
      <c r="H653" s="356">
        <f t="shared" si="196"/>
        <v>11019.375712497886</v>
      </c>
      <c r="I653" s="356">
        <v>0</v>
      </c>
      <c r="J653" s="360">
        <f>-SUM(F653:H653)*$J$21*1.16</f>
        <v>-14541.961831219642</v>
      </c>
      <c r="K653" s="356">
        <f t="shared" si="204"/>
        <v>-1598.9048610779676</v>
      </c>
      <c r="L653" s="356">
        <f t="shared" si="197"/>
        <v>1376767.354688894</v>
      </c>
      <c r="N653" s="356">
        <f t="shared" si="205"/>
        <v>630</v>
      </c>
      <c r="O653" s="357">
        <f t="shared" si="210"/>
        <v>52</v>
      </c>
      <c r="P653" s="357">
        <f t="shared" si="211"/>
        <v>6</v>
      </c>
      <c r="Q653" s="357">
        <f t="shared" si="212"/>
        <v>52</v>
      </c>
      <c r="R653" s="356">
        <f t="shared" si="206"/>
        <v>90334209.91818057</v>
      </c>
      <c r="S653" s="356">
        <f>IF($G$4="mensual",S652,0)</f>
        <v>10000</v>
      </c>
      <c r="U653" s="356">
        <f t="shared" si="213"/>
        <v>720417.4168259321</v>
      </c>
      <c r="V653" s="359">
        <f t="shared" ref="V653:V716" si="215">V652</f>
        <v>-679.4329490187224</v>
      </c>
      <c r="X653" s="359">
        <f t="shared" si="214"/>
        <v>-105634.17956638667</v>
      </c>
      <c r="Y653" s="356">
        <f t="shared" si="198"/>
        <v>90958313.7224911</v>
      </c>
      <c r="AA653" s="357">
        <f>+Bono!J653</f>
        <v>863236.3973707987</v>
      </c>
      <c r="AC653" s="378">
        <f t="shared" si="199"/>
        <v>52.5</v>
      </c>
      <c r="AD653" s="356">
        <f t="shared" si="200"/>
        <v>93198317.4745508</v>
      </c>
    </row>
    <row r="654" spans="1:30" x14ac:dyDescent="0.25">
      <c r="A654" s="356">
        <f t="shared" si="201"/>
        <v>52.583333333333336</v>
      </c>
      <c r="B654" s="356">
        <f t="shared" si="202"/>
        <v>631</v>
      </c>
      <c r="C654" s="357">
        <f t="shared" si="207"/>
        <v>52</v>
      </c>
      <c r="D654" s="357">
        <f t="shared" si="208"/>
        <v>7</v>
      </c>
      <c r="E654" s="357">
        <f t="shared" si="209"/>
        <v>81</v>
      </c>
      <c r="F654" s="356">
        <f t="shared" si="203"/>
        <v>1376767.354688894</v>
      </c>
      <c r="H654" s="356">
        <f t="shared" si="196"/>
        <v>10978.536224219599</v>
      </c>
      <c r="I654" s="356">
        <v>0</v>
      </c>
      <c r="J654" s="356">
        <v>0</v>
      </c>
      <c r="K654" s="356">
        <f t="shared" si="204"/>
        <v>-1609.7852334592114</v>
      </c>
      <c r="L654" s="356">
        <f t="shared" si="197"/>
        <v>1386136.1056796543</v>
      </c>
      <c r="N654" s="356">
        <f t="shared" si="205"/>
        <v>631</v>
      </c>
      <c r="O654" s="357">
        <f t="shared" si="210"/>
        <v>52</v>
      </c>
      <c r="P654" s="357">
        <f t="shared" si="211"/>
        <v>7</v>
      </c>
      <c r="Q654" s="357">
        <f t="shared" si="212"/>
        <v>52</v>
      </c>
      <c r="R654" s="356">
        <f t="shared" si="206"/>
        <v>90958313.7224911</v>
      </c>
      <c r="S654" s="356">
        <f>+IF($G$4="mensual",S648,IF($G$4="trimestral",S648,IF($G$4="semestral",S648,0)))</f>
        <v>10000</v>
      </c>
      <c r="U654" s="356">
        <f t="shared" si="213"/>
        <v>725394.1082037174</v>
      </c>
      <c r="V654" s="359">
        <f t="shared" si="215"/>
        <v>-679.4329490187224</v>
      </c>
      <c r="X654" s="359">
        <f t="shared" si="214"/>
        <v>-106363.91294138512</v>
      </c>
      <c r="Y654" s="356">
        <f t="shared" si="198"/>
        <v>91586664.48480442</v>
      </c>
      <c r="AA654" s="357">
        <f>+Bono!J654</f>
        <v>868588.5631637223</v>
      </c>
      <c r="AC654" s="378">
        <f t="shared" si="199"/>
        <v>52.583333333333336</v>
      </c>
      <c r="AD654" s="356">
        <f t="shared" si="200"/>
        <v>93841389.15364781</v>
      </c>
    </row>
    <row r="655" spans="1:30" x14ac:dyDescent="0.25">
      <c r="A655" s="356">
        <f t="shared" si="201"/>
        <v>52.666666666666664</v>
      </c>
      <c r="B655" s="356">
        <f t="shared" si="202"/>
        <v>632</v>
      </c>
      <c r="C655" s="357">
        <f t="shared" si="207"/>
        <v>52</v>
      </c>
      <c r="D655" s="357">
        <f t="shared" si="208"/>
        <v>8</v>
      </c>
      <c r="E655" s="357">
        <f t="shared" si="209"/>
        <v>81</v>
      </c>
      <c r="F655" s="356">
        <f t="shared" si="203"/>
        <v>1386136.1056796543</v>
      </c>
      <c r="H655" s="356">
        <f t="shared" si="196"/>
        <v>11053.243960263351</v>
      </c>
      <c r="I655" s="356">
        <v>0</v>
      </c>
      <c r="J655" s="356">
        <v>0</v>
      </c>
      <c r="K655" s="356">
        <f t="shared" si="204"/>
        <v>-1620.7396455823045</v>
      </c>
      <c r="L655" s="356">
        <f t="shared" si="197"/>
        <v>1395568.6099943353</v>
      </c>
      <c r="N655" s="356">
        <f t="shared" si="205"/>
        <v>632</v>
      </c>
      <c r="O655" s="357">
        <f t="shared" si="210"/>
        <v>52</v>
      </c>
      <c r="P655" s="357">
        <f t="shared" si="211"/>
        <v>8</v>
      </c>
      <c r="Q655" s="357">
        <f t="shared" si="212"/>
        <v>52</v>
      </c>
      <c r="R655" s="356">
        <f t="shared" si="206"/>
        <v>91586664.48480442</v>
      </c>
      <c r="S655" s="356">
        <f>IF($G$4="mensual",S654,0)</f>
        <v>10000</v>
      </c>
      <c r="U655" s="356">
        <f t="shared" si="213"/>
        <v>730404.6654210126</v>
      </c>
      <c r="V655" s="359">
        <f t="shared" si="215"/>
        <v>-679.4329490187224</v>
      </c>
      <c r="X655" s="359">
        <f t="shared" si="214"/>
        <v>-107098.61207204063</v>
      </c>
      <c r="Y655" s="356">
        <f t="shared" si="198"/>
        <v>92219291.10520437</v>
      </c>
      <c r="AA655" s="357">
        <f>+Bono!J655</f>
        <v>873973.9130053747</v>
      </c>
      <c r="AC655" s="378">
        <f t="shared" si="199"/>
        <v>52.666666666666664</v>
      </c>
      <c r="AD655" s="356">
        <f t="shared" si="200"/>
        <v>94488833.62820409</v>
      </c>
    </row>
    <row r="656" spans="1:30" x14ac:dyDescent="0.25">
      <c r="A656" s="356">
        <f t="shared" si="201"/>
        <v>52.75</v>
      </c>
      <c r="B656" s="356">
        <f t="shared" si="202"/>
        <v>633</v>
      </c>
      <c r="C656" s="357">
        <f t="shared" si="207"/>
        <v>52</v>
      </c>
      <c r="D656" s="357">
        <f t="shared" si="208"/>
        <v>9</v>
      </c>
      <c r="E656" s="357">
        <f t="shared" si="209"/>
        <v>81</v>
      </c>
      <c r="F656" s="356">
        <f t="shared" si="203"/>
        <v>1395568.6099943353</v>
      </c>
      <c r="H656" s="356">
        <f t="shared" si="196"/>
        <v>11128.46007426486</v>
      </c>
      <c r="I656" s="356">
        <v>0</v>
      </c>
      <c r="J656" s="360">
        <f>-SUM(F656:H656)*$J$21*1.16</f>
        <v>-14685.917411516186</v>
      </c>
      <c r="K656" s="356">
        <f t="shared" si="204"/>
        <v>-1614.7329370822174</v>
      </c>
      <c r="L656" s="356">
        <f t="shared" si="197"/>
        <v>1390396.4197200018</v>
      </c>
      <c r="N656" s="356">
        <f t="shared" si="205"/>
        <v>633</v>
      </c>
      <c r="O656" s="357">
        <f t="shared" si="210"/>
        <v>52</v>
      </c>
      <c r="P656" s="357">
        <f t="shared" si="211"/>
        <v>9</v>
      </c>
      <c r="Q656" s="357">
        <f t="shared" si="212"/>
        <v>52</v>
      </c>
      <c r="R656" s="356">
        <f t="shared" si="206"/>
        <v>92219291.10520437</v>
      </c>
      <c r="S656" s="356">
        <f>IF($G$4="mensual",S655,0)</f>
        <v>10000</v>
      </c>
      <c r="U656" s="356">
        <f t="shared" si="213"/>
        <v>735449.3189311445</v>
      </c>
      <c r="V656" s="359">
        <f t="shared" si="215"/>
        <v>-679.4329490187224</v>
      </c>
      <c r="X656" s="359">
        <f t="shared" si="214"/>
        <v>-107838.31074977634</v>
      </c>
      <c r="Y656" s="356">
        <f t="shared" si="198"/>
        <v>92856222.68043673</v>
      </c>
      <c r="AA656" s="357">
        <f>+Bono!J656</f>
        <v>871470.1963106109</v>
      </c>
      <c r="AC656" s="378">
        <f t="shared" si="199"/>
        <v>52.75</v>
      </c>
      <c r="AD656" s="356">
        <f t="shared" si="200"/>
        <v>95118089.29646735</v>
      </c>
    </row>
    <row r="657" spans="1:30" x14ac:dyDescent="0.25">
      <c r="A657" s="356">
        <f t="shared" si="201"/>
        <v>52.833333333333336</v>
      </c>
      <c r="B657" s="356">
        <f t="shared" si="202"/>
        <v>634</v>
      </c>
      <c r="C657" s="357">
        <f t="shared" si="207"/>
        <v>52</v>
      </c>
      <c r="D657" s="357">
        <f t="shared" si="208"/>
        <v>10</v>
      </c>
      <c r="E657" s="357">
        <f t="shared" si="209"/>
        <v>81</v>
      </c>
      <c r="F657" s="356">
        <f t="shared" si="203"/>
        <v>1390396.4197200018</v>
      </c>
      <c r="H657" s="356">
        <f t="shared" si="196"/>
        <v>11087.216302692314</v>
      </c>
      <c r="I657" s="356">
        <v>0</v>
      </c>
      <c r="J657" s="356">
        <v>0</v>
      </c>
      <c r="K657" s="356">
        <f t="shared" si="204"/>
        <v>-1625.721017786325</v>
      </c>
      <c r="L657" s="356">
        <f t="shared" si="197"/>
        <v>1399857.9150049079</v>
      </c>
      <c r="N657" s="356">
        <f t="shared" si="205"/>
        <v>634</v>
      </c>
      <c r="O657" s="357">
        <f t="shared" si="210"/>
        <v>52</v>
      </c>
      <c r="P657" s="357">
        <f t="shared" si="211"/>
        <v>10</v>
      </c>
      <c r="Q657" s="357">
        <f t="shared" si="212"/>
        <v>52</v>
      </c>
      <c r="R657" s="356">
        <f t="shared" si="206"/>
        <v>92856222.68043673</v>
      </c>
      <c r="S657" s="356">
        <f>IF($G$4="mensual",S648,IF($G$4="trimestral",S648,0))</f>
        <v>10000</v>
      </c>
      <c r="U657" s="356">
        <f t="shared" si="213"/>
        <v>740528.3007556503</v>
      </c>
      <c r="V657" s="359">
        <f t="shared" si="215"/>
        <v>-679.4329490187224</v>
      </c>
      <c r="X657" s="359">
        <f t="shared" si="214"/>
        <v>-108583.04299596229</v>
      </c>
      <c r="Y657" s="356">
        <f t="shared" si="198"/>
        <v>93497488.5052474</v>
      </c>
      <c r="AA657" s="357">
        <f>+Bono!J657</f>
        <v>876873.4126120227</v>
      </c>
      <c r="AC657" s="378">
        <f t="shared" si="199"/>
        <v>52.833333333333336</v>
      </c>
      <c r="AD657" s="356">
        <f t="shared" si="200"/>
        <v>95774219.83286433</v>
      </c>
    </row>
    <row r="658" spans="1:30" x14ac:dyDescent="0.25">
      <c r="A658" s="356">
        <f t="shared" si="201"/>
        <v>52.916666666666664</v>
      </c>
      <c r="B658" s="356">
        <f t="shared" si="202"/>
        <v>635</v>
      </c>
      <c r="C658" s="357">
        <f t="shared" si="207"/>
        <v>52</v>
      </c>
      <c r="D658" s="357">
        <f t="shared" si="208"/>
        <v>11</v>
      </c>
      <c r="E658" s="357">
        <f t="shared" si="209"/>
        <v>81</v>
      </c>
      <c r="F658" s="356">
        <f t="shared" si="203"/>
        <v>1399857.9150049079</v>
      </c>
      <c r="H658" s="356">
        <f t="shared" si="196"/>
        <v>11162.663594761565</v>
      </c>
      <c r="I658" s="356">
        <v>0</v>
      </c>
      <c r="J658" s="356">
        <v>0</v>
      </c>
      <c r="K658" s="356">
        <f t="shared" si="204"/>
        <v>-1636.7838711756165</v>
      </c>
      <c r="L658" s="356">
        <f t="shared" si="197"/>
        <v>1409383.7947284938</v>
      </c>
      <c r="N658" s="356">
        <f t="shared" si="205"/>
        <v>635</v>
      </c>
      <c r="O658" s="357">
        <f t="shared" si="210"/>
        <v>52</v>
      </c>
      <c r="P658" s="357">
        <f t="shared" si="211"/>
        <v>11</v>
      </c>
      <c r="Q658" s="357">
        <f t="shared" si="212"/>
        <v>52</v>
      </c>
      <c r="R658" s="356">
        <f t="shared" si="206"/>
        <v>93497488.5052474</v>
      </c>
      <c r="S658" s="356">
        <f>IF($G$17="si",S646*(1+$G$20),S646)</f>
        <v>10000</v>
      </c>
      <c r="U658" s="356">
        <f t="shared" si="213"/>
        <v>745641.8444949473</v>
      </c>
      <c r="V658" s="359">
        <f t="shared" si="215"/>
        <v>-679.4329490187224</v>
      </c>
      <c r="X658" s="359">
        <f t="shared" si="214"/>
        <v>-109332.84306348025</v>
      </c>
      <c r="Y658" s="356">
        <f t="shared" si="198"/>
        <v>94143118.07372986</v>
      </c>
      <c r="AA658" s="357">
        <f>+Bono!J658</f>
        <v>882310.1294812376</v>
      </c>
      <c r="AC658" s="378">
        <f t="shared" si="199"/>
        <v>52.916666666666664</v>
      </c>
      <c r="AD658" s="356">
        <f t="shared" si="200"/>
        <v>96434811.99793959</v>
      </c>
    </row>
    <row r="659" spans="1:30" x14ac:dyDescent="0.25">
      <c r="A659" s="356">
        <f t="shared" si="201"/>
        <v>53</v>
      </c>
      <c r="B659" s="356">
        <f t="shared" si="202"/>
        <v>636</v>
      </c>
      <c r="C659" s="357">
        <f t="shared" si="207"/>
        <v>52</v>
      </c>
      <c r="D659" s="357">
        <f t="shared" si="208"/>
        <v>12</v>
      </c>
      <c r="E659" s="357">
        <f t="shared" si="209"/>
        <v>81</v>
      </c>
      <c r="F659" s="356">
        <f t="shared" si="203"/>
        <v>1409383.7947284938</v>
      </c>
      <c r="H659" s="356">
        <f t="shared" si="196"/>
        <v>11238.624297386286</v>
      </c>
      <c r="I659" s="356">
        <v>0</v>
      </c>
      <c r="J659" s="360">
        <f>-SUM(F659:H659)*$J$21*1.16</f>
        <v>-14831.298054630188</v>
      </c>
      <c r="K659" s="356">
        <f t="shared" si="204"/>
        <v>-1630.7177003266497</v>
      </c>
      <c r="L659" s="356">
        <f t="shared" si="197"/>
        <v>1404160.4032709233</v>
      </c>
      <c r="N659" s="356">
        <f t="shared" si="205"/>
        <v>636</v>
      </c>
      <c r="O659" s="357">
        <f t="shared" si="210"/>
        <v>52</v>
      </c>
      <c r="P659" s="357">
        <f t="shared" si="211"/>
        <v>12</v>
      </c>
      <c r="Q659" s="357">
        <f t="shared" si="212"/>
        <v>52</v>
      </c>
      <c r="R659" s="356">
        <f t="shared" si="206"/>
        <v>94143118.07372986</v>
      </c>
      <c r="S659" s="356">
        <f>IF($G$4="mensual",S658,0)</f>
        <v>10000</v>
      </c>
      <c r="U659" s="356">
        <f t="shared" si="213"/>
        <v>750790.185339079</v>
      </c>
      <c r="V659" s="359">
        <f t="shared" si="215"/>
        <v>-679.4329490187224</v>
      </c>
      <c r="X659" s="359">
        <f t="shared" si="214"/>
        <v>-110087.7454382991</v>
      </c>
      <c r="Y659" s="356">
        <f t="shared" si="198"/>
        <v>94793141.08068162</v>
      </c>
      <c r="AA659" s="357">
        <f>+Bono!J659</f>
        <v>879782.5316110163</v>
      </c>
      <c r="AC659" s="378">
        <f t="shared" si="199"/>
        <v>53</v>
      </c>
      <c r="AD659" s="356">
        <f t="shared" si="200"/>
        <v>97077084.01556356</v>
      </c>
    </row>
    <row r="660" spans="1:30" x14ac:dyDescent="0.25">
      <c r="A660" s="356">
        <f t="shared" si="201"/>
        <v>53.083333333333336</v>
      </c>
      <c r="B660" s="356">
        <f t="shared" si="202"/>
        <v>637</v>
      </c>
      <c r="C660" s="357">
        <f t="shared" si="207"/>
        <v>53</v>
      </c>
      <c r="D660" s="357">
        <f t="shared" si="208"/>
        <v>1</v>
      </c>
      <c r="E660" s="357">
        <f t="shared" si="209"/>
        <v>82</v>
      </c>
      <c r="F660" s="356">
        <f t="shared" si="203"/>
        <v>1404160.4032709233</v>
      </c>
      <c r="H660" s="356">
        <f t="shared" si="196"/>
        <v>11196.972240388483</v>
      </c>
      <c r="I660" s="356">
        <v>0</v>
      </c>
      <c r="J660" s="356">
        <v>0</v>
      </c>
      <c r="K660" s="356">
        <f t="shared" si="204"/>
        <v>-1641.8145555931217</v>
      </c>
      <c r="L660" s="356">
        <f t="shared" si="197"/>
        <v>1413715.5609557186</v>
      </c>
      <c r="N660" s="356">
        <f t="shared" si="205"/>
        <v>637</v>
      </c>
      <c r="O660" s="357">
        <f t="shared" si="210"/>
        <v>53</v>
      </c>
      <c r="P660" s="357">
        <f t="shared" si="211"/>
        <v>1</v>
      </c>
      <c r="Q660" s="357">
        <f t="shared" si="212"/>
        <v>53</v>
      </c>
      <c r="R660" s="356">
        <f t="shared" si="206"/>
        <v>94793141.08068162</v>
      </c>
      <c r="S660" s="356">
        <f>IF($G$17="si",S648*(1+$G$20),S648)</f>
        <v>10000</v>
      </c>
      <c r="U660" s="356">
        <f t="shared" si="213"/>
        <v>755973.5600785306</v>
      </c>
      <c r="V660" s="359">
        <f>V659*(1+$G$18)</f>
        <v>-706.6102669794714</v>
      </c>
      <c r="X660" s="359">
        <f t="shared" si="214"/>
        <v>-110847.75331537207</v>
      </c>
      <c r="Y660" s="356">
        <f t="shared" si="198"/>
        <v>95447560.2771778</v>
      </c>
      <c r="AA660" s="357">
        <f>+Bono!J660</f>
        <v>885237.2853554619</v>
      </c>
      <c r="AC660" s="378">
        <f t="shared" si="199"/>
        <v>53.083333333333336</v>
      </c>
      <c r="AD660" s="356">
        <f t="shared" si="200"/>
        <v>97746513.12348898</v>
      </c>
    </row>
    <row r="661" spans="1:30" x14ac:dyDescent="0.25">
      <c r="A661" s="356">
        <f t="shared" si="201"/>
        <v>53.166666666666664</v>
      </c>
      <c r="B661" s="356">
        <f t="shared" si="202"/>
        <v>638</v>
      </c>
      <c r="C661" s="357">
        <f t="shared" si="207"/>
        <v>53</v>
      </c>
      <c r="D661" s="357">
        <f t="shared" si="208"/>
        <v>2</v>
      </c>
      <c r="E661" s="357">
        <f t="shared" si="209"/>
        <v>82</v>
      </c>
      <c r="F661" s="356">
        <f t="shared" si="203"/>
        <v>1413715.5609557186</v>
      </c>
      <c r="H661" s="356">
        <f t="shared" si="196"/>
        <v>11273.16640958736</v>
      </c>
      <c r="I661" s="356">
        <v>0</v>
      </c>
      <c r="J661" s="356">
        <v>0</v>
      </c>
      <c r="K661" s="356">
        <f t="shared" si="204"/>
        <v>-1652.986923743755</v>
      </c>
      <c r="L661" s="356">
        <f t="shared" si="197"/>
        <v>1423335.7404415621</v>
      </c>
      <c r="N661" s="356">
        <f t="shared" si="205"/>
        <v>638</v>
      </c>
      <c r="O661" s="357">
        <f t="shared" si="210"/>
        <v>53</v>
      </c>
      <c r="P661" s="357">
        <f t="shared" si="211"/>
        <v>2</v>
      </c>
      <c r="Q661" s="357">
        <f t="shared" si="212"/>
        <v>53</v>
      </c>
      <c r="R661" s="356">
        <f t="shared" si="206"/>
        <v>95447560.2771778</v>
      </c>
      <c r="S661" s="356">
        <f>IF($G$4="mensual",S660,0)</f>
        <v>10000</v>
      </c>
      <c r="U661" s="356">
        <f t="shared" si="213"/>
        <v>761191.9906507615</v>
      </c>
      <c r="V661" s="359">
        <f t="shared" si="215"/>
        <v>-706.6102669794714</v>
      </c>
      <c r="X661" s="359">
        <f t="shared" si="214"/>
        <v>-111612.93296277142</v>
      </c>
      <c r="Y661" s="356">
        <f t="shared" si="198"/>
        <v>96106432.7245988</v>
      </c>
      <c r="AA661" s="357">
        <f>+Bono!J661</f>
        <v>890725.8592058354</v>
      </c>
      <c r="AC661" s="378">
        <f t="shared" si="199"/>
        <v>53.166666666666664</v>
      </c>
      <c r="AD661" s="356">
        <f t="shared" si="200"/>
        <v>98420494.3242462</v>
      </c>
    </row>
    <row r="662" spans="1:30" x14ac:dyDescent="0.25">
      <c r="A662" s="356">
        <f t="shared" si="201"/>
        <v>53.25</v>
      </c>
      <c r="B662" s="356">
        <f t="shared" si="202"/>
        <v>639</v>
      </c>
      <c r="C662" s="357">
        <f t="shared" si="207"/>
        <v>53</v>
      </c>
      <c r="D662" s="357">
        <f t="shared" si="208"/>
        <v>3</v>
      </c>
      <c r="E662" s="357">
        <f t="shared" si="209"/>
        <v>82</v>
      </c>
      <c r="F662" s="356">
        <f t="shared" si="203"/>
        <v>1423335.7404415621</v>
      </c>
      <c r="H662" s="356">
        <f t="shared" si="196"/>
        <v>11349.879071758734</v>
      </c>
      <c r="I662" s="356">
        <v>0</v>
      </c>
      <c r="J662" s="360">
        <f>-SUM(F662:H662)*$J$21*1.16</f>
        <v>-14978.117867719071</v>
      </c>
      <c r="K662" s="356">
        <f t="shared" si="204"/>
        <v>-1646.8607019088981</v>
      </c>
      <c r="L662" s="356">
        <f t="shared" si="197"/>
        <v>1418060.640943693</v>
      </c>
      <c r="N662" s="356">
        <f t="shared" si="205"/>
        <v>639</v>
      </c>
      <c r="O662" s="357">
        <f t="shared" si="210"/>
        <v>53</v>
      </c>
      <c r="P662" s="357">
        <f t="shared" si="211"/>
        <v>3</v>
      </c>
      <c r="Q662" s="357">
        <f t="shared" si="212"/>
        <v>53</v>
      </c>
      <c r="R662" s="356">
        <f t="shared" si="206"/>
        <v>96106432.7245988</v>
      </c>
      <c r="S662" s="356">
        <f>IF($G$4="mensual",S661,0)</f>
        <v>10000</v>
      </c>
      <c r="U662" s="356">
        <f t="shared" si="213"/>
        <v>766445.932071232</v>
      </c>
      <c r="V662" s="359">
        <f t="shared" si="215"/>
        <v>-706.6102669794714</v>
      </c>
      <c r="X662" s="359">
        <f t="shared" si="214"/>
        <v>-112383.31957382754</v>
      </c>
      <c r="Y662" s="356">
        <f t="shared" si="198"/>
        <v>96769788.72682922</v>
      </c>
      <c r="AA662" s="357">
        <f>+Bono!J662</f>
        <v>888174.1523745839</v>
      </c>
      <c r="AC662" s="378">
        <f t="shared" si="199"/>
        <v>53.25</v>
      </c>
      <c r="AD662" s="356">
        <f t="shared" si="200"/>
        <v>99076023.52014749</v>
      </c>
    </row>
    <row r="663" spans="1:30" x14ac:dyDescent="0.25">
      <c r="A663" s="356">
        <f t="shared" si="201"/>
        <v>53.333333333333336</v>
      </c>
      <c r="B663" s="356">
        <f t="shared" si="202"/>
        <v>640</v>
      </c>
      <c r="C663" s="357">
        <f t="shared" si="207"/>
        <v>53</v>
      </c>
      <c r="D663" s="357">
        <f t="shared" si="208"/>
        <v>4</v>
      </c>
      <c r="E663" s="357">
        <f t="shared" si="209"/>
        <v>82</v>
      </c>
      <c r="F663" s="356">
        <f t="shared" si="203"/>
        <v>1418060.640943693</v>
      </c>
      <c r="H663" s="356">
        <f t="shared" si="196"/>
        <v>11307.814687586288</v>
      </c>
      <c r="I663" s="356">
        <v>0</v>
      </c>
      <c r="J663" s="356">
        <v>0</v>
      </c>
      <c r="K663" s="356">
        <f t="shared" si="204"/>
        <v>-1658.067408532284</v>
      </c>
      <c r="L663" s="356">
        <f t="shared" si="197"/>
        <v>1427710.388222747</v>
      </c>
      <c r="N663" s="356">
        <f t="shared" si="205"/>
        <v>640</v>
      </c>
      <c r="O663" s="357">
        <f t="shared" si="210"/>
        <v>53</v>
      </c>
      <c r="P663" s="357">
        <f t="shared" si="211"/>
        <v>4</v>
      </c>
      <c r="Q663" s="357">
        <f t="shared" si="212"/>
        <v>53</v>
      </c>
      <c r="R663" s="356">
        <f t="shared" si="206"/>
        <v>96769788.72682922</v>
      </c>
      <c r="S663" s="356">
        <f>IF($G$4="mensual",S660,IF($G$4="trimestral",S660,0))</f>
        <v>10000</v>
      </c>
      <c r="U663" s="356">
        <f t="shared" si="213"/>
        <v>771735.6259873736</v>
      </c>
      <c r="V663" s="359">
        <f t="shared" si="215"/>
        <v>-706.6102669794714</v>
      </c>
      <c r="X663" s="359">
        <f t="shared" si="214"/>
        <v>-113158.94858135754</v>
      </c>
      <c r="Y663" s="356">
        <f t="shared" si="198"/>
        <v>97437658.79396826</v>
      </c>
      <c r="AA663" s="357">
        <f>+Bono!J663</f>
        <v>893680.9351411314</v>
      </c>
      <c r="AC663" s="378">
        <f t="shared" si="199"/>
        <v>53.333333333333336</v>
      </c>
      <c r="AD663" s="356">
        <f t="shared" si="200"/>
        <v>99759050.11733215</v>
      </c>
    </row>
    <row r="664" spans="1:30" x14ac:dyDescent="0.25">
      <c r="A664" s="356">
        <f t="shared" si="201"/>
        <v>53.416666666666664</v>
      </c>
      <c r="B664" s="356">
        <f t="shared" si="202"/>
        <v>641</v>
      </c>
      <c r="C664" s="357">
        <f t="shared" si="207"/>
        <v>53</v>
      </c>
      <c r="D664" s="357">
        <f t="shared" si="208"/>
        <v>5</v>
      </c>
      <c r="E664" s="357">
        <f t="shared" si="209"/>
        <v>82</v>
      </c>
      <c r="F664" s="356">
        <f t="shared" si="203"/>
        <v>1427710.388222747</v>
      </c>
      <c r="H664" s="356">
        <f t="shared" ref="H664:H727" si="216">SUM(F664:G664)*$G$8</f>
        <v>11384.763127492895</v>
      </c>
      <c r="I664" s="356">
        <v>0</v>
      </c>
      <c r="J664" s="356">
        <v>0</v>
      </c>
      <c r="K664" s="356">
        <f t="shared" si="204"/>
        <v>-1669.3503755662782</v>
      </c>
      <c r="L664" s="356">
        <f t="shared" ref="L664:L727" si="217">SUM(F664:K664)</f>
        <v>1437425.8009746738</v>
      </c>
      <c r="N664" s="356">
        <f t="shared" si="205"/>
        <v>641</v>
      </c>
      <c r="O664" s="357">
        <f t="shared" si="210"/>
        <v>53</v>
      </c>
      <c r="P664" s="357">
        <f t="shared" si="211"/>
        <v>5</v>
      </c>
      <c r="Q664" s="357">
        <f t="shared" si="212"/>
        <v>53</v>
      </c>
      <c r="R664" s="356">
        <f t="shared" si="206"/>
        <v>97437658.79396826</v>
      </c>
      <c r="S664" s="356">
        <f>IF($G$4="mensual",S663,0)</f>
        <v>10000</v>
      </c>
      <c r="U664" s="356">
        <f t="shared" si="213"/>
        <v>777061.3156910017</v>
      </c>
      <c r="V664" s="359">
        <f t="shared" si="215"/>
        <v>-706.6102669794714</v>
      </c>
      <c r="X664" s="359">
        <f t="shared" si="214"/>
        <v>-113939.85565929502</v>
      </c>
      <c r="Y664" s="356">
        <f t="shared" ref="Y664:Y727" si="218">SUM(R664:X664)</f>
        <v>98110073.64373298</v>
      </c>
      <c r="AA664" s="357">
        <f>+Bono!J664</f>
        <v>899221.8605995788</v>
      </c>
      <c r="AC664" s="378">
        <f t="shared" ref="AC664:AC727" si="219">+B664/12</f>
        <v>53.416666666666664</v>
      </c>
      <c r="AD664" s="356">
        <f t="shared" ref="AD664:AD727" si="220">+AA664+Y664+L664</f>
        <v>100446721.30530722</v>
      </c>
    </row>
    <row r="665" spans="1:30" x14ac:dyDescent="0.25">
      <c r="A665" s="356">
        <f t="shared" ref="A665:A728" si="221">+B665/12</f>
        <v>53.5</v>
      </c>
      <c r="B665" s="356">
        <f t="shared" ref="B665:B728" si="222">+B664+1</f>
        <v>642</v>
      </c>
      <c r="C665" s="357">
        <f t="shared" si="207"/>
        <v>53</v>
      </c>
      <c r="D665" s="357">
        <f t="shared" si="208"/>
        <v>6</v>
      </c>
      <c r="E665" s="357">
        <f t="shared" si="209"/>
        <v>82</v>
      </c>
      <c r="F665" s="356">
        <f t="shared" ref="F665:F728" si="223">L664</f>
        <v>1437425.8009746738</v>
      </c>
      <c r="H665" s="356">
        <f t="shared" si="216"/>
        <v>11462.235193101522</v>
      </c>
      <c r="I665" s="356">
        <v>0</v>
      </c>
      <c r="J665" s="360">
        <f>-SUM(F665:H665)*$J$21*1.16</f>
        <v>-15126.391097591573</v>
      </c>
      <c r="K665" s="356">
        <f t="shared" ref="K665:K728" si="224">-SUM(F665:J665)*0.1%*1.16</f>
        <v>-1663.1635082814132</v>
      </c>
      <c r="L665" s="356">
        <f t="shared" si="217"/>
        <v>1432098.4815619024</v>
      </c>
      <c r="N665" s="356">
        <f t="shared" ref="N665:N728" si="225">+N664+1</f>
        <v>642</v>
      </c>
      <c r="O665" s="357">
        <f t="shared" si="210"/>
        <v>53</v>
      </c>
      <c r="P665" s="357">
        <f t="shared" si="211"/>
        <v>6</v>
      </c>
      <c r="Q665" s="357">
        <f t="shared" si="212"/>
        <v>53</v>
      </c>
      <c r="R665" s="356">
        <f t="shared" ref="R665:R728" si="226">Y664</f>
        <v>98110073.64373298</v>
      </c>
      <c r="S665" s="356">
        <f>IF($G$4="mensual",S664,0)</f>
        <v>10000</v>
      </c>
      <c r="U665" s="356">
        <f t="shared" si="213"/>
        <v>782423.2461295058</v>
      </c>
      <c r="V665" s="359">
        <f t="shared" si="215"/>
        <v>-706.6102669794714</v>
      </c>
      <c r="X665" s="359">
        <f t="shared" si="214"/>
        <v>-114726.0767243308</v>
      </c>
      <c r="Y665" s="356">
        <f t="shared" si="218"/>
        <v>98787064.20287117</v>
      </c>
      <c r="AA665" s="357">
        <f>+Bono!J665</f>
        <v>896645.8148490394</v>
      </c>
      <c r="AC665" s="378">
        <f t="shared" si="219"/>
        <v>53.5</v>
      </c>
      <c r="AD665" s="356">
        <f t="shared" si="220"/>
        <v>101115808.4992821</v>
      </c>
    </row>
    <row r="666" spans="1:30" x14ac:dyDescent="0.25">
      <c r="A666" s="356">
        <f t="shared" si="221"/>
        <v>53.583333333333336</v>
      </c>
      <c r="B666" s="356">
        <f t="shared" si="222"/>
        <v>643</v>
      </c>
      <c r="C666" s="357">
        <f t="shared" si="207"/>
        <v>53</v>
      </c>
      <c r="D666" s="357">
        <f t="shared" si="208"/>
        <v>7</v>
      </c>
      <c r="E666" s="357">
        <f t="shared" si="209"/>
        <v>82</v>
      </c>
      <c r="F666" s="356">
        <f t="shared" si="223"/>
        <v>1432098.4815619024</v>
      </c>
      <c r="H666" s="356">
        <f t="shared" si="216"/>
        <v>11419.75439999446</v>
      </c>
      <c r="I666" s="356">
        <v>0</v>
      </c>
      <c r="J666" s="356">
        <v>0</v>
      </c>
      <c r="K666" s="356">
        <f t="shared" si="224"/>
        <v>-1674.4811537158002</v>
      </c>
      <c r="L666" s="356">
        <f t="shared" si="217"/>
        <v>1441843.754808181</v>
      </c>
      <c r="N666" s="356">
        <f t="shared" si="225"/>
        <v>643</v>
      </c>
      <c r="O666" s="357">
        <f t="shared" si="210"/>
        <v>53</v>
      </c>
      <c r="P666" s="357">
        <f t="shared" si="211"/>
        <v>7</v>
      </c>
      <c r="Q666" s="357">
        <f t="shared" si="212"/>
        <v>53</v>
      </c>
      <c r="R666" s="356">
        <f t="shared" si="226"/>
        <v>98787064.20287117</v>
      </c>
      <c r="S666" s="356">
        <f>+IF($G$4="mensual",S660,IF($G$4="trimestral",S660,IF($G$4="semestral",S660,0)))</f>
        <v>10000</v>
      </c>
      <c r="U666" s="356">
        <f t="shared" si="213"/>
        <v>787821.6639171159</v>
      </c>
      <c r="V666" s="359">
        <f t="shared" si="215"/>
        <v>-706.6102669794714</v>
      </c>
      <c r="X666" s="359">
        <f t="shared" si="214"/>
        <v>-115517.64793756469</v>
      </c>
      <c r="Y666" s="356">
        <f t="shared" si="218"/>
        <v>99468661.60858373</v>
      </c>
      <c r="AA666" s="357">
        <f>+Bono!J666</f>
        <v>902205.1229055807</v>
      </c>
      <c r="AC666" s="378">
        <f t="shared" si="219"/>
        <v>53.583333333333336</v>
      </c>
      <c r="AD666" s="356">
        <f t="shared" si="220"/>
        <v>101812710.4862975</v>
      </c>
    </row>
    <row r="667" spans="1:30" x14ac:dyDescent="0.25">
      <c r="A667" s="356">
        <f t="shared" si="221"/>
        <v>53.666666666666664</v>
      </c>
      <c r="B667" s="356">
        <f t="shared" si="222"/>
        <v>644</v>
      </c>
      <c r="C667" s="357">
        <f t="shared" si="207"/>
        <v>53</v>
      </c>
      <c r="D667" s="357">
        <f t="shared" si="208"/>
        <v>8</v>
      </c>
      <c r="E667" s="357">
        <f t="shared" si="209"/>
        <v>82</v>
      </c>
      <c r="F667" s="356">
        <f t="shared" si="223"/>
        <v>1441843.754808181</v>
      </c>
      <c r="H667" s="356">
        <f t="shared" si="216"/>
        <v>11497.464577378321</v>
      </c>
      <c r="I667" s="356">
        <v>0</v>
      </c>
      <c r="J667" s="356">
        <v>0</v>
      </c>
      <c r="K667" s="356">
        <f t="shared" si="224"/>
        <v>-1685.8758144872486</v>
      </c>
      <c r="L667" s="356">
        <f t="shared" si="217"/>
        <v>1451655.343571072</v>
      </c>
      <c r="N667" s="356">
        <f t="shared" si="225"/>
        <v>644</v>
      </c>
      <c r="O667" s="357">
        <f t="shared" si="210"/>
        <v>53</v>
      </c>
      <c r="P667" s="357">
        <f t="shared" si="211"/>
        <v>8</v>
      </c>
      <c r="Q667" s="357">
        <f t="shared" si="212"/>
        <v>53</v>
      </c>
      <c r="R667" s="356">
        <f t="shared" si="226"/>
        <v>99468661.60858373</v>
      </c>
      <c r="S667" s="356">
        <f>IF($G$4="mensual",S666,0)</f>
        <v>10000</v>
      </c>
      <c r="U667" s="356">
        <f t="shared" si="213"/>
        <v>793256.8173462444</v>
      </c>
      <c r="V667" s="359">
        <f t="shared" si="215"/>
        <v>-706.6102669794714</v>
      </c>
      <c r="X667" s="359">
        <f t="shared" si="214"/>
        <v>-116314.60570616908</v>
      </c>
      <c r="Y667" s="356">
        <f t="shared" si="218"/>
        <v>100154897.20995682</v>
      </c>
      <c r="AA667" s="357">
        <f>+Bono!J667</f>
        <v>907798.8993169122</v>
      </c>
      <c r="AC667" s="378">
        <f t="shared" si="219"/>
        <v>53.666666666666664</v>
      </c>
      <c r="AD667" s="356">
        <f t="shared" si="220"/>
        <v>102514351.4528448</v>
      </c>
    </row>
    <row r="668" spans="1:30" x14ac:dyDescent="0.25">
      <c r="A668" s="356">
        <f t="shared" si="221"/>
        <v>53.75</v>
      </c>
      <c r="B668" s="356">
        <f t="shared" si="222"/>
        <v>645</v>
      </c>
      <c r="C668" s="357">
        <f t="shared" si="207"/>
        <v>53</v>
      </c>
      <c r="D668" s="357">
        <f t="shared" si="208"/>
        <v>9</v>
      </c>
      <c r="E668" s="357">
        <f t="shared" si="209"/>
        <v>82</v>
      </c>
      <c r="F668" s="356">
        <f t="shared" si="223"/>
        <v>1451655.343571072</v>
      </c>
      <c r="H668" s="356">
        <f t="shared" si="216"/>
        <v>11575.703564004269</v>
      </c>
      <c r="I668" s="356">
        <v>0</v>
      </c>
      <c r="J668" s="360">
        <f>-SUM(F668:H668)*$J$21*1.16</f>
        <v>-15276.132132090197</v>
      </c>
      <c r="K668" s="356">
        <f t="shared" si="224"/>
        <v>-1679.6277014034638</v>
      </c>
      <c r="L668" s="356">
        <f t="shared" si="217"/>
        <v>1446275.2873015825</v>
      </c>
      <c r="N668" s="356">
        <f t="shared" si="225"/>
        <v>645</v>
      </c>
      <c r="O668" s="357">
        <f t="shared" si="210"/>
        <v>53</v>
      </c>
      <c r="P668" s="357">
        <f t="shared" si="211"/>
        <v>9</v>
      </c>
      <c r="Q668" s="357">
        <f t="shared" si="212"/>
        <v>53</v>
      </c>
      <c r="R668" s="356">
        <f t="shared" si="226"/>
        <v>100154897.20995682</v>
      </c>
      <c r="S668" s="356">
        <f>IF($G$4="mensual",S667,0)</f>
        <v>10000</v>
      </c>
      <c r="U668" s="356">
        <f t="shared" si="213"/>
        <v>798728.9563989065</v>
      </c>
      <c r="V668" s="359">
        <f t="shared" si="215"/>
        <v>-706.6102669794714</v>
      </c>
      <c r="X668" s="359">
        <f t="shared" si="214"/>
        <v>-117116.98668506293</v>
      </c>
      <c r="Y668" s="356">
        <f t="shared" si="218"/>
        <v>100845802.56940368</v>
      </c>
      <c r="AA668" s="357">
        <f>+Bono!J668</f>
        <v>905198.2824954189</v>
      </c>
      <c r="AC668" s="378">
        <f t="shared" si="219"/>
        <v>53.75</v>
      </c>
      <c r="AD668" s="356">
        <f t="shared" si="220"/>
        <v>103197276.13920069</v>
      </c>
    </row>
    <row r="669" spans="1:30" x14ac:dyDescent="0.25">
      <c r="A669" s="356">
        <f t="shared" si="221"/>
        <v>53.833333333333336</v>
      </c>
      <c r="B669" s="356">
        <f t="shared" si="222"/>
        <v>646</v>
      </c>
      <c r="C669" s="357">
        <f t="shared" si="207"/>
        <v>53</v>
      </c>
      <c r="D669" s="357">
        <f t="shared" si="208"/>
        <v>10</v>
      </c>
      <c r="E669" s="357">
        <f t="shared" si="209"/>
        <v>82</v>
      </c>
      <c r="F669" s="356">
        <f t="shared" si="223"/>
        <v>1446275.2873015825</v>
      </c>
      <c r="H669" s="356">
        <f t="shared" si="216"/>
        <v>11532.802239795956</v>
      </c>
      <c r="I669" s="356">
        <v>0</v>
      </c>
      <c r="J669" s="356">
        <v>0</v>
      </c>
      <c r="K669" s="356">
        <f t="shared" si="224"/>
        <v>-1691.0573838679989</v>
      </c>
      <c r="L669" s="356">
        <f t="shared" si="217"/>
        <v>1456117.0321575105</v>
      </c>
      <c r="N669" s="356">
        <f t="shared" si="225"/>
        <v>646</v>
      </c>
      <c r="O669" s="357">
        <f t="shared" si="210"/>
        <v>53</v>
      </c>
      <c r="P669" s="357">
        <f t="shared" si="211"/>
        <v>10</v>
      </c>
      <c r="Q669" s="357">
        <f t="shared" si="212"/>
        <v>53</v>
      </c>
      <c r="R669" s="356">
        <f t="shared" si="226"/>
        <v>100845802.56940368</v>
      </c>
      <c r="S669" s="356">
        <f>IF($G$4="mensual",S660,IF($G$4="trimestral",S660,0))</f>
        <v>10000</v>
      </c>
      <c r="U669" s="356">
        <f t="shared" si="213"/>
        <v>804238.332758218</v>
      </c>
      <c r="V669" s="359">
        <f t="shared" si="215"/>
        <v>-706.6102669794714</v>
      </c>
      <c r="X669" s="359">
        <f t="shared" si="214"/>
        <v>-117924.8277785981</v>
      </c>
      <c r="Y669" s="356">
        <f t="shared" si="218"/>
        <v>101541409.46411632</v>
      </c>
      <c r="AA669" s="357">
        <f>+Bono!J669</f>
        <v>910810.6168433924</v>
      </c>
      <c r="AC669" s="378">
        <f t="shared" si="219"/>
        <v>53.833333333333336</v>
      </c>
      <c r="AD669" s="356">
        <f t="shared" si="220"/>
        <v>103908337.11311722</v>
      </c>
    </row>
    <row r="670" spans="1:30" x14ac:dyDescent="0.25">
      <c r="A670" s="356">
        <f t="shared" si="221"/>
        <v>53.916666666666664</v>
      </c>
      <c r="B670" s="356">
        <f t="shared" si="222"/>
        <v>647</v>
      </c>
      <c r="C670" s="357">
        <f t="shared" si="207"/>
        <v>53</v>
      </c>
      <c r="D670" s="357">
        <f t="shared" si="208"/>
        <v>11</v>
      </c>
      <c r="E670" s="357">
        <f t="shared" si="209"/>
        <v>82</v>
      </c>
      <c r="F670" s="356">
        <f t="shared" si="223"/>
        <v>1456117.0321575105</v>
      </c>
      <c r="H670" s="356">
        <f t="shared" si="216"/>
        <v>11611.281695342568</v>
      </c>
      <c r="I670" s="356">
        <v>0</v>
      </c>
      <c r="J670" s="356">
        <v>0</v>
      </c>
      <c r="K670" s="356">
        <f t="shared" si="224"/>
        <v>-1702.5648440693096</v>
      </c>
      <c r="L670" s="356">
        <f t="shared" si="217"/>
        <v>1466025.7490087838</v>
      </c>
      <c r="N670" s="356">
        <f t="shared" si="225"/>
        <v>647</v>
      </c>
      <c r="O670" s="357">
        <f t="shared" si="210"/>
        <v>53</v>
      </c>
      <c r="P670" s="357">
        <f t="shared" si="211"/>
        <v>11</v>
      </c>
      <c r="Q670" s="357">
        <f t="shared" si="212"/>
        <v>53</v>
      </c>
      <c r="R670" s="356">
        <f t="shared" si="226"/>
        <v>101541409.46411632</v>
      </c>
      <c r="S670" s="356">
        <f>IF($G$17="si",S658*(1+$G$20),S658)</f>
        <v>10000</v>
      </c>
      <c r="U670" s="356">
        <f t="shared" si="213"/>
        <v>809785.1998199703</v>
      </c>
      <c r="V670" s="359">
        <f t="shared" si="215"/>
        <v>-706.6102669794714</v>
      </c>
      <c r="X670" s="359">
        <f t="shared" si="214"/>
        <v>-118738.16614225639</v>
      </c>
      <c r="Y670" s="356">
        <f t="shared" si="218"/>
        <v>102241749.88752705</v>
      </c>
      <c r="AA670" s="357">
        <f>+Bono!J670</f>
        <v>916457.7483153138</v>
      </c>
      <c r="AC670" s="378">
        <f t="shared" si="219"/>
        <v>53.916666666666664</v>
      </c>
      <c r="AD670" s="356">
        <f t="shared" si="220"/>
        <v>104624233.38485116</v>
      </c>
    </row>
    <row r="671" spans="1:30" x14ac:dyDescent="0.25">
      <c r="A671" s="356">
        <f t="shared" si="221"/>
        <v>54</v>
      </c>
      <c r="B671" s="356">
        <f t="shared" si="222"/>
        <v>648</v>
      </c>
      <c r="C671" s="357">
        <f t="shared" si="207"/>
        <v>53</v>
      </c>
      <c r="D671" s="357">
        <f t="shared" si="208"/>
        <v>12</v>
      </c>
      <c r="E671" s="357">
        <f t="shared" si="209"/>
        <v>82</v>
      </c>
      <c r="F671" s="356">
        <f t="shared" si="223"/>
        <v>1466025.7490087838</v>
      </c>
      <c r="H671" s="356">
        <f t="shared" si="216"/>
        <v>11690.295194984867</v>
      </c>
      <c r="I671" s="356">
        <v>0</v>
      </c>
      <c r="J671" s="360">
        <f>-SUM(F671:H671)*$J$21*1.16</f>
        <v>-15427.355501487347</v>
      </c>
      <c r="K671" s="356">
        <f t="shared" si="224"/>
        <v>-1696.2548788946463</v>
      </c>
      <c r="L671" s="356">
        <f t="shared" si="217"/>
        <v>1460592.4338233867</v>
      </c>
      <c r="N671" s="356">
        <f t="shared" si="225"/>
        <v>648</v>
      </c>
      <c r="O671" s="357">
        <f t="shared" si="210"/>
        <v>53</v>
      </c>
      <c r="P671" s="357">
        <f t="shared" si="211"/>
        <v>12</v>
      </c>
      <c r="Q671" s="357">
        <f t="shared" si="212"/>
        <v>53</v>
      </c>
      <c r="R671" s="356">
        <f t="shared" si="226"/>
        <v>102241749.88752705</v>
      </c>
      <c r="S671" s="356">
        <f>IF($G$4="mensual",S670,0)</f>
        <v>10000</v>
      </c>
      <c r="U671" s="356">
        <f t="shared" si="213"/>
        <v>815369.8127042854</v>
      </c>
      <c r="V671" s="359">
        <f t="shared" si="215"/>
        <v>-706.6102669794714</v>
      </c>
      <c r="X671" s="359">
        <f t="shared" si="214"/>
        <v>-119557.03918435864</v>
      </c>
      <c r="Y671" s="356">
        <f t="shared" si="218"/>
        <v>102946856.05077998</v>
      </c>
      <c r="AA671" s="357">
        <f>+Bono!J671</f>
        <v>913832.3260568709</v>
      </c>
      <c r="AC671" s="378">
        <f t="shared" si="219"/>
        <v>54</v>
      </c>
      <c r="AD671" s="356">
        <f t="shared" si="220"/>
        <v>105321280.81066024</v>
      </c>
    </row>
    <row r="672" spans="1:30" x14ac:dyDescent="0.25">
      <c r="A672" s="356">
        <f t="shared" si="221"/>
        <v>54.083333333333336</v>
      </c>
      <c r="B672" s="356">
        <f t="shared" si="222"/>
        <v>649</v>
      </c>
      <c r="C672" s="357">
        <f t="shared" si="207"/>
        <v>54</v>
      </c>
      <c r="D672" s="357">
        <f t="shared" si="208"/>
        <v>1</v>
      </c>
      <c r="E672" s="357">
        <f t="shared" si="209"/>
        <v>83</v>
      </c>
      <c r="F672" s="356">
        <f t="shared" si="223"/>
        <v>1460592.4338233867</v>
      </c>
      <c r="H672" s="356">
        <f t="shared" si="216"/>
        <v>11646.969176702014</v>
      </c>
      <c r="I672" s="356">
        <v>0</v>
      </c>
      <c r="J672" s="356">
        <v>0</v>
      </c>
      <c r="K672" s="356">
        <f t="shared" si="224"/>
        <v>-1707.7977074801029</v>
      </c>
      <c r="L672" s="356">
        <f t="shared" si="217"/>
        <v>1470531.6052926085</v>
      </c>
      <c r="N672" s="356">
        <f t="shared" si="225"/>
        <v>649</v>
      </c>
      <c r="O672" s="357">
        <f t="shared" si="210"/>
        <v>54</v>
      </c>
      <c r="P672" s="357">
        <f t="shared" si="211"/>
        <v>1</v>
      </c>
      <c r="Q672" s="357">
        <f t="shared" si="212"/>
        <v>54</v>
      </c>
      <c r="R672" s="356">
        <f t="shared" si="226"/>
        <v>102946856.05077998</v>
      </c>
      <c r="S672" s="356">
        <f>IF($G$17="si",S660*(1+$G$20),S660)</f>
        <v>10000</v>
      </c>
      <c r="U672" s="356">
        <f t="shared" si="213"/>
        <v>820992.4282673498</v>
      </c>
      <c r="V672" s="359">
        <f>V671*(1+$G$18)</f>
        <v>-734.8746776586503</v>
      </c>
      <c r="X672" s="359">
        <f t="shared" si="214"/>
        <v>-120381.45178106881</v>
      </c>
      <c r="Y672" s="356">
        <f t="shared" si="218"/>
        <v>103656732.1525886</v>
      </c>
      <c r="AA672" s="357">
        <f>+Bono!J672</f>
        <v>919498.1924764125</v>
      </c>
      <c r="AC672" s="378">
        <f t="shared" si="219"/>
        <v>54.083333333333336</v>
      </c>
      <c r="AD672" s="356">
        <f t="shared" si="220"/>
        <v>106046761.95035762</v>
      </c>
    </row>
    <row r="673" spans="1:30" x14ac:dyDescent="0.25">
      <c r="A673" s="356">
        <f t="shared" si="221"/>
        <v>54.166666666666664</v>
      </c>
      <c r="B673" s="356">
        <f t="shared" si="222"/>
        <v>650</v>
      </c>
      <c r="C673" s="357">
        <f t="shared" si="207"/>
        <v>54</v>
      </c>
      <c r="D673" s="357">
        <f t="shared" si="208"/>
        <v>2</v>
      </c>
      <c r="E673" s="357">
        <f t="shared" si="209"/>
        <v>83</v>
      </c>
      <c r="F673" s="356">
        <f t="shared" si="223"/>
        <v>1470531.6052926085</v>
      </c>
      <c r="H673" s="356">
        <f t="shared" si="216"/>
        <v>11726.225525744541</v>
      </c>
      <c r="I673" s="356">
        <v>0</v>
      </c>
      <c r="J673" s="356">
        <v>0</v>
      </c>
      <c r="K673" s="356">
        <f t="shared" si="224"/>
        <v>-1719.4190837492895</v>
      </c>
      <c r="L673" s="356">
        <f t="shared" si="217"/>
        <v>1480538.4117346038</v>
      </c>
      <c r="N673" s="356">
        <f t="shared" si="225"/>
        <v>650</v>
      </c>
      <c r="O673" s="357">
        <f t="shared" si="210"/>
        <v>54</v>
      </c>
      <c r="P673" s="357">
        <f t="shared" si="211"/>
        <v>2</v>
      </c>
      <c r="Q673" s="357">
        <f t="shared" si="212"/>
        <v>54</v>
      </c>
      <c r="R673" s="356">
        <f t="shared" si="226"/>
        <v>103656732.1525886</v>
      </c>
      <c r="S673" s="356">
        <f>IF($G$4="mensual",S672,0)</f>
        <v>10000</v>
      </c>
      <c r="U673" s="356">
        <f t="shared" si="213"/>
        <v>826653.0799902945</v>
      </c>
      <c r="V673" s="359">
        <f t="shared" si="215"/>
        <v>-734.8746776586503</v>
      </c>
      <c r="X673" s="359">
        <f t="shared" si="214"/>
        <v>-121211.47441516544</v>
      </c>
      <c r="Y673" s="356">
        <f t="shared" si="218"/>
        <v>104371438.88348608</v>
      </c>
      <c r="AA673" s="357">
        <f>+Bono!J673</f>
        <v>925199.187924955</v>
      </c>
      <c r="AC673" s="378">
        <f t="shared" si="219"/>
        <v>54.166666666666664</v>
      </c>
      <c r="AD673" s="356">
        <f t="shared" si="220"/>
        <v>106777176.48314564</v>
      </c>
    </row>
    <row r="674" spans="1:30" x14ac:dyDescent="0.25">
      <c r="A674" s="356">
        <f t="shared" si="221"/>
        <v>54.25</v>
      </c>
      <c r="B674" s="356">
        <f t="shared" si="222"/>
        <v>651</v>
      </c>
      <c r="C674" s="357">
        <f t="shared" si="207"/>
        <v>54</v>
      </c>
      <c r="D674" s="357">
        <f t="shared" si="208"/>
        <v>3</v>
      </c>
      <c r="E674" s="357">
        <f t="shared" si="209"/>
        <v>83</v>
      </c>
      <c r="F674" s="356">
        <f t="shared" si="223"/>
        <v>1480538.4117346038</v>
      </c>
      <c r="H674" s="356">
        <f t="shared" si="216"/>
        <v>11806.021205557872</v>
      </c>
      <c r="I674" s="356">
        <v>0</v>
      </c>
      <c r="J674" s="360">
        <f>-SUM(F674:H674)*$J$21*1.16</f>
        <v>-15580.07587989529</v>
      </c>
      <c r="K674" s="356">
        <f t="shared" si="224"/>
        <v>-1713.046654189909</v>
      </c>
      <c r="L674" s="356">
        <f t="shared" si="217"/>
        <v>1475051.3104060765</v>
      </c>
      <c r="N674" s="356">
        <f t="shared" si="225"/>
        <v>651</v>
      </c>
      <c r="O674" s="357">
        <f t="shared" si="210"/>
        <v>54</v>
      </c>
      <c r="P674" s="357">
        <f t="shared" si="211"/>
        <v>3</v>
      </c>
      <c r="Q674" s="357">
        <f t="shared" si="212"/>
        <v>54</v>
      </c>
      <c r="R674" s="356">
        <f t="shared" si="226"/>
        <v>104371438.88348608</v>
      </c>
      <c r="S674" s="356">
        <f>IF($G$4="mensual",S673,0)</f>
        <v>10000</v>
      </c>
      <c r="U674" s="356">
        <f t="shared" si="213"/>
        <v>832352.2518279537</v>
      </c>
      <c r="V674" s="359">
        <f t="shared" si="215"/>
        <v>-734.8746776586503</v>
      </c>
      <c r="X674" s="359">
        <f t="shared" si="214"/>
        <v>-122047.14526233819</v>
      </c>
      <c r="Y674" s="356">
        <f t="shared" si="218"/>
        <v>105091009.11537404</v>
      </c>
      <c r="AA674" s="357">
        <f>+Bono!J674</f>
        <v>922548.7236281157</v>
      </c>
      <c r="AC674" s="378">
        <f t="shared" si="219"/>
        <v>54.25</v>
      </c>
      <c r="AD674" s="356">
        <f t="shared" si="220"/>
        <v>107488609.14940824</v>
      </c>
    </row>
    <row r="675" spans="1:30" x14ac:dyDescent="0.25">
      <c r="A675" s="356">
        <f t="shared" si="221"/>
        <v>54.333333333333336</v>
      </c>
      <c r="B675" s="356">
        <f t="shared" si="222"/>
        <v>652</v>
      </c>
      <c r="C675" s="357">
        <f t="shared" si="207"/>
        <v>54</v>
      </c>
      <c r="D675" s="357">
        <f t="shared" si="208"/>
        <v>4</v>
      </c>
      <c r="E675" s="357">
        <f t="shared" si="209"/>
        <v>83</v>
      </c>
      <c r="F675" s="356">
        <f t="shared" si="223"/>
        <v>1475051.3104060765</v>
      </c>
      <c r="H675" s="356">
        <f t="shared" si="216"/>
        <v>11762.26628901657</v>
      </c>
      <c r="I675" s="356">
        <v>0</v>
      </c>
      <c r="J675" s="356">
        <v>0</v>
      </c>
      <c r="K675" s="356">
        <f t="shared" si="224"/>
        <v>-1724.7037489663078</v>
      </c>
      <c r="L675" s="356">
        <f t="shared" si="217"/>
        <v>1485088.8729461266</v>
      </c>
      <c r="N675" s="356">
        <f t="shared" si="225"/>
        <v>652</v>
      </c>
      <c r="O675" s="357">
        <f t="shared" si="210"/>
        <v>54</v>
      </c>
      <c r="P675" s="357">
        <f t="shared" si="211"/>
        <v>4</v>
      </c>
      <c r="Q675" s="357">
        <f t="shared" si="212"/>
        <v>54</v>
      </c>
      <c r="R675" s="356">
        <f t="shared" si="226"/>
        <v>105091009.11537404</v>
      </c>
      <c r="S675" s="356">
        <f>IF($G$4="mensual",S672,IF($G$4="trimestral",S672,0))</f>
        <v>10000</v>
      </c>
      <c r="U675" s="356">
        <f t="shared" si="213"/>
        <v>838090.2059054872</v>
      </c>
      <c r="V675" s="359">
        <f t="shared" si="215"/>
        <v>-734.8746776586503</v>
      </c>
      <c r="X675" s="359">
        <f t="shared" si="214"/>
        <v>-122888.50275805817</v>
      </c>
      <c r="Y675" s="356">
        <f t="shared" si="218"/>
        <v>105815475.94384381</v>
      </c>
      <c r="AA675" s="357">
        <f>+Bono!J675</f>
        <v>928268.6327236386</v>
      </c>
      <c r="AC675" s="378">
        <f t="shared" si="219"/>
        <v>54.333333333333336</v>
      </c>
      <c r="AD675" s="356">
        <f t="shared" si="220"/>
        <v>108228833.44951358</v>
      </c>
    </row>
    <row r="676" spans="1:30" x14ac:dyDescent="0.25">
      <c r="A676" s="356">
        <f t="shared" si="221"/>
        <v>54.416666666666664</v>
      </c>
      <c r="B676" s="356">
        <f t="shared" si="222"/>
        <v>653</v>
      </c>
      <c r="C676" s="357">
        <f t="shared" ref="C676:C739" si="227">C664+1</f>
        <v>54</v>
      </c>
      <c r="D676" s="357">
        <f t="shared" ref="D676:D739" si="228">D664</f>
        <v>5</v>
      </c>
      <c r="E676" s="357">
        <f t="shared" ref="E676:E739" si="229">E664+1</f>
        <v>83</v>
      </c>
      <c r="F676" s="356">
        <f t="shared" si="223"/>
        <v>1485088.8729461266</v>
      </c>
      <c r="H676" s="356">
        <f t="shared" si="216"/>
        <v>11842.307222274834</v>
      </c>
      <c r="I676" s="356">
        <v>0</v>
      </c>
      <c r="J676" s="356">
        <v>0</v>
      </c>
      <c r="K676" s="356">
        <f t="shared" si="224"/>
        <v>-1736.4401689953454</v>
      </c>
      <c r="L676" s="356">
        <f t="shared" si="217"/>
        <v>1495194.739999406</v>
      </c>
      <c r="N676" s="356">
        <f t="shared" si="225"/>
        <v>653</v>
      </c>
      <c r="O676" s="357">
        <f t="shared" ref="O676:O739" si="230">O664+1</f>
        <v>54</v>
      </c>
      <c r="P676" s="357">
        <f t="shared" ref="P676:P739" si="231">P664</f>
        <v>5</v>
      </c>
      <c r="Q676" s="357">
        <f t="shared" ref="Q676:Q739" si="232">Q664+1</f>
        <v>54</v>
      </c>
      <c r="R676" s="356">
        <f t="shared" si="226"/>
        <v>105815475.94384381</v>
      </c>
      <c r="S676" s="356">
        <f>IF($G$4="mensual",S675,0)</f>
        <v>10000</v>
      </c>
      <c r="U676" s="356">
        <f t="shared" ref="U676:U739" si="233">SUM(R676:T676)*$G$8</f>
        <v>843867.2061317877</v>
      </c>
      <c r="V676" s="359">
        <f t="shared" si="215"/>
        <v>-734.8746776586503</v>
      </c>
      <c r="X676" s="359">
        <f t="shared" si="214"/>
        <v>-123735.5855993456</v>
      </c>
      <c r="Y676" s="356">
        <f t="shared" si="218"/>
        <v>106544872.68969859</v>
      </c>
      <c r="AA676" s="357">
        <f>+Bono!J676</f>
        <v>934024.005919022</v>
      </c>
      <c r="AC676" s="378">
        <f t="shared" si="219"/>
        <v>54.416666666666664</v>
      </c>
      <c r="AD676" s="356">
        <f t="shared" si="220"/>
        <v>108974091.43561703</v>
      </c>
    </row>
    <row r="677" spans="1:30" x14ac:dyDescent="0.25">
      <c r="A677" s="356">
        <f t="shared" si="221"/>
        <v>54.5</v>
      </c>
      <c r="B677" s="356">
        <f t="shared" si="222"/>
        <v>654</v>
      </c>
      <c r="C677" s="357">
        <f t="shared" si="227"/>
        <v>54</v>
      </c>
      <c r="D677" s="357">
        <f t="shared" si="228"/>
        <v>6</v>
      </c>
      <c r="E677" s="357">
        <f t="shared" si="229"/>
        <v>83</v>
      </c>
      <c r="F677" s="356">
        <f t="shared" si="223"/>
        <v>1495194.739999406</v>
      </c>
      <c r="H677" s="356">
        <f t="shared" si="216"/>
        <v>11922.892825313516</v>
      </c>
      <c r="I677" s="356">
        <v>0</v>
      </c>
      <c r="J677" s="360">
        <f>-SUM(F677:H677)*$J$21*1.16</f>
        <v>-15734.308086690073</v>
      </c>
      <c r="K677" s="356">
        <f t="shared" si="224"/>
        <v>-1730.0046566961141</v>
      </c>
      <c r="L677" s="356">
        <f t="shared" si="217"/>
        <v>1489653.3200813334</v>
      </c>
      <c r="N677" s="356">
        <f t="shared" si="225"/>
        <v>654</v>
      </c>
      <c r="O677" s="357">
        <f t="shared" si="230"/>
        <v>54</v>
      </c>
      <c r="P677" s="357">
        <f t="shared" si="231"/>
        <v>6</v>
      </c>
      <c r="Q677" s="357">
        <f t="shared" si="232"/>
        <v>54</v>
      </c>
      <c r="R677" s="356">
        <f t="shared" si="226"/>
        <v>106544872.68969859</v>
      </c>
      <c r="S677" s="356">
        <f>IF($G$4="mensual",S676,0)</f>
        <v>10000</v>
      </c>
      <c r="U677" s="356">
        <f t="shared" si="233"/>
        <v>849683.5182116191</v>
      </c>
      <c r="V677" s="359">
        <f t="shared" si="215"/>
        <v>-734.8746776586503</v>
      </c>
      <c r="X677" s="359">
        <f t="shared" si="214"/>
        <v>-124588.43274654975</v>
      </c>
      <c r="Y677" s="356">
        <f t="shared" si="218"/>
        <v>107279232.900486</v>
      </c>
      <c r="AA677" s="357">
        <f>+Bono!J677</f>
        <v>931348.2607255664</v>
      </c>
      <c r="AC677" s="378">
        <f t="shared" si="219"/>
        <v>54.5</v>
      </c>
      <c r="AD677" s="356">
        <f t="shared" si="220"/>
        <v>109700234.48129292</v>
      </c>
    </row>
    <row r="678" spans="1:30" x14ac:dyDescent="0.25">
      <c r="A678" s="356">
        <f t="shared" si="221"/>
        <v>54.583333333333336</v>
      </c>
      <c r="B678" s="356">
        <f t="shared" si="222"/>
        <v>655</v>
      </c>
      <c r="C678" s="357">
        <f t="shared" si="227"/>
        <v>54</v>
      </c>
      <c r="D678" s="357">
        <f t="shared" si="228"/>
        <v>7</v>
      </c>
      <c r="E678" s="357">
        <f t="shared" si="229"/>
        <v>83</v>
      </c>
      <c r="F678" s="356">
        <f t="shared" si="223"/>
        <v>1489653.3200813334</v>
      </c>
      <c r="H678" s="356">
        <f t="shared" si="216"/>
        <v>11878.70476471128</v>
      </c>
      <c r="I678" s="356">
        <v>0</v>
      </c>
      <c r="J678" s="356">
        <v>0</v>
      </c>
      <c r="K678" s="356">
        <f t="shared" si="224"/>
        <v>-1741.7771488214116</v>
      </c>
      <c r="L678" s="356">
        <f t="shared" si="217"/>
        <v>1499790.2476972232</v>
      </c>
      <c r="N678" s="356">
        <f t="shared" si="225"/>
        <v>655</v>
      </c>
      <c r="O678" s="357">
        <f t="shared" si="230"/>
        <v>54</v>
      </c>
      <c r="P678" s="357">
        <f t="shared" si="231"/>
        <v>7</v>
      </c>
      <c r="Q678" s="357">
        <f t="shared" si="232"/>
        <v>54</v>
      </c>
      <c r="R678" s="356">
        <f t="shared" si="226"/>
        <v>107279232.900486</v>
      </c>
      <c r="S678" s="356">
        <f>+IF($G$4="mensual",S672,IF($G$4="trimestral",S672,IF($G$4="semestral",S672,0)))</f>
        <v>10000</v>
      </c>
      <c r="U678" s="356">
        <f t="shared" si="233"/>
        <v>855539.4096578374</v>
      </c>
      <c r="V678" s="359">
        <f t="shared" si="215"/>
        <v>-734.8746776586503</v>
      </c>
      <c r="X678" s="359">
        <f t="shared" si="214"/>
        <v>-125447.08342514078</v>
      </c>
      <c r="Y678" s="356">
        <f t="shared" si="218"/>
        <v>108018590.35204105</v>
      </c>
      <c r="AA678" s="357">
        <f>+Bono!J678</f>
        <v>937122.7279717766</v>
      </c>
      <c r="AC678" s="378">
        <f t="shared" si="219"/>
        <v>54.583333333333336</v>
      </c>
      <c r="AD678" s="356">
        <f t="shared" si="220"/>
        <v>110455503.32771005</v>
      </c>
    </row>
    <row r="679" spans="1:30" x14ac:dyDescent="0.25">
      <c r="A679" s="356">
        <f t="shared" si="221"/>
        <v>54.666666666666664</v>
      </c>
      <c r="B679" s="356">
        <f t="shared" si="222"/>
        <v>656</v>
      </c>
      <c r="C679" s="357">
        <f t="shared" si="227"/>
        <v>54</v>
      </c>
      <c r="D679" s="357">
        <f t="shared" si="228"/>
        <v>8</v>
      </c>
      <c r="E679" s="357">
        <f t="shared" si="229"/>
        <v>83</v>
      </c>
      <c r="F679" s="356">
        <f t="shared" si="223"/>
        <v>1499790.2476972232</v>
      </c>
      <c r="H679" s="356">
        <f t="shared" si="216"/>
        <v>11959.538049038018</v>
      </c>
      <c r="I679" s="356">
        <v>0</v>
      </c>
      <c r="J679" s="356">
        <v>0</v>
      </c>
      <c r="K679" s="356">
        <f t="shared" si="224"/>
        <v>-1753.629751465663</v>
      </c>
      <c r="L679" s="356">
        <f t="shared" si="217"/>
        <v>1509996.1559947955</v>
      </c>
      <c r="N679" s="356">
        <f t="shared" si="225"/>
        <v>656</v>
      </c>
      <c r="O679" s="357">
        <f t="shared" si="230"/>
        <v>54</v>
      </c>
      <c r="P679" s="357">
        <f t="shared" si="231"/>
        <v>8</v>
      </c>
      <c r="Q679" s="357">
        <f t="shared" si="232"/>
        <v>54</v>
      </c>
      <c r="R679" s="356">
        <f t="shared" si="226"/>
        <v>108018590.35204105</v>
      </c>
      <c r="S679" s="356">
        <f>IF($G$4="mensual",S678,0)</f>
        <v>10000</v>
      </c>
      <c r="U679" s="356">
        <f t="shared" si="233"/>
        <v>861435.1498036936</v>
      </c>
      <c r="V679" s="359">
        <f t="shared" si="215"/>
        <v>-734.8746776586503</v>
      </c>
      <c r="X679" s="359">
        <f t="shared" si="214"/>
        <v>-126311.57712751382</v>
      </c>
      <c r="Y679" s="356">
        <f t="shared" si="218"/>
        <v>108762979.05003957</v>
      </c>
      <c r="AA679" s="357">
        <f>+Bono!J679</f>
        <v>942932.99758471</v>
      </c>
      <c r="AC679" s="378">
        <f t="shared" si="219"/>
        <v>54.666666666666664</v>
      </c>
      <c r="AD679" s="356">
        <f t="shared" si="220"/>
        <v>111215908.2036191</v>
      </c>
    </row>
    <row r="680" spans="1:30" x14ac:dyDescent="0.25">
      <c r="A680" s="356">
        <f t="shared" si="221"/>
        <v>54.75</v>
      </c>
      <c r="B680" s="356">
        <f t="shared" si="222"/>
        <v>657</v>
      </c>
      <c r="C680" s="357">
        <f t="shared" si="227"/>
        <v>54</v>
      </c>
      <c r="D680" s="357">
        <f t="shared" si="228"/>
        <v>9</v>
      </c>
      <c r="E680" s="357">
        <f t="shared" si="229"/>
        <v>83</v>
      </c>
      <c r="F680" s="356">
        <f t="shared" si="223"/>
        <v>1509996.1559947955</v>
      </c>
      <c r="H680" s="356">
        <f t="shared" si="216"/>
        <v>12040.921395007374</v>
      </c>
      <c r="I680" s="356">
        <v>0</v>
      </c>
      <c r="J680" s="360">
        <f>-SUM(F680:H680)*$J$21*1.16</f>
        <v>-15890.067087949543</v>
      </c>
      <c r="K680" s="356">
        <f t="shared" si="224"/>
        <v>-1747.1305319501496</v>
      </c>
      <c r="L680" s="356">
        <f t="shared" si="217"/>
        <v>1504399.8797699031</v>
      </c>
      <c r="N680" s="356">
        <f t="shared" si="225"/>
        <v>657</v>
      </c>
      <c r="O680" s="357">
        <f t="shared" si="230"/>
        <v>54</v>
      </c>
      <c r="P680" s="357">
        <f t="shared" si="231"/>
        <v>9</v>
      </c>
      <c r="Q680" s="357">
        <f t="shared" si="232"/>
        <v>54</v>
      </c>
      <c r="R680" s="356">
        <f t="shared" si="226"/>
        <v>108762979.05003957</v>
      </c>
      <c r="S680" s="356">
        <f>IF($G$4="mensual",S679,0)</f>
        <v>10000</v>
      </c>
      <c r="U680" s="356">
        <f t="shared" si="233"/>
        <v>867371.0098152227</v>
      </c>
      <c r="V680" s="359">
        <f t="shared" si="215"/>
        <v>-734.8746776586503</v>
      </c>
      <c r="X680" s="359">
        <f t="shared" si="214"/>
        <v>-127181.95361480546</v>
      </c>
      <c r="Y680" s="356">
        <f t="shared" si="218"/>
        <v>109512433.23156233</v>
      </c>
      <c r="AA680" s="357">
        <f>+Bono!J680</f>
        <v>940231.7303581194</v>
      </c>
      <c r="AC680" s="378">
        <f t="shared" si="219"/>
        <v>54.75</v>
      </c>
      <c r="AD680" s="356">
        <f t="shared" si="220"/>
        <v>111957064.84169036</v>
      </c>
    </row>
    <row r="681" spans="1:30" x14ac:dyDescent="0.25">
      <c r="A681" s="356">
        <f t="shared" si="221"/>
        <v>54.833333333333336</v>
      </c>
      <c r="B681" s="356">
        <f t="shared" si="222"/>
        <v>658</v>
      </c>
      <c r="C681" s="357">
        <f t="shared" si="227"/>
        <v>54</v>
      </c>
      <c r="D681" s="357">
        <f t="shared" si="228"/>
        <v>10</v>
      </c>
      <c r="E681" s="357">
        <f t="shared" si="229"/>
        <v>83</v>
      </c>
      <c r="F681" s="356">
        <f t="shared" si="223"/>
        <v>1504399.8797699031</v>
      </c>
      <c r="H681" s="356">
        <f t="shared" si="216"/>
        <v>11996.295902511147</v>
      </c>
      <c r="I681" s="356">
        <v>0</v>
      </c>
      <c r="J681" s="356">
        <v>0</v>
      </c>
      <c r="K681" s="356">
        <f t="shared" si="224"/>
        <v>-1759.0195637800005</v>
      </c>
      <c r="L681" s="356">
        <f t="shared" si="217"/>
        <v>1514637.1561086343</v>
      </c>
      <c r="N681" s="356">
        <f t="shared" si="225"/>
        <v>658</v>
      </c>
      <c r="O681" s="357">
        <f t="shared" si="230"/>
        <v>54</v>
      </c>
      <c r="P681" s="357">
        <f t="shared" si="231"/>
        <v>10</v>
      </c>
      <c r="Q681" s="357">
        <f t="shared" si="232"/>
        <v>54</v>
      </c>
      <c r="R681" s="356">
        <f t="shared" si="226"/>
        <v>109512433.23156233</v>
      </c>
      <c r="S681" s="356">
        <f>IF($G$4="mensual",S672,IF($G$4="trimestral",S672,0))</f>
        <v>10000</v>
      </c>
      <c r="U681" s="356">
        <f t="shared" si="233"/>
        <v>873347.2627037143</v>
      </c>
      <c r="V681" s="359">
        <f t="shared" si="215"/>
        <v>-734.8746776586503</v>
      </c>
      <c r="X681" s="359">
        <f t="shared" si="214"/>
        <v>-128058.25291872252</v>
      </c>
      <c r="Y681" s="356">
        <f t="shared" si="218"/>
        <v>110266987.36666967</v>
      </c>
      <c r="AA681" s="357">
        <f>+Bono!J681</f>
        <v>946061.2761464701</v>
      </c>
      <c r="AC681" s="378">
        <f t="shared" si="219"/>
        <v>54.833333333333336</v>
      </c>
      <c r="AD681" s="356">
        <f t="shared" si="220"/>
        <v>112727685.79892477</v>
      </c>
    </row>
    <row r="682" spans="1:30" x14ac:dyDescent="0.25">
      <c r="A682" s="356">
        <f t="shared" si="221"/>
        <v>54.916666666666664</v>
      </c>
      <c r="B682" s="356">
        <f t="shared" si="222"/>
        <v>659</v>
      </c>
      <c r="C682" s="357">
        <f t="shared" si="227"/>
        <v>54</v>
      </c>
      <c r="D682" s="357">
        <f t="shared" si="228"/>
        <v>11</v>
      </c>
      <c r="E682" s="357">
        <f t="shared" si="229"/>
        <v>83</v>
      </c>
      <c r="F682" s="356">
        <f t="shared" si="223"/>
        <v>1514637.1561086343</v>
      </c>
      <c r="H682" s="356">
        <f t="shared" si="216"/>
        <v>12077.929381645683</v>
      </c>
      <c r="I682" s="356">
        <v>0</v>
      </c>
      <c r="J682" s="356">
        <v>0</v>
      </c>
      <c r="K682" s="356">
        <f t="shared" si="224"/>
        <v>-1770.9894991687247</v>
      </c>
      <c r="L682" s="356">
        <f t="shared" si="217"/>
        <v>1524944.0959911114</v>
      </c>
      <c r="N682" s="356">
        <f t="shared" si="225"/>
        <v>659</v>
      </c>
      <c r="O682" s="357">
        <f t="shared" si="230"/>
        <v>54</v>
      </c>
      <c r="P682" s="357">
        <f t="shared" si="231"/>
        <v>11</v>
      </c>
      <c r="Q682" s="357">
        <f t="shared" si="232"/>
        <v>54</v>
      </c>
      <c r="R682" s="356">
        <f t="shared" si="226"/>
        <v>110266987.36666967</v>
      </c>
      <c r="S682" s="356">
        <f>IF($G$17="si",S670*(1+$G$20),S670)</f>
        <v>10000</v>
      </c>
      <c r="U682" s="356">
        <f t="shared" si="233"/>
        <v>879364.1833382703</v>
      </c>
      <c r="V682" s="359">
        <f t="shared" si="215"/>
        <v>-734.8746776586503</v>
      </c>
      <c r="X682" s="359">
        <f t="shared" si="214"/>
        <v>-128940.51534338311</v>
      </c>
      <c r="Y682" s="356">
        <f t="shared" si="218"/>
        <v>111026676.1599869</v>
      </c>
      <c r="AA682" s="357">
        <f>+Bono!J682</f>
        <v>951926.9657948941</v>
      </c>
      <c r="AC682" s="378">
        <f t="shared" si="219"/>
        <v>54.916666666666664</v>
      </c>
      <c r="AD682" s="356">
        <f t="shared" si="220"/>
        <v>113503547.2217729</v>
      </c>
    </row>
    <row r="683" spans="1:30" x14ac:dyDescent="0.25">
      <c r="A683" s="356">
        <f t="shared" si="221"/>
        <v>55</v>
      </c>
      <c r="B683" s="356">
        <f t="shared" si="222"/>
        <v>660</v>
      </c>
      <c r="C683" s="357">
        <f t="shared" si="227"/>
        <v>54</v>
      </c>
      <c r="D683" s="357">
        <f t="shared" si="228"/>
        <v>12</v>
      </c>
      <c r="E683" s="357">
        <f t="shared" si="229"/>
        <v>83</v>
      </c>
      <c r="F683" s="356">
        <f t="shared" si="223"/>
        <v>1524944.0959911114</v>
      </c>
      <c r="H683" s="356">
        <f t="shared" si="216"/>
        <v>12160.118367660823</v>
      </c>
      <c r="I683" s="356">
        <v>0</v>
      </c>
      <c r="J683" s="360">
        <f>-SUM(F683:H683)*$J$21*1.16</f>
        <v>-16047.367997905581</v>
      </c>
      <c r="K683" s="356">
        <f t="shared" si="224"/>
        <v>-1764.4259417786054</v>
      </c>
      <c r="L683" s="356">
        <f t="shared" si="217"/>
        <v>1519292.420419088</v>
      </c>
      <c r="N683" s="356">
        <f t="shared" si="225"/>
        <v>660</v>
      </c>
      <c r="O683" s="357">
        <f t="shared" si="230"/>
        <v>54</v>
      </c>
      <c r="P683" s="357">
        <f t="shared" si="231"/>
        <v>12</v>
      </c>
      <c r="Q683" s="357">
        <f t="shared" si="232"/>
        <v>54</v>
      </c>
      <c r="R683" s="356">
        <f t="shared" si="226"/>
        <v>111026676.1599869</v>
      </c>
      <c r="S683" s="356">
        <f>IF($G$4="mensual",S682,0)</f>
        <v>10000</v>
      </c>
      <c r="U683" s="356">
        <f t="shared" si="233"/>
        <v>885422.0484584463</v>
      </c>
      <c r="V683" s="359">
        <f t="shared" si="215"/>
        <v>-734.8746776586503</v>
      </c>
      <c r="X683" s="359">
        <f t="shared" ref="X683:X746" si="234">-SUM(R683:V683)*0.1%*1.16</f>
        <v>-129828.78146717051</v>
      </c>
      <c r="Y683" s="356">
        <f t="shared" si="218"/>
        <v>111791534.55230051</v>
      </c>
      <c r="AA683" s="357">
        <f>+Bono!J683</f>
        <v>949199.9330986197</v>
      </c>
      <c r="AC683" s="378">
        <f t="shared" si="219"/>
        <v>55</v>
      </c>
      <c r="AD683" s="356">
        <f t="shared" si="220"/>
        <v>114260026.90581821</v>
      </c>
    </row>
    <row r="684" spans="1:30" x14ac:dyDescent="0.25">
      <c r="A684" s="356">
        <f t="shared" si="221"/>
        <v>55.083333333333336</v>
      </c>
      <c r="B684" s="356">
        <f t="shared" si="222"/>
        <v>661</v>
      </c>
      <c r="C684" s="357">
        <f t="shared" si="227"/>
        <v>55</v>
      </c>
      <c r="D684" s="357">
        <f t="shared" si="228"/>
        <v>1</v>
      </c>
      <c r="E684" s="357">
        <f t="shared" si="229"/>
        <v>84</v>
      </c>
      <c r="F684" s="356">
        <f t="shared" si="223"/>
        <v>1519292.420419088</v>
      </c>
      <c r="H684" s="356">
        <f t="shared" si="216"/>
        <v>12115.051112990905</v>
      </c>
      <c r="I684" s="356">
        <v>0</v>
      </c>
      <c r="J684" s="356">
        <v>0</v>
      </c>
      <c r="K684" s="356">
        <f t="shared" si="224"/>
        <v>-1776.4326669772115</v>
      </c>
      <c r="L684" s="356">
        <f t="shared" si="217"/>
        <v>1529631.0388651018</v>
      </c>
      <c r="N684" s="356">
        <f t="shared" si="225"/>
        <v>661</v>
      </c>
      <c r="O684" s="357">
        <f t="shared" si="230"/>
        <v>55</v>
      </c>
      <c r="P684" s="357">
        <f t="shared" si="231"/>
        <v>1</v>
      </c>
      <c r="Q684" s="357">
        <f t="shared" si="232"/>
        <v>55</v>
      </c>
      <c r="R684" s="356">
        <f t="shared" si="226"/>
        <v>111791534.55230051</v>
      </c>
      <c r="S684" s="356">
        <f>IF($G$17="si",S672*(1+$G$20),S672)</f>
        <v>10000</v>
      </c>
      <c r="U684" s="356">
        <f t="shared" si="233"/>
        <v>891521.1366869806</v>
      </c>
      <c r="V684" s="359">
        <f>V683*(1+$G$18)</f>
        <v>-764.2696647649964</v>
      </c>
      <c r="X684" s="359">
        <f t="shared" si="234"/>
        <v>-130723.05804641436</v>
      </c>
      <c r="Y684" s="356">
        <f t="shared" si="218"/>
        <v>112561568.36127631</v>
      </c>
      <c r="AA684" s="357">
        <f>+Bono!J684</f>
        <v>955085.0827842087</v>
      </c>
      <c r="AC684" s="378">
        <f t="shared" si="219"/>
        <v>55.083333333333336</v>
      </c>
      <c r="AD684" s="356">
        <f t="shared" si="220"/>
        <v>115046284.48292562</v>
      </c>
    </row>
    <row r="685" spans="1:30" x14ac:dyDescent="0.25">
      <c r="A685" s="356">
        <f t="shared" si="221"/>
        <v>55.166666666666664</v>
      </c>
      <c r="B685" s="356">
        <f t="shared" si="222"/>
        <v>662</v>
      </c>
      <c r="C685" s="357">
        <f t="shared" si="227"/>
        <v>55</v>
      </c>
      <c r="D685" s="357">
        <f t="shared" si="228"/>
        <v>2</v>
      </c>
      <c r="E685" s="357">
        <f t="shared" si="229"/>
        <v>84</v>
      </c>
      <c r="F685" s="356">
        <f t="shared" si="223"/>
        <v>1529631.0388651018</v>
      </c>
      <c r="H685" s="356">
        <f t="shared" si="216"/>
        <v>12197.492708320273</v>
      </c>
      <c r="I685" s="356">
        <v>0</v>
      </c>
      <c r="J685" s="356">
        <v>0</v>
      </c>
      <c r="K685" s="356">
        <f t="shared" si="224"/>
        <v>-1788.5210966251693</v>
      </c>
      <c r="L685" s="356">
        <f t="shared" si="217"/>
        <v>1540040.010476797</v>
      </c>
      <c r="N685" s="356">
        <f t="shared" si="225"/>
        <v>662</v>
      </c>
      <c r="O685" s="357">
        <f t="shared" si="230"/>
        <v>55</v>
      </c>
      <c r="P685" s="357">
        <f t="shared" si="231"/>
        <v>2</v>
      </c>
      <c r="Q685" s="357">
        <f t="shared" si="232"/>
        <v>55</v>
      </c>
      <c r="R685" s="356">
        <f t="shared" si="226"/>
        <v>112561568.36127631</v>
      </c>
      <c r="S685" s="356">
        <f>IF($G$4="mensual",S684,0)</f>
        <v>10000</v>
      </c>
      <c r="U685" s="356">
        <f t="shared" si="233"/>
        <v>897661.4944147574</v>
      </c>
      <c r="V685" s="359">
        <f t="shared" si="215"/>
        <v>-764.2696647649964</v>
      </c>
      <c r="X685" s="359">
        <f t="shared" si="234"/>
        <v>-131623.42007979052</v>
      </c>
      <c r="Y685" s="356">
        <f t="shared" si="218"/>
        <v>113336842.16594651</v>
      </c>
      <c r="AA685" s="357">
        <f>+Bono!J685</f>
        <v>961006.7210804835</v>
      </c>
      <c r="AC685" s="378">
        <f t="shared" si="219"/>
        <v>55.166666666666664</v>
      </c>
      <c r="AD685" s="356">
        <f t="shared" si="220"/>
        <v>115837888.8975038</v>
      </c>
    </row>
    <row r="686" spans="1:30" x14ac:dyDescent="0.25">
      <c r="A686" s="356">
        <f t="shared" si="221"/>
        <v>55.25</v>
      </c>
      <c r="B686" s="356">
        <f t="shared" si="222"/>
        <v>663</v>
      </c>
      <c r="C686" s="357">
        <f t="shared" si="227"/>
        <v>55</v>
      </c>
      <c r="D686" s="357">
        <f t="shared" si="228"/>
        <v>3</v>
      </c>
      <c r="E686" s="357">
        <f t="shared" si="229"/>
        <v>84</v>
      </c>
      <c r="F686" s="356">
        <f t="shared" si="223"/>
        <v>1540040.010476797</v>
      </c>
      <c r="H686" s="356">
        <f t="shared" si="216"/>
        <v>12280.495309672402</v>
      </c>
      <c r="I686" s="356">
        <v>0</v>
      </c>
      <c r="J686" s="360">
        <f>-SUM(F686:H686)*$J$21*1.16</f>
        <v>-16206.22608041074</v>
      </c>
      <c r="K686" s="356">
        <f t="shared" si="224"/>
        <v>-1781.8925644590279</v>
      </c>
      <c r="L686" s="356">
        <f t="shared" si="217"/>
        <v>1534332.3871415996</v>
      </c>
      <c r="N686" s="356">
        <f t="shared" si="225"/>
        <v>663</v>
      </c>
      <c r="O686" s="357">
        <f t="shared" si="230"/>
        <v>55</v>
      </c>
      <c r="P686" s="357">
        <f t="shared" si="231"/>
        <v>3</v>
      </c>
      <c r="Q686" s="357">
        <f t="shared" si="232"/>
        <v>55</v>
      </c>
      <c r="R686" s="356">
        <f t="shared" si="226"/>
        <v>113336842.16594651</v>
      </c>
      <c r="S686" s="356">
        <f>IF($G$4="mensual",S685,0)</f>
        <v>10000</v>
      </c>
      <c r="U686" s="356">
        <f t="shared" si="233"/>
        <v>903843.636604048</v>
      </c>
      <c r="V686" s="359">
        <f t="shared" si="215"/>
        <v>-764.2696647649964</v>
      </c>
      <c r="X686" s="359">
        <f t="shared" si="234"/>
        <v>-132529.90897814752</v>
      </c>
      <c r="Y686" s="356">
        <f t="shared" si="218"/>
        <v>114117391.62390764</v>
      </c>
      <c r="AA686" s="357">
        <f>+Bono!J686</f>
        <v>958253.6771560081</v>
      </c>
      <c r="AC686" s="378">
        <f t="shared" si="219"/>
        <v>55.25</v>
      </c>
      <c r="AD686" s="356">
        <f t="shared" si="220"/>
        <v>116609977.68820524</v>
      </c>
    </row>
    <row r="687" spans="1:30" x14ac:dyDescent="0.25">
      <c r="A687" s="356">
        <f t="shared" si="221"/>
        <v>55.333333333333336</v>
      </c>
      <c r="B687" s="356">
        <f t="shared" si="222"/>
        <v>664</v>
      </c>
      <c r="C687" s="357">
        <f t="shared" si="227"/>
        <v>55</v>
      </c>
      <c r="D687" s="357">
        <f t="shared" si="228"/>
        <v>4</v>
      </c>
      <c r="E687" s="357">
        <f t="shared" si="229"/>
        <v>84</v>
      </c>
      <c r="F687" s="356">
        <f t="shared" si="223"/>
        <v>1534332.3871415996</v>
      </c>
      <c r="H687" s="356">
        <f t="shared" si="216"/>
        <v>12234.981919682252</v>
      </c>
      <c r="I687" s="356">
        <v>0</v>
      </c>
      <c r="J687" s="356">
        <v>0</v>
      </c>
      <c r="K687" s="356">
        <f t="shared" si="224"/>
        <v>-1794.018148111087</v>
      </c>
      <c r="L687" s="356">
        <f t="shared" si="217"/>
        <v>1544773.3509131707</v>
      </c>
      <c r="N687" s="356">
        <f t="shared" si="225"/>
        <v>664</v>
      </c>
      <c r="O687" s="357">
        <f t="shared" si="230"/>
        <v>55</v>
      </c>
      <c r="P687" s="357">
        <f t="shared" si="231"/>
        <v>4</v>
      </c>
      <c r="Q687" s="357">
        <f t="shared" si="232"/>
        <v>55</v>
      </c>
      <c r="R687" s="356">
        <f t="shared" si="226"/>
        <v>114117391.62390764</v>
      </c>
      <c r="S687" s="356">
        <f>IF($G$4="mensual",S684,IF($G$4="trimestral",S684,0))</f>
        <v>10000</v>
      </c>
      <c r="U687" s="356">
        <f t="shared" si="233"/>
        <v>910067.8475935347</v>
      </c>
      <c r="V687" s="359">
        <f t="shared" si="215"/>
        <v>-764.2696647649964</v>
      </c>
      <c r="X687" s="359">
        <f t="shared" si="234"/>
        <v>-133442.56643413022</v>
      </c>
      <c r="Y687" s="356">
        <f t="shared" si="218"/>
        <v>114903252.63540228</v>
      </c>
      <c r="AA687" s="357">
        <f>+Bono!J687</f>
        <v>964194.9611049222</v>
      </c>
      <c r="AC687" s="378">
        <f t="shared" si="219"/>
        <v>55.333333333333336</v>
      </c>
      <c r="AD687" s="356">
        <f t="shared" si="220"/>
        <v>117412220.94742037</v>
      </c>
    </row>
    <row r="688" spans="1:30" x14ac:dyDescent="0.25">
      <c r="A688" s="356">
        <f t="shared" si="221"/>
        <v>55.416666666666664</v>
      </c>
      <c r="B688" s="356">
        <f t="shared" si="222"/>
        <v>665</v>
      </c>
      <c r="C688" s="357">
        <f t="shared" si="227"/>
        <v>55</v>
      </c>
      <c r="D688" s="357">
        <f t="shared" si="228"/>
        <v>5</v>
      </c>
      <c r="E688" s="357">
        <f t="shared" si="229"/>
        <v>84</v>
      </c>
      <c r="F688" s="356">
        <f t="shared" si="223"/>
        <v>1544773.3509131707</v>
      </c>
      <c r="H688" s="356">
        <f t="shared" si="216"/>
        <v>12318.239631009856</v>
      </c>
      <c r="I688" s="356">
        <v>0</v>
      </c>
      <c r="J688" s="356">
        <v>0</v>
      </c>
      <c r="K688" s="356">
        <f t="shared" si="224"/>
        <v>-1806.2262450312492</v>
      </c>
      <c r="L688" s="356">
        <f t="shared" si="217"/>
        <v>1555285.3642991493</v>
      </c>
      <c r="N688" s="356">
        <f t="shared" si="225"/>
        <v>665</v>
      </c>
      <c r="O688" s="357">
        <f t="shared" si="230"/>
        <v>55</v>
      </c>
      <c r="P688" s="357">
        <f t="shared" si="231"/>
        <v>5</v>
      </c>
      <c r="Q688" s="357">
        <f t="shared" si="232"/>
        <v>55</v>
      </c>
      <c r="R688" s="356">
        <f t="shared" si="226"/>
        <v>114903252.63540228</v>
      </c>
      <c r="S688" s="356">
        <f>IF($G$4="mensual",S687,0)</f>
        <v>10000</v>
      </c>
      <c r="U688" s="356">
        <f t="shared" si="233"/>
        <v>916334.4136567933</v>
      </c>
      <c r="V688" s="359">
        <f t="shared" si="215"/>
        <v>-764.2696647649964</v>
      </c>
      <c r="X688" s="359">
        <f t="shared" si="234"/>
        <v>-134361.4344240974</v>
      </c>
      <c r="Y688" s="356">
        <f t="shared" si="218"/>
        <v>115694461.3449702</v>
      </c>
      <c r="AA688" s="357">
        <f>+Bono!J688</f>
        <v>970173.0817034659</v>
      </c>
      <c r="AC688" s="378">
        <f t="shared" si="219"/>
        <v>55.416666666666664</v>
      </c>
      <c r="AD688" s="356">
        <f t="shared" si="220"/>
        <v>118219919.79097281</v>
      </c>
    </row>
    <row r="689" spans="1:30" x14ac:dyDescent="0.25">
      <c r="A689" s="356">
        <f t="shared" si="221"/>
        <v>55.5</v>
      </c>
      <c r="B689" s="356">
        <f t="shared" si="222"/>
        <v>666</v>
      </c>
      <c r="C689" s="357">
        <f t="shared" si="227"/>
        <v>55</v>
      </c>
      <c r="D689" s="357">
        <f t="shared" si="228"/>
        <v>6</v>
      </c>
      <c r="E689" s="357">
        <f t="shared" si="229"/>
        <v>84</v>
      </c>
      <c r="F689" s="356">
        <f t="shared" si="223"/>
        <v>1555285.3642991493</v>
      </c>
      <c r="H689" s="356">
        <f t="shared" si="216"/>
        <v>12402.063901940166</v>
      </c>
      <c r="I689" s="356">
        <v>0</v>
      </c>
      <c r="J689" s="360">
        <f>-SUM(F689:H689)*$J$21*1.16</f>
        <v>-16366.656750419374</v>
      </c>
      <c r="K689" s="356">
        <f t="shared" si="224"/>
        <v>-1799.532094882777</v>
      </c>
      <c r="L689" s="356">
        <f t="shared" si="217"/>
        <v>1549521.2393557872</v>
      </c>
      <c r="N689" s="356">
        <f t="shared" si="225"/>
        <v>666</v>
      </c>
      <c r="O689" s="357">
        <f t="shared" si="230"/>
        <v>55</v>
      </c>
      <c r="P689" s="357">
        <f t="shared" si="231"/>
        <v>6</v>
      </c>
      <c r="Q689" s="357">
        <f t="shared" si="232"/>
        <v>55</v>
      </c>
      <c r="R689" s="356">
        <f t="shared" si="226"/>
        <v>115694461.3449702</v>
      </c>
      <c r="S689" s="356">
        <f>IF($G$4="mensual",S688,0)</f>
        <v>10000</v>
      </c>
      <c r="U689" s="356">
        <f t="shared" si="233"/>
        <v>922643.6230154596</v>
      </c>
      <c r="V689" s="359">
        <f t="shared" si="215"/>
        <v>-764.2696647649964</v>
      </c>
      <c r="X689" s="359">
        <f t="shared" si="234"/>
        <v>-135286.55521005223</v>
      </c>
      <c r="Y689" s="356">
        <f t="shared" si="218"/>
        <v>116491054.14311084</v>
      </c>
      <c r="AA689" s="357">
        <f>+Bono!J689</f>
        <v>967393.7784481564</v>
      </c>
      <c r="AC689" s="378">
        <f t="shared" si="219"/>
        <v>55.5</v>
      </c>
      <c r="AD689" s="356">
        <f t="shared" si="220"/>
        <v>119007969.16091478</v>
      </c>
    </row>
    <row r="690" spans="1:30" x14ac:dyDescent="0.25">
      <c r="A690" s="356">
        <f t="shared" si="221"/>
        <v>55.583333333333336</v>
      </c>
      <c r="B690" s="356">
        <f t="shared" si="222"/>
        <v>667</v>
      </c>
      <c r="C690" s="357">
        <f t="shared" si="227"/>
        <v>55</v>
      </c>
      <c r="D690" s="357">
        <f t="shared" si="228"/>
        <v>7</v>
      </c>
      <c r="E690" s="357">
        <f t="shared" si="229"/>
        <v>84</v>
      </c>
      <c r="F690" s="356">
        <f t="shared" si="223"/>
        <v>1549521.2393557872</v>
      </c>
      <c r="H690" s="356">
        <f t="shared" si="216"/>
        <v>12356.099960192048</v>
      </c>
      <c r="I690" s="356">
        <v>0</v>
      </c>
      <c r="J690" s="356">
        <v>0</v>
      </c>
      <c r="K690" s="356">
        <f t="shared" si="224"/>
        <v>-1811.7777136065358</v>
      </c>
      <c r="L690" s="356">
        <f t="shared" si="217"/>
        <v>1560065.5616023727</v>
      </c>
      <c r="N690" s="356">
        <f t="shared" si="225"/>
        <v>667</v>
      </c>
      <c r="O690" s="357">
        <f t="shared" si="230"/>
        <v>55</v>
      </c>
      <c r="P690" s="357">
        <f t="shared" si="231"/>
        <v>7</v>
      </c>
      <c r="Q690" s="357">
        <f t="shared" si="232"/>
        <v>55</v>
      </c>
      <c r="R690" s="356">
        <f t="shared" si="226"/>
        <v>116491054.14311084</v>
      </c>
      <c r="S690" s="356">
        <f>+IF($G$4="mensual",S684,IF($G$4="trimestral",S684,IF($G$4="semestral",S684,0)))</f>
        <v>10000</v>
      </c>
      <c r="U690" s="356">
        <f t="shared" si="233"/>
        <v>928995.7658524866</v>
      </c>
      <c r="V690" s="359">
        <f t="shared" si="215"/>
        <v>-764.2696647649964</v>
      </c>
      <c r="X690" s="359">
        <f t="shared" si="234"/>
        <v>-136217.97134158632</v>
      </c>
      <c r="Y690" s="356">
        <f t="shared" si="218"/>
        <v>117293067.66795698</v>
      </c>
      <c r="AA690" s="357">
        <f>+Bono!J690</f>
        <v>973391.732085268</v>
      </c>
      <c r="AC690" s="378">
        <f t="shared" si="219"/>
        <v>55.583333333333336</v>
      </c>
      <c r="AD690" s="356">
        <f t="shared" si="220"/>
        <v>119826524.96164462</v>
      </c>
    </row>
    <row r="691" spans="1:30" x14ac:dyDescent="0.25">
      <c r="A691" s="356">
        <f t="shared" si="221"/>
        <v>55.666666666666664</v>
      </c>
      <c r="B691" s="356">
        <f t="shared" si="222"/>
        <v>668</v>
      </c>
      <c r="C691" s="357">
        <f t="shared" si="227"/>
        <v>55</v>
      </c>
      <c r="D691" s="357">
        <f t="shared" si="228"/>
        <v>8</v>
      </c>
      <c r="E691" s="357">
        <f t="shared" si="229"/>
        <v>84</v>
      </c>
      <c r="F691" s="356">
        <f t="shared" si="223"/>
        <v>1560065.5616023727</v>
      </c>
      <c r="H691" s="356">
        <f t="shared" si="216"/>
        <v>12440.181866513936</v>
      </c>
      <c r="I691" s="356">
        <v>0</v>
      </c>
      <c r="J691" s="356">
        <v>0</v>
      </c>
      <c r="K691" s="356">
        <f t="shared" si="224"/>
        <v>-1824.1066624239086</v>
      </c>
      <c r="L691" s="356">
        <f t="shared" si="217"/>
        <v>1570681.636806463</v>
      </c>
      <c r="N691" s="356">
        <f t="shared" si="225"/>
        <v>668</v>
      </c>
      <c r="O691" s="357">
        <f t="shared" si="230"/>
        <v>55</v>
      </c>
      <c r="P691" s="357">
        <f t="shared" si="231"/>
        <v>8</v>
      </c>
      <c r="Q691" s="357">
        <f t="shared" si="232"/>
        <v>55</v>
      </c>
      <c r="R691" s="356">
        <f t="shared" si="226"/>
        <v>117293067.66795698</v>
      </c>
      <c r="S691" s="356">
        <f>IF($G$4="mensual",S690,0)</f>
        <v>10000</v>
      </c>
      <c r="U691" s="356">
        <f t="shared" si="233"/>
        <v>935391.1343254898</v>
      </c>
      <c r="V691" s="359">
        <f t="shared" si="215"/>
        <v>-764.2696647649964</v>
      </c>
      <c r="X691" s="359">
        <f t="shared" si="234"/>
        <v>-137155.72565783653</v>
      </c>
      <c r="Y691" s="356">
        <f t="shared" si="218"/>
        <v>118100538.80695987</v>
      </c>
      <c r="AA691" s="357">
        <f>+Bono!J691</f>
        <v>979426.8737306491</v>
      </c>
      <c r="AC691" s="378">
        <f t="shared" si="219"/>
        <v>55.666666666666664</v>
      </c>
      <c r="AD691" s="356">
        <f t="shared" si="220"/>
        <v>120650647.31749697</v>
      </c>
    </row>
    <row r="692" spans="1:30" x14ac:dyDescent="0.25">
      <c r="A692" s="356">
        <f t="shared" si="221"/>
        <v>55.75</v>
      </c>
      <c r="B692" s="356">
        <f t="shared" si="222"/>
        <v>669</v>
      </c>
      <c r="C692" s="357">
        <f t="shared" si="227"/>
        <v>55</v>
      </c>
      <c r="D692" s="357">
        <f t="shared" si="228"/>
        <v>9</v>
      </c>
      <c r="E692" s="357">
        <f t="shared" si="229"/>
        <v>84</v>
      </c>
      <c r="F692" s="356">
        <f t="shared" si="223"/>
        <v>1570681.636806463</v>
      </c>
      <c r="H692" s="356">
        <f t="shared" si="216"/>
        <v>12524.835940995155</v>
      </c>
      <c r="I692" s="356">
        <v>0</v>
      </c>
      <c r="J692" s="360">
        <f>-SUM(F692:H692)*$J$21*1.16</f>
        <v>-16528.675575483463</v>
      </c>
      <c r="K692" s="356">
        <f t="shared" si="224"/>
        <v>-1817.3462447194906</v>
      </c>
      <c r="L692" s="356">
        <f t="shared" si="217"/>
        <v>1564860.4509272552</v>
      </c>
      <c r="N692" s="356">
        <f t="shared" si="225"/>
        <v>669</v>
      </c>
      <c r="O692" s="357">
        <f t="shared" si="230"/>
        <v>55</v>
      </c>
      <c r="P692" s="357">
        <f t="shared" si="231"/>
        <v>9</v>
      </c>
      <c r="Q692" s="357">
        <f t="shared" si="232"/>
        <v>55</v>
      </c>
      <c r="R692" s="356">
        <f t="shared" si="226"/>
        <v>118100538.80695987</v>
      </c>
      <c r="S692" s="356">
        <f>IF($G$4="mensual",S691,0)</f>
        <v>10000</v>
      </c>
      <c r="U692" s="356">
        <f t="shared" si="233"/>
        <v>941830.0225801857</v>
      </c>
      <c r="V692" s="359">
        <f t="shared" si="215"/>
        <v>-764.2696647649964</v>
      </c>
      <c r="X692" s="359">
        <f t="shared" si="234"/>
        <v>-138099.86128945532</v>
      </c>
      <c r="Y692" s="356">
        <f t="shared" si="218"/>
        <v>118913504.69858584</v>
      </c>
      <c r="AA692" s="357">
        <f>+Bono!J692</f>
        <v>976621.0606753975</v>
      </c>
      <c r="AC692" s="378">
        <f t="shared" si="219"/>
        <v>55.75</v>
      </c>
      <c r="AD692" s="356">
        <f t="shared" si="220"/>
        <v>121454986.2101885</v>
      </c>
    </row>
    <row r="693" spans="1:30" x14ac:dyDescent="0.25">
      <c r="A693" s="356">
        <f t="shared" si="221"/>
        <v>55.833333333333336</v>
      </c>
      <c r="B693" s="356">
        <f t="shared" si="222"/>
        <v>670</v>
      </c>
      <c r="C693" s="357">
        <f t="shared" si="227"/>
        <v>55</v>
      </c>
      <c r="D693" s="357">
        <f t="shared" si="228"/>
        <v>10</v>
      </c>
      <c r="E693" s="357">
        <f t="shared" si="229"/>
        <v>84</v>
      </c>
      <c r="F693" s="356">
        <f t="shared" si="223"/>
        <v>1564860.4509272552</v>
      </c>
      <c r="H693" s="356">
        <f t="shared" si="216"/>
        <v>12478.4169873316</v>
      </c>
      <c r="I693" s="356">
        <v>0</v>
      </c>
      <c r="J693" s="356">
        <v>0</v>
      </c>
      <c r="K693" s="356">
        <f t="shared" si="224"/>
        <v>-1829.7130867809208</v>
      </c>
      <c r="L693" s="356">
        <f t="shared" si="217"/>
        <v>1575509.154827806</v>
      </c>
      <c r="N693" s="356">
        <f t="shared" si="225"/>
        <v>670</v>
      </c>
      <c r="O693" s="357">
        <f t="shared" si="230"/>
        <v>55</v>
      </c>
      <c r="P693" s="357">
        <f t="shared" si="231"/>
        <v>10</v>
      </c>
      <c r="Q693" s="357">
        <f t="shared" si="232"/>
        <v>55</v>
      </c>
      <c r="R693" s="356">
        <f t="shared" si="226"/>
        <v>118913504.69858584</v>
      </c>
      <c r="S693" s="356">
        <f>IF($G$4="mensual",S684,IF($G$4="trimestral",S684,0))</f>
        <v>10000</v>
      </c>
      <c r="U693" s="356">
        <f t="shared" si="233"/>
        <v>948312.7267639202</v>
      </c>
      <c r="V693" s="359">
        <f t="shared" si="215"/>
        <v>-764.2696647649964</v>
      </c>
      <c r="X693" s="359">
        <f t="shared" si="234"/>
        <v>-139050.42166059458</v>
      </c>
      <c r="Y693" s="356">
        <f t="shared" si="218"/>
        <v>119732002.7340244</v>
      </c>
      <c r="AA693" s="357">
        <f>+Bono!J693</f>
        <v>982676.2245326164</v>
      </c>
      <c r="AC693" s="378">
        <f t="shared" si="219"/>
        <v>55.833333333333336</v>
      </c>
      <c r="AD693" s="356">
        <f t="shared" si="220"/>
        <v>122290188.11338483</v>
      </c>
    </row>
    <row r="694" spans="1:30" x14ac:dyDescent="0.25">
      <c r="A694" s="356">
        <f t="shared" si="221"/>
        <v>55.916666666666664</v>
      </c>
      <c r="B694" s="356">
        <f t="shared" si="222"/>
        <v>671</v>
      </c>
      <c r="C694" s="357">
        <f t="shared" si="227"/>
        <v>55</v>
      </c>
      <c r="D694" s="357">
        <f t="shared" si="228"/>
        <v>11</v>
      </c>
      <c r="E694" s="357">
        <f t="shared" si="229"/>
        <v>84</v>
      </c>
      <c r="F694" s="356">
        <f t="shared" si="223"/>
        <v>1575509.154827806</v>
      </c>
      <c r="H694" s="356">
        <f t="shared" si="216"/>
        <v>12563.331247620408</v>
      </c>
      <c r="I694" s="356">
        <v>0</v>
      </c>
      <c r="J694" s="356">
        <v>0</v>
      </c>
      <c r="K694" s="356">
        <f t="shared" si="224"/>
        <v>-1842.1640838474946</v>
      </c>
      <c r="L694" s="356">
        <f t="shared" si="217"/>
        <v>1586230.321991579</v>
      </c>
      <c r="N694" s="356">
        <f t="shared" si="225"/>
        <v>671</v>
      </c>
      <c r="O694" s="357">
        <f t="shared" si="230"/>
        <v>55</v>
      </c>
      <c r="P694" s="357">
        <f t="shared" si="231"/>
        <v>11</v>
      </c>
      <c r="Q694" s="357">
        <f t="shared" si="232"/>
        <v>55</v>
      </c>
      <c r="R694" s="356">
        <f t="shared" si="226"/>
        <v>119732002.7340244</v>
      </c>
      <c r="S694" s="356">
        <f>IF($G$17="si",S682*(1+$G$20),S682)</f>
        <v>10000</v>
      </c>
      <c r="U694" s="356">
        <f t="shared" si="233"/>
        <v>954839.545039289</v>
      </c>
      <c r="V694" s="359">
        <f t="shared" si="215"/>
        <v>-764.2696647649964</v>
      </c>
      <c r="X694" s="359">
        <f t="shared" si="234"/>
        <v>-140007.45049090276</v>
      </c>
      <c r="Y694" s="356">
        <f t="shared" si="218"/>
        <v>120556070.55890803</v>
      </c>
      <c r="AA694" s="357">
        <f>+Bono!J694</f>
        <v>988768.9311081056</v>
      </c>
      <c r="AC694" s="378">
        <f t="shared" si="219"/>
        <v>55.916666666666664</v>
      </c>
      <c r="AD694" s="356">
        <f t="shared" si="220"/>
        <v>123131069.81200771</v>
      </c>
    </row>
    <row r="695" spans="1:30" x14ac:dyDescent="0.25">
      <c r="A695" s="356">
        <f t="shared" si="221"/>
        <v>56</v>
      </c>
      <c r="B695" s="356">
        <f t="shared" si="222"/>
        <v>672</v>
      </c>
      <c r="C695" s="357">
        <f t="shared" si="227"/>
        <v>55</v>
      </c>
      <c r="D695" s="357">
        <f t="shared" si="228"/>
        <v>12</v>
      </c>
      <c r="E695" s="357">
        <f t="shared" si="229"/>
        <v>84</v>
      </c>
      <c r="F695" s="356">
        <f t="shared" si="223"/>
        <v>1586230.321991579</v>
      </c>
      <c r="H695" s="356">
        <f t="shared" si="216"/>
        <v>12648.823340146086</v>
      </c>
      <c r="I695" s="356">
        <v>0</v>
      </c>
      <c r="J695" s="360">
        <f>-SUM(F695:H695)*$J$21*1.16</f>
        <v>-16692.29827726321</v>
      </c>
      <c r="K695" s="356">
        <f t="shared" si="224"/>
        <v>-1835.3367425831757</v>
      </c>
      <c r="L695" s="356">
        <f t="shared" si="217"/>
        <v>1580351.5103118785</v>
      </c>
      <c r="N695" s="356">
        <f t="shared" si="225"/>
        <v>672</v>
      </c>
      <c r="O695" s="357">
        <f t="shared" si="230"/>
        <v>55</v>
      </c>
      <c r="P695" s="357">
        <f t="shared" si="231"/>
        <v>12</v>
      </c>
      <c r="Q695" s="357">
        <f t="shared" si="232"/>
        <v>55</v>
      </c>
      <c r="R695" s="356">
        <f t="shared" si="226"/>
        <v>120556070.55890803</v>
      </c>
      <c r="S695" s="356">
        <f>IF($G$4="mensual",S694,0)</f>
        <v>10000</v>
      </c>
      <c r="U695" s="356">
        <f t="shared" si="233"/>
        <v>961410.7775978524</v>
      </c>
      <c r="V695" s="359">
        <f t="shared" si="215"/>
        <v>-764.2696647649964</v>
      </c>
      <c r="X695" s="359">
        <f t="shared" si="234"/>
        <v>-140970.9917975357</v>
      </c>
      <c r="Y695" s="356">
        <f t="shared" si="218"/>
        <v>121385746.07504359</v>
      </c>
      <c r="AA695" s="357">
        <f>+Bono!J695</f>
        <v>985936.3553947571</v>
      </c>
      <c r="AC695" s="378">
        <f t="shared" si="219"/>
        <v>56</v>
      </c>
      <c r="AD695" s="356">
        <f t="shared" si="220"/>
        <v>123952033.94075021</v>
      </c>
    </row>
    <row r="696" spans="1:30" x14ac:dyDescent="0.25">
      <c r="A696" s="356">
        <f t="shared" si="221"/>
        <v>56.083333333333336</v>
      </c>
      <c r="B696" s="356">
        <f t="shared" si="222"/>
        <v>673</v>
      </c>
      <c r="C696" s="357">
        <f t="shared" si="227"/>
        <v>56</v>
      </c>
      <c r="D696" s="357">
        <f t="shared" si="228"/>
        <v>1</v>
      </c>
      <c r="E696" s="357">
        <f t="shared" si="229"/>
        <v>85</v>
      </c>
      <c r="F696" s="356">
        <f t="shared" si="223"/>
        <v>1580351.5103118785</v>
      </c>
      <c r="H696" s="356">
        <f t="shared" si="216"/>
        <v>12601.944870257075</v>
      </c>
      <c r="I696" s="356">
        <v>0</v>
      </c>
      <c r="J696" s="356">
        <v>0</v>
      </c>
      <c r="K696" s="356">
        <f t="shared" si="224"/>
        <v>-1847.8260080112773</v>
      </c>
      <c r="L696" s="356">
        <f t="shared" si="217"/>
        <v>1591105.6291741242</v>
      </c>
      <c r="N696" s="356">
        <f t="shared" si="225"/>
        <v>673</v>
      </c>
      <c r="O696" s="357">
        <f t="shared" si="230"/>
        <v>56</v>
      </c>
      <c r="P696" s="357">
        <f t="shared" si="231"/>
        <v>1</v>
      </c>
      <c r="Q696" s="357">
        <f t="shared" si="232"/>
        <v>56</v>
      </c>
      <c r="R696" s="356">
        <f t="shared" si="226"/>
        <v>121385746.07504359</v>
      </c>
      <c r="S696" s="356">
        <f>IF($G$17="si",S684*(1+$G$20),S684)</f>
        <v>10000</v>
      </c>
      <c r="U696" s="356">
        <f t="shared" si="233"/>
        <v>968026.7266739405</v>
      </c>
      <c r="V696" s="359">
        <f>V695*(1+$G$18)</f>
        <v>-794.8404513555963</v>
      </c>
      <c r="X696" s="359">
        <f t="shared" si="234"/>
        <v>-141941.05443506877</v>
      </c>
      <c r="Y696" s="356">
        <f t="shared" si="218"/>
        <v>122221036.9068311</v>
      </c>
      <c r="AA696" s="357">
        <f>+Bono!J696</f>
        <v>992049.2751597434</v>
      </c>
      <c r="AC696" s="378">
        <f t="shared" si="219"/>
        <v>56.083333333333336</v>
      </c>
      <c r="AD696" s="356">
        <f t="shared" si="220"/>
        <v>124804191.81116498</v>
      </c>
    </row>
    <row r="697" spans="1:30" x14ac:dyDescent="0.25">
      <c r="A697" s="356">
        <f t="shared" si="221"/>
        <v>56.166666666666664</v>
      </c>
      <c r="B697" s="356">
        <f t="shared" si="222"/>
        <v>674</v>
      </c>
      <c r="C697" s="357">
        <f t="shared" si="227"/>
        <v>56</v>
      </c>
      <c r="D697" s="357">
        <f t="shared" si="228"/>
        <v>2</v>
      </c>
      <c r="E697" s="357">
        <f t="shared" si="229"/>
        <v>85</v>
      </c>
      <c r="F697" s="356">
        <f t="shared" si="223"/>
        <v>1591105.6291741242</v>
      </c>
      <c r="H697" s="356">
        <f t="shared" si="216"/>
        <v>12687.699724253745</v>
      </c>
      <c r="I697" s="356">
        <v>0</v>
      </c>
      <c r="J697" s="356">
        <v>0</v>
      </c>
      <c r="K697" s="356">
        <f t="shared" si="224"/>
        <v>-1860.4002615221182</v>
      </c>
      <c r="L697" s="356">
        <f t="shared" si="217"/>
        <v>1601932.928636856</v>
      </c>
      <c r="N697" s="356">
        <f t="shared" si="225"/>
        <v>674</v>
      </c>
      <c r="O697" s="357">
        <f t="shared" si="230"/>
        <v>56</v>
      </c>
      <c r="P697" s="357">
        <f t="shared" si="231"/>
        <v>2</v>
      </c>
      <c r="Q697" s="357">
        <f t="shared" si="232"/>
        <v>56</v>
      </c>
      <c r="R697" s="356">
        <f t="shared" si="226"/>
        <v>122221036.9068311</v>
      </c>
      <c r="S697" s="356">
        <f>IF($G$4="mensual",S696,0)</f>
        <v>10000</v>
      </c>
      <c r="U697" s="356">
        <f t="shared" si="233"/>
        <v>974687.45306559</v>
      </c>
      <c r="V697" s="359">
        <f t="shared" si="215"/>
        <v>-794.8404513555963</v>
      </c>
      <c r="X697" s="359">
        <f t="shared" si="234"/>
        <v>-142917.71824255658</v>
      </c>
      <c r="Y697" s="356">
        <f t="shared" si="218"/>
        <v>123062011.80120277</v>
      </c>
      <c r="AA697" s="357">
        <f>+Bono!J697</f>
        <v>998200.0957363273</v>
      </c>
      <c r="AC697" s="378">
        <f t="shared" si="219"/>
        <v>56.166666666666664</v>
      </c>
      <c r="AD697" s="356">
        <f t="shared" si="220"/>
        <v>125662144.82557595</v>
      </c>
    </row>
    <row r="698" spans="1:30" x14ac:dyDescent="0.25">
      <c r="A698" s="356">
        <f t="shared" si="221"/>
        <v>56.25</v>
      </c>
      <c r="B698" s="356">
        <f t="shared" si="222"/>
        <v>675</v>
      </c>
      <c r="C698" s="357">
        <f t="shared" si="227"/>
        <v>56</v>
      </c>
      <c r="D698" s="357">
        <f t="shared" si="228"/>
        <v>3</v>
      </c>
      <c r="E698" s="357">
        <f t="shared" si="229"/>
        <v>85</v>
      </c>
      <c r="F698" s="356">
        <f t="shared" si="223"/>
        <v>1601932.928636856</v>
      </c>
      <c r="H698" s="356">
        <f t="shared" si="216"/>
        <v>12774.038130635361</v>
      </c>
      <c r="I698" s="356">
        <v>0</v>
      </c>
      <c r="J698" s="360">
        <f>-SUM(F698:H698)*$J$21*1.16</f>
        <v>-16857.54073305261</v>
      </c>
      <c r="K698" s="356">
        <f t="shared" si="224"/>
        <v>-1853.5053341999487</v>
      </c>
      <c r="L698" s="356">
        <f t="shared" si="217"/>
        <v>1595995.9207002388</v>
      </c>
      <c r="N698" s="356">
        <f t="shared" si="225"/>
        <v>675</v>
      </c>
      <c r="O698" s="357">
        <f t="shared" si="230"/>
        <v>56</v>
      </c>
      <c r="P698" s="357">
        <f t="shared" si="231"/>
        <v>3</v>
      </c>
      <c r="Q698" s="357">
        <f t="shared" si="232"/>
        <v>56</v>
      </c>
      <c r="R698" s="356">
        <f t="shared" si="226"/>
        <v>123062011.80120277</v>
      </c>
      <c r="S698" s="356">
        <f>IF($G$4="mensual",S697,0)</f>
        <v>10000</v>
      </c>
      <c r="U698" s="356">
        <f t="shared" si="233"/>
        <v>981393.5049704922</v>
      </c>
      <c r="V698" s="359">
        <f t="shared" si="215"/>
        <v>-794.8404513555963</v>
      </c>
      <c r="X698" s="359">
        <f t="shared" si="234"/>
        <v>-143901.0281402374</v>
      </c>
      <c r="Y698" s="356">
        <f t="shared" si="218"/>
        <v>123908709.43758167</v>
      </c>
      <c r="AA698" s="357">
        <f>+Bono!J698</f>
        <v>995340.5020948927</v>
      </c>
      <c r="AC698" s="378">
        <f t="shared" si="219"/>
        <v>56.25</v>
      </c>
      <c r="AD698" s="356">
        <f t="shared" si="220"/>
        <v>126500045.8603768</v>
      </c>
    </row>
    <row r="699" spans="1:30" x14ac:dyDescent="0.25">
      <c r="A699" s="356">
        <f t="shared" si="221"/>
        <v>56.333333333333336</v>
      </c>
      <c r="B699" s="356">
        <f t="shared" si="222"/>
        <v>676</v>
      </c>
      <c r="C699" s="357">
        <f t="shared" si="227"/>
        <v>56</v>
      </c>
      <c r="D699" s="357">
        <f t="shared" si="228"/>
        <v>4</v>
      </c>
      <c r="E699" s="357">
        <f t="shared" si="229"/>
        <v>85</v>
      </c>
      <c r="F699" s="356">
        <f t="shared" si="223"/>
        <v>1595995.9207002388</v>
      </c>
      <c r="H699" s="356">
        <f t="shared" si="216"/>
        <v>12726.69559562126</v>
      </c>
      <c r="I699" s="356">
        <v>0</v>
      </c>
      <c r="J699" s="356">
        <v>0</v>
      </c>
      <c r="K699" s="356">
        <f t="shared" si="224"/>
        <v>-1866.1182349031978</v>
      </c>
      <c r="L699" s="356">
        <f t="shared" si="217"/>
        <v>1606856.498060957</v>
      </c>
      <c r="N699" s="356">
        <f t="shared" si="225"/>
        <v>676</v>
      </c>
      <c r="O699" s="357">
        <f t="shared" si="230"/>
        <v>56</v>
      </c>
      <c r="P699" s="357">
        <f t="shared" si="231"/>
        <v>4</v>
      </c>
      <c r="Q699" s="357">
        <f t="shared" si="232"/>
        <v>56</v>
      </c>
      <c r="R699" s="356">
        <f t="shared" si="226"/>
        <v>123908709.43758167</v>
      </c>
      <c r="S699" s="356">
        <f>IF($G$4="mensual",S696,IF($G$4="trimestral",S696,0))</f>
        <v>10000</v>
      </c>
      <c r="U699" s="356">
        <f t="shared" si="233"/>
        <v>988145.1908237984</v>
      </c>
      <c r="V699" s="359">
        <f t="shared" si="215"/>
        <v>-794.8404513555963</v>
      </c>
      <c r="X699" s="359">
        <f t="shared" si="234"/>
        <v>-144891.02935402677</v>
      </c>
      <c r="Y699" s="356">
        <f t="shared" si="218"/>
        <v>124761168.75860009</v>
      </c>
      <c r="AA699" s="357">
        <f>+Bono!J699</f>
        <v>1001511.7286602333</v>
      </c>
      <c r="AC699" s="378">
        <f t="shared" si="219"/>
        <v>56.333333333333336</v>
      </c>
      <c r="AD699" s="356">
        <f t="shared" si="220"/>
        <v>127369536.98532127</v>
      </c>
    </row>
    <row r="700" spans="1:30" x14ac:dyDescent="0.25">
      <c r="A700" s="356">
        <f t="shared" si="221"/>
        <v>56.416666666666664</v>
      </c>
      <c r="B700" s="356">
        <f t="shared" si="222"/>
        <v>677</v>
      </c>
      <c r="C700" s="357">
        <f t="shared" si="227"/>
        <v>56</v>
      </c>
      <c r="D700" s="357">
        <f t="shared" si="228"/>
        <v>5</v>
      </c>
      <c r="E700" s="357">
        <f t="shared" si="229"/>
        <v>85</v>
      </c>
      <c r="F700" s="356">
        <f t="shared" si="223"/>
        <v>1606856.498060957</v>
      </c>
      <c r="H700" s="356">
        <f t="shared" si="216"/>
        <v>12813.2993646346</v>
      </c>
      <c r="I700" s="356">
        <v>0</v>
      </c>
      <c r="J700" s="356">
        <v>0</v>
      </c>
      <c r="K700" s="356">
        <f t="shared" si="224"/>
        <v>-1878.8169650136863</v>
      </c>
      <c r="L700" s="356">
        <f t="shared" si="217"/>
        <v>1617790.9804605779</v>
      </c>
      <c r="N700" s="356">
        <f t="shared" si="225"/>
        <v>677</v>
      </c>
      <c r="O700" s="357">
        <f t="shared" si="230"/>
        <v>56</v>
      </c>
      <c r="P700" s="357">
        <f t="shared" si="231"/>
        <v>5</v>
      </c>
      <c r="Q700" s="357">
        <f t="shared" si="232"/>
        <v>56</v>
      </c>
      <c r="R700" s="356">
        <f t="shared" si="226"/>
        <v>124761168.75860009</v>
      </c>
      <c r="S700" s="356">
        <f>IF($G$4="mensual",S699,0)</f>
        <v>10000</v>
      </c>
      <c r="U700" s="356">
        <f t="shared" si="233"/>
        <v>994942.8211595273</v>
      </c>
      <c r="V700" s="359">
        <f t="shared" si="215"/>
        <v>-794.8404513555963</v>
      </c>
      <c r="X700" s="359">
        <f t="shared" si="234"/>
        <v>-145887.76741759756</v>
      </c>
      <c r="Y700" s="356">
        <f t="shared" si="218"/>
        <v>125619428.97189066</v>
      </c>
      <c r="AA700" s="357">
        <f>+Bono!J700</f>
        <v>1007721.217546097</v>
      </c>
      <c r="AC700" s="378">
        <f t="shared" si="219"/>
        <v>56.416666666666664</v>
      </c>
      <c r="AD700" s="356">
        <f t="shared" si="220"/>
        <v>128244941.16989733</v>
      </c>
    </row>
    <row r="701" spans="1:30" x14ac:dyDescent="0.25">
      <c r="A701" s="356">
        <f t="shared" si="221"/>
        <v>56.5</v>
      </c>
      <c r="B701" s="356">
        <f t="shared" si="222"/>
        <v>678</v>
      </c>
      <c r="C701" s="357">
        <f t="shared" si="227"/>
        <v>56</v>
      </c>
      <c r="D701" s="357">
        <f t="shared" si="228"/>
        <v>6</v>
      </c>
      <c r="E701" s="357">
        <f t="shared" si="229"/>
        <v>85</v>
      </c>
      <c r="F701" s="356">
        <f t="shared" si="223"/>
        <v>1617790.9804605779</v>
      </c>
      <c r="H701" s="356">
        <f t="shared" si="216"/>
        <v>12900.492462806555</v>
      </c>
      <c r="I701" s="356">
        <v>0</v>
      </c>
      <c r="J701" s="360">
        <f>-SUM(F701:H701)*$J$21*1.16</f>
        <v>-17024.418977320136</v>
      </c>
      <c r="K701" s="356">
        <f t="shared" si="224"/>
        <v>-1871.8537825774345</v>
      </c>
      <c r="L701" s="356">
        <f t="shared" si="217"/>
        <v>1611795.2001634869</v>
      </c>
      <c r="N701" s="356">
        <f t="shared" si="225"/>
        <v>678</v>
      </c>
      <c r="O701" s="357">
        <f t="shared" si="230"/>
        <v>56</v>
      </c>
      <c r="P701" s="357">
        <f t="shared" si="231"/>
        <v>6</v>
      </c>
      <c r="Q701" s="357">
        <f t="shared" si="232"/>
        <v>56</v>
      </c>
      <c r="R701" s="356">
        <f t="shared" si="226"/>
        <v>125619428.97189066</v>
      </c>
      <c r="S701" s="356">
        <f>IF($G$4="mensual",S700,0)</f>
        <v>10000</v>
      </c>
      <c r="U701" s="356">
        <f t="shared" si="233"/>
        <v>1001786.7086248471</v>
      </c>
      <c r="V701" s="359">
        <f t="shared" si="215"/>
        <v>-794.8404513555963</v>
      </c>
      <c r="X701" s="359">
        <f t="shared" si="234"/>
        <v>-146891.28817447438</v>
      </c>
      <c r="Y701" s="356">
        <f t="shared" si="218"/>
        <v>126483529.55188966</v>
      </c>
      <c r="AA701" s="357">
        <f>+Bono!J701</f>
        <v>1004834.3482717478</v>
      </c>
      <c r="AC701" s="378">
        <f t="shared" si="219"/>
        <v>56.5</v>
      </c>
      <c r="AD701" s="356">
        <f t="shared" si="220"/>
        <v>129100159.10032488</v>
      </c>
    </row>
    <row r="702" spans="1:30" x14ac:dyDescent="0.25">
      <c r="A702" s="356">
        <f t="shared" si="221"/>
        <v>56.583333333333336</v>
      </c>
      <c r="B702" s="356">
        <f t="shared" si="222"/>
        <v>679</v>
      </c>
      <c r="C702" s="357">
        <f t="shared" si="227"/>
        <v>56</v>
      </c>
      <c r="D702" s="357">
        <f t="shared" si="228"/>
        <v>7</v>
      </c>
      <c r="E702" s="357">
        <f t="shared" si="229"/>
        <v>85</v>
      </c>
      <c r="F702" s="356">
        <f t="shared" si="223"/>
        <v>1611795.2001634869</v>
      </c>
      <c r="H702" s="356">
        <f t="shared" si="216"/>
        <v>12852.681268736696</v>
      </c>
      <c r="I702" s="356">
        <v>0</v>
      </c>
      <c r="J702" s="356">
        <v>0</v>
      </c>
      <c r="K702" s="356">
        <f t="shared" si="224"/>
        <v>-1884.5915424613793</v>
      </c>
      <c r="L702" s="356">
        <f t="shared" si="217"/>
        <v>1622763.2898897622</v>
      </c>
      <c r="N702" s="356">
        <f t="shared" si="225"/>
        <v>679</v>
      </c>
      <c r="O702" s="357">
        <f t="shared" si="230"/>
        <v>56</v>
      </c>
      <c r="P702" s="357">
        <f t="shared" si="231"/>
        <v>7</v>
      </c>
      <c r="Q702" s="357">
        <f t="shared" si="232"/>
        <v>56</v>
      </c>
      <c r="R702" s="356">
        <f t="shared" si="226"/>
        <v>126483529.55188966</v>
      </c>
      <c r="S702" s="356">
        <f>+IF($G$4="mensual",S696,IF($G$4="trimestral",S696,IF($G$4="semestral",S696,0)))</f>
        <v>10000</v>
      </c>
      <c r="U702" s="356">
        <f t="shared" si="233"/>
        <v>1008677.1679944564</v>
      </c>
      <c r="V702" s="359">
        <f t="shared" si="215"/>
        <v>-794.8404513555963</v>
      </c>
      <c r="X702" s="359">
        <f t="shared" si="234"/>
        <v>-147901.637780142</v>
      </c>
      <c r="Y702" s="356">
        <f t="shared" si="218"/>
        <v>127353510.24165261</v>
      </c>
      <c r="AA702" s="357">
        <f>+Bono!J702</f>
        <v>1011064.4377846029</v>
      </c>
      <c r="AC702" s="378">
        <f t="shared" si="219"/>
        <v>56.583333333333336</v>
      </c>
      <c r="AD702" s="356">
        <f t="shared" si="220"/>
        <v>129987337.96932697</v>
      </c>
    </row>
    <row r="703" spans="1:30" x14ac:dyDescent="0.25">
      <c r="A703" s="356">
        <f t="shared" si="221"/>
        <v>56.666666666666664</v>
      </c>
      <c r="B703" s="356">
        <f t="shared" si="222"/>
        <v>680</v>
      </c>
      <c r="C703" s="357">
        <f t="shared" si="227"/>
        <v>56</v>
      </c>
      <c r="D703" s="357">
        <f t="shared" si="228"/>
        <v>8</v>
      </c>
      <c r="E703" s="357">
        <f t="shared" si="229"/>
        <v>85</v>
      </c>
      <c r="F703" s="356">
        <f t="shared" si="223"/>
        <v>1622763.2898897622</v>
      </c>
      <c r="H703" s="356">
        <f t="shared" si="216"/>
        <v>12940.142356450831</v>
      </c>
      <c r="I703" s="356">
        <v>0</v>
      </c>
      <c r="J703" s="356">
        <v>0</v>
      </c>
      <c r="K703" s="356">
        <f t="shared" si="224"/>
        <v>-1897.4159814056072</v>
      </c>
      <c r="L703" s="356">
        <f t="shared" si="217"/>
        <v>1633806.0162648074</v>
      </c>
      <c r="N703" s="356">
        <f t="shared" si="225"/>
        <v>680</v>
      </c>
      <c r="O703" s="357">
        <f t="shared" si="230"/>
        <v>56</v>
      </c>
      <c r="P703" s="357">
        <f t="shared" si="231"/>
        <v>8</v>
      </c>
      <c r="Q703" s="357">
        <f t="shared" si="232"/>
        <v>56</v>
      </c>
      <c r="R703" s="356">
        <f t="shared" si="226"/>
        <v>127353510.24165261</v>
      </c>
      <c r="S703" s="356">
        <f>IF($G$4="mensual",S702,0)</f>
        <v>10000</v>
      </c>
      <c r="U703" s="356">
        <f t="shared" si="233"/>
        <v>1015614.5161850607</v>
      </c>
      <c r="V703" s="359">
        <f t="shared" si="215"/>
        <v>-794.8404513555963</v>
      </c>
      <c r="X703" s="359">
        <f t="shared" si="234"/>
        <v>-148918.8627041681</v>
      </c>
      <c r="Y703" s="356">
        <f t="shared" si="218"/>
        <v>128229411.05468214</v>
      </c>
      <c r="AA703" s="357">
        <f>+Bono!J703</f>
        <v>1017333.1545750833</v>
      </c>
      <c r="AC703" s="378">
        <f t="shared" si="219"/>
        <v>56.666666666666664</v>
      </c>
      <c r="AD703" s="356">
        <f t="shared" si="220"/>
        <v>130880550.22552203</v>
      </c>
    </row>
    <row r="704" spans="1:30" x14ac:dyDescent="0.25">
      <c r="A704" s="356">
        <f t="shared" si="221"/>
        <v>56.75</v>
      </c>
      <c r="B704" s="356">
        <f t="shared" si="222"/>
        <v>681</v>
      </c>
      <c r="C704" s="357">
        <f t="shared" si="227"/>
        <v>56</v>
      </c>
      <c r="D704" s="357">
        <f t="shared" si="228"/>
        <v>9</v>
      </c>
      <c r="E704" s="357">
        <f t="shared" si="229"/>
        <v>85</v>
      </c>
      <c r="F704" s="356">
        <f t="shared" si="223"/>
        <v>1633806.0162648074</v>
      </c>
      <c r="H704" s="356">
        <f t="shared" si="216"/>
        <v>13028.198607283402</v>
      </c>
      <c r="I704" s="356">
        <v>0</v>
      </c>
      <c r="J704" s="360">
        <f>-SUM(F704:H704)*$J$21*1.16</f>
        <v>-17192.94920326463</v>
      </c>
      <c r="K704" s="356">
        <f t="shared" si="224"/>
        <v>-1890.3838681758384</v>
      </c>
      <c r="L704" s="356">
        <f t="shared" si="217"/>
        <v>1627750.8818006504</v>
      </c>
      <c r="N704" s="356">
        <f t="shared" si="225"/>
        <v>681</v>
      </c>
      <c r="O704" s="357">
        <f t="shared" si="230"/>
        <v>56</v>
      </c>
      <c r="P704" s="357">
        <f t="shared" si="231"/>
        <v>9</v>
      </c>
      <c r="Q704" s="357">
        <f t="shared" si="232"/>
        <v>56</v>
      </c>
      <c r="R704" s="356">
        <f t="shared" si="226"/>
        <v>128229411.05468214</v>
      </c>
      <c r="S704" s="356">
        <f>IF($G$4="mensual",S703,0)</f>
        <v>10000</v>
      </c>
      <c r="U704" s="356">
        <f t="shared" si="233"/>
        <v>1022599.0722699491</v>
      </c>
      <c r="V704" s="359">
        <f t="shared" si="215"/>
        <v>-794.8404513555963</v>
      </c>
      <c r="X704" s="359">
        <f t="shared" si="234"/>
        <v>-149943.00973234084</v>
      </c>
      <c r="Y704" s="356">
        <f t="shared" si="218"/>
        <v>129111272.27676839</v>
      </c>
      <c r="AA704" s="357">
        <f>+Bono!J704</f>
        <v>1014418.7495049278</v>
      </c>
      <c r="AC704" s="378">
        <f t="shared" si="219"/>
        <v>56.75</v>
      </c>
      <c r="AD704" s="356">
        <f t="shared" si="220"/>
        <v>131753441.90807396</v>
      </c>
    </row>
    <row r="705" spans="1:30" x14ac:dyDescent="0.25">
      <c r="A705" s="356">
        <f t="shared" si="221"/>
        <v>56.833333333333336</v>
      </c>
      <c r="B705" s="356">
        <f t="shared" si="222"/>
        <v>682</v>
      </c>
      <c r="C705" s="357">
        <f t="shared" si="227"/>
        <v>56</v>
      </c>
      <c r="D705" s="357">
        <f t="shared" si="228"/>
        <v>10</v>
      </c>
      <c r="E705" s="357">
        <f t="shared" si="229"/>
        <v>85</v>
      </c>
      <c r="F705" s="356">
        <f t="shared" si="223"/>
        <v>1627750.8818006504</v>
      </c>
      <c r="H705" s="356">
        <f t="shared" si="216"/>
        <v>12979.91411475032</v>
      </c>
      <c r="I705" s="356">
        <v>0</v>
      </c>
      <c r="J705" s="356">
        <v>0</v>
      </c>
      <c r="K705" s="356">
        <f t="shared" si="224"/>
        <v>-1903.2477232618646</v>
      </c>
      <c r="L705" s="356">
        <f t="shared" si="217"/>
        <v>1638827.5481921388</v>
      </c>
      <c r="N705" s="356">
        <f t="shared" si="225"/>
        <v>682</v>
      </c>
      <c r="O705" s="357">
        <f t="shared" si="230"/>
        <v>56</v>
      </c>
      <c r="P705" s="357">
        <f t="shared" si="231"/>
        <v>10</v>
      </c>
      <c r="Q705" s="357">
        <f t="shared" si="232"/>
        <v>56</v>
      </c>
      <c r="R705" s="356">
        <f t="shared" si="226"/>
        <v>129111272.27676839</v>
      </c>
      <c r="S705" s="356">
        <f>IF($G$4="mensual",S696,IF($G$4="trimestral",S696,0))</f>
        <v>10000</v>
      </c>
      <c r="U705" s="356">
        <f t="shared" si="233"/>
        <v>1029631.1574936695</v>
      </c>
      <c r="V705" s="359">
        <f t="shared" si="215"/>
        <v>-794.8404513555963</v>
      </c>
      <c r="X705" s="359">
        <f t="shared" si="234"/>
        <v>-150974.1259688204</v>
      </c>
      <c r="Y705" s="356">
        <f t="shared" si="218"/>
        <v>129999134.46784188</v>
      </c>
      <c r="AA705" s="357">
        <f>+Bono!J705</f>
        <v>1020708.2634171504</v>
      </c>
      <c r="AC705" s="378">
        <f t="shared" si="219"/>
        <v>56.833333333333336</v>
      </c>
      <c r="AD705" s="356">
        <f t="shared" si="220"/>
        <v>132658670.27945118</v>
      </c>
    </row>
    <row r="706" spans="1:30" x14ac:dyDescent="0.25">
      <c r="A706" s="356">
        <f t="shared" si="221"/>
        <v>56.916666666666664</v>
      </c>
      <c r="B706" s="356">
        <f t="shared" si="222"/>
        <v>683</v>
      </c>
      <c r="C706" s="357">
        <f t="shared" si="227"/>
        <v>56</v>
      </c>
      <c r="D706" s="357">
        <f t="shared" si="228"/>
        <v>11</v>
      </c>
      <c r="E706" s="357">
        <f t="shared" si="229"/>
        <v>85</v>
      </c>
      <c r="F706" s="356">
        <f t="shared" si="223"/>
        <v>1638827.5481921388</v>
      </c>
      <c r="H706" s="356">
        <f t="shared" si="216"/>
        <v>13068.241008040166</v>
      </c>
      <c r="I706" s="356">
        <v>0</v>
      </c>
      <c r="J706" s="356">
        <v>0</v>
      </c>
      <c r="K706" s="356">
        <f t="shared" si="224"/>
        <v>-1916.1991154722075</v>
      </c>
      <c r="L706" s="356">
        <f t="shared" si="217"/>
        <v>1649979.590084707</v>
      </c>
      <c r="N706" s="356">
        <f t="shared" si="225"/>
        <v>683</v>
      </c>
      <c r="O706" s="357">
        <f t="shared" si="230"/>
        <v>56</v>
      </c>
      <c r="P706" s="357">
        <f t="shared" si="231"/>
        <v>11</v>
      </c>
      <c r="Q706" s="357">
        <f t="shared" si="232"/>
        <v>56</v>
      </c>
      <c r="R706" s="356">
        <f t="shared" si="226"/>
        <v>129999134.46784188</v>
      </c>
      <c r="S706" s="356">
        <f>IF($G$17="si",S694*(1+$G$20),S694)</f>
        <v>10000</v>
      </c>
      <c r="U706" s="356">
        <f t="shared" si="233"/>
        <v>1036711.0952868038</v>
      </c>
      <c r="V706" s="359">
        <f t="shared" si="215"/>
        <v>-794.8404513555963</v>
      </c>
      <c r="X706" s="359">
        <f t="shared" si="234"/>
        <v>-152012.2588383057</v>
      </c>
      <c r="Y706" s="356">
        <f t="shared" si="218"/>
        <v>130893038.46383901</v>
      </c>
      <c r="AA706" s="357">
        <f>+Bono!J706</f>
        <v>1027036.7730451672</v>
      </c>
      <c r="AC706" s="378">
        <f t="shared" si="219"/>
        <v>56.916666666666664</v>
      </c>
      <c r="AD706" s="356">
        <f t="shared" si="220"/>
        <v>133570054.82696888</v>
      </c>
    </row>
    <row r="707" spans="1:30" x14ac:dyDescent="0.25">
      <c r="A707" s="356">
        <f t="shared" si="221"/>
        <v>57</v>
      </c>
      <c r="B707" s="356">
        <f t="shared" si="222"/>
        <v>684</v>
      </c>
      <c r="C707" s="357">
        <f t="shared" si="227"/>
        <v>56</v>
      </c>
      <c r="D707" s="357">
        <f t="shared" si="228"/>
        <v>12</v>
      </c>
      <c r="E707" s="357">
        <f t="shared" si="229"/>
        <v>85</v>
      </c>
      <c r="F707" s="356">
        <f t="shared" si="223"/>
        <v>1649979.590084707</v>
      </c>
      <c r="H707" s="356">
        <f t="shared" si="216"/>
        <v>13157.168956160522</v>
      </c>
      <c r="I707" s="356">
        <v>0</v>
      </c>
      <c r="J707" s="360">
        <f>-SUM(F707:H707)*$J$21*1.16</f>
        <v>-17363.147764386656</v>
      </c>
      <c r="K707" s="356">
        <f t="shared" si="224"/>
        <v>-1909.0973890807177</v>
      </c>
      <c r="L707" s="356">
        <f t="shared" si="217"/>
        <v>1643864.5138874</v>
      </c>
      <c r="N707" s="356">
        <f t="shared" si="225"/>
        <v>684</v>
      </c>
      <c r="O707" s="357">
        <f t="shared" si="230"/>
        <v>56</v>
      </c>
      <c r="P707" s="357">
        <f t="shared" si="231"/>
        <v>12</v>
      </c>
      <c r="Q707" s="357">
        <f t="shared" si="232"/>
        <v>56</v>
      </c>
      <c r="R707" s="356">
        <f t="shared" si="226"/>
        <v>130893038.46383901</v>
      </c>
      <c r="S707" s="356">
        <f>IF($G$4="mensual",S706,0)</f>
        <v>10000</v>
      </c>
      <c r="U707" s="356">
        <f t="shared" si="233"/>
        <v>1043839.2112808431</v>
      </c>
      <c r="V707" s="359">
        <f t="shared" si="215"/>
        <v>-794.8404513555963</v>
      </c>
      <c r="X707" s="359">
        <f t="shared" si="234"/>
        <v>-153057.45608821543</v>
      </c>
      <c r="Y707" s="356">
        <f t="shared" si="218"/>
        <v>131793025.37858027</v>
      </c>
      <c r="AA707" s="357">
        <f>+Bono!J707</f>
        <v>1024094.5695348049</v>
      </c>
      <c r="AC707" s="378">
        <f t="shared" si="219"/>
        <v>57</v>
      </c>
      <c r="AD707" s="356">
        <f t="shared" si="220"/>
        <v>134460984.4620025</v>
      </c>
    </row>
    <row r="708" spans="1:30" x14ac:dyDescent="0.25">
      <c r="A708" s="356">
        <f t="shared" si="221"/>
        <v>57.083333333333336</v>
      </c>
      <c r="B708" s="356">
        <f t="shared" si="222"/>
        <v>685</v>
      </c>
      <c r="C708" s="357">
        <f t="shared" si="227"/>
        <v>57</v>
      </c>
      <c r="D708" s="357">
        <f t="shared" si="228"/>
        <v>1</v>
      </c>
      <c r="E708" s="357">
        <f t="shared" si="229"/>
        <v>86</v>
      </c>
      <c r="F708" s="356">
        <f t="shared" si="223"/>
        <v>1643864.5138874</v>
      </c>
      <c r="H708" s="356">
        <f t="shared" si="216"/>
        <v>13108.40647982975</v>
      </c>
      <c r="I708" s="356">
        <v>0</v>
      </c>
      <c r="J708" s="356">
        <v>0</v>
      </c>
      <c r="K708" s="356">
        <f t="shared" si="224"/>
        <v>-1922.0885876259865</v>
      </c>
      <c r="L708" s="356">
        <f t="shared" si="217"/>
        <v>1655050.8317796038</v>
      </c>
      <c r="N708" s="356">
        <f t="shared" si="225"/>
        <v>685</v>
      </c>
      <c r="O708" s="357">
        <f t="shared" si="230"/>
        <v>57</v>
      </c>
      <c r="P708" s="357">
        <f t="shared" si="231"/>
        <v>1</v>
      </c>
      <c r="Q708" s="357">
        <f t="shared" si="232"/>
        <v>57</v>
      </c>
      <c r="R708" s="356">
        <f t="shared" si="226"/>
        <v>131793025.37858027</v>
      </c>
      <c r="S708" s="356">
        <f>IF($G$17="si",S696*(1+$G$20),S696)</f>
        <v>10000</v>
      </c>
      <c r="U708" s="356">
        <f t="shared" si="233"/>
        <v>1051015.8333231658</v>
      </c>
      <c r="V708" s="359">
        <f>V707*(1+$G$18)</f>
        <v>-826.6340694098202</v>
      </c>
      <c r="X708" s="359">
        <f t="shared" si="234"/>
        <v>-154109.72891028746</v>
      </c>
      <c r="Y708" s="356">
        <f t="shared" si="218"/>
        <v>132699104.84892374</v>
      </c>
      <c r="AA708" s="357">
        <f>+Bono!J708</f>
        <v>1030444.0746535384</v>
      </c>
      <c r="AC708" s="378">
        <f t="shared" si="219"/>
        <v>57.083333333333336</v>
      </c>
      <c r="AD708" s="356">
        <f t="shared" si="220"/>
        <v>135384599.75535688</v>
      </c>
    </row>
    <row r="709" spans="1:30" x14ac:dyDescent="0.25">
      <c r="A709" s="356">
        <f t="shared" si="221"/>
        <v>57.166666666666664</v>
      </c>
      <c r="B709" s="356">
        <f t="shared" si="222"/>
        <v>686</v>
      </c>
      <c r="C709" s="357">
        <f t="shared" si="227"/>
        <v>57</v>
      </c>
      <c r="D709" s="357">
        <f t="shared" si="228"/>
        <v>2</v>
      </c>
      <c r="E709" s="357">
        <f t="shared" si="229"/>
        <v>86</v>
      </c>
      <c r="F709" s="356">
        <f t="shared" si="223"/>
        <v>1655050.8317796038</v>
      </c>
      <c r="H709" s="356">
        <f t="shared" si="216"/>
        <v>13197.607749584542</v>
      </c>
      <c r="I709" s="356">
        <v>0</v>
      </c>
      <c r="J709" s="356">
        <v>0</v>
      </c>
      <c r="K709" s="356">
        <f t="shared" si="224"/>
        <v>-1935.1681898538586</v>
      </c>
      <c r="L709" s="356">
        <f t="shared" si="217"/>
        <v>1666313.2713393345</v>
      </c>
      <c r="N709" s="356">
        <f t="shared" si="225"/>
        <v>686</v>
      </c>
      <c r="O709" s="357">
        <f t="shared" si="230"/>
        <v>57</v>
      </c>
      <c r="P709" s="357">
        <f t="shared" si="231"/>
        <v>2</v>
      </c>
      <c r="Q709" s="357">
        <f t="shared" si="232"/>
        <v>57</v>
      </c>
      <c r="R709" s="356">
        <f t="shared" si="226"/>
        <v>132699104.84892374</v>
      </c>
      <c r="S709" s="356">
        <f>IF($G$4="mensual",S708,0)</f>
        <v>10000</v>
      </c>
      <c r="U709" s="356">
        <f t="shared" si="233"/>
        <v>1058241.0382594315</v>
      </c>
      <c r="V709" s="359">
        <f t="shared" si="215"/>
        <v>-826.6340694098202</v>
      </c>
      <c r="X709" s="359">
        <f t="shared" si="234"/>
        <v>-155169.16233361195</v>
      </c>
      <c r="Y709" s="356">
        <f t="shared" si="218"/>
        <v>133611350.09078015</v>
      </c>
      <c r="AA709" s="357">
        <f>+Bono!J709</f>
        <v>1036832.947440505</v>
      </c>
      <c r="AC709" s="378">
        <f t="shared" si="219"/>
        <v>57.166666666666664</v>
      </c>
      <c r="AD709" s="356">
        <f t="shared" si="220"/>
        <v>136314496.30955997</v>
      </c>
    </row>
    <row r="710" spans="1:30" x14ac:dyDescent="0.25">
      <c r="A710" s="356">
        <f t="shared" si="221"/>
        <v>57.25</v>
      </c>
      <c r="B710" s="356">
        <f t="shared" si="222"/>
        <v>687</v>
      </c>
      <c r="C710" s="357">
        <f t="shared" si="227"/>
        <v>57</v>
      </c>
      <c r="D710" s="357">
        <f t="shared" si="228"/>
        <v>3</v>
      </c>
      <c r="E710" s="357">
        <f t="shared" si="229"/>
        <v>86</v>
      </c>
      <c r="F710" s="356">
        <f t="shared" si="223"/>
        <v>1666313.2713393345</v>
      </c>
      <c r="H710" s="356">
        <f t="shared" si="216"/>
        <v>13287.416024205875</v>
      </c>
      <c r="I710" s="356">
        <v>0</v>
      </c>
      <c r="J710" s="360">
        <f>-SUM(F710:H710)*$J$21*1.16</f>
        <v>-17535.031176075365</v>
      </c>
      <c r="K710" s="356">
        <f t="shared" si="224"/>
        <v>-1927.9961611774595</v>
      </c>
      <c r="L710" s="356">
        <f t="shared" si="217"/>
        <v>1660137.6600262877</v>
      </c>
      <c r="N710" s="356">
        <f t="shared" si="225"/>
        <v>687</v>
      </c>
      <c r="O710" s="357">
        <f t="shared" si="230"/>
        <v>57</v>
      </c>
      <c r="P710" s="357">
        <f t="shared" si="231"/>
        <v>3</v>
      </c>
      <c r="Q710" s="357">
        <f t="shared" si="232"/>
        <v>57</v>
      </c>
      <c r="R710" s="356">
        <f t="shared" si="226"/>
        <v>133611350.09078015</v>
      </c>
      <c r="S710" s="356">
        <f>IF($G$4="mensual",S709,0)</f>
        <v>10000</v>
      </c>
      <c r="U710" s="356">
        <f t="shared" si="233"/>
        <v>1065515.4099235937</v>
      </c>
      <c r="V710" s="359">
        <f t="shared" si="215"/>
        <v>-826.6340694098202</v>
      </c>
      <c r="X710" s="359">
        <f t="shared" si="234"/>
        <v>-156235.8050852958</v>
      </c>
      <c r="Y710" s="356">
        <f t="shared" si="218"/>
        <v>134529803.06154904</v>
      </c>
      <c r="AA710" s="357">
        <f>+Bono!J710</f>
        <v>1033862.6803403564</v>
      </c>
      <c r="AC710" s="378">
        <f t="shared" si="219"/>
        <v>57.25</v>
      </c>
      <c r="AD710" s="356">
        <f t="shared" si="220"/>
        <v>137223803.40191567</v>
      </c>
    </row>
    <row r="711" spans="1:30" x14ac:dyDescent="0.25">
      <c r="A711" s="356">
        <f t="shared" si="221"/>
        <v>57.333333333333336</v>
      </c>
      <c r="B711" s="356">
        <f t="shared" si="222"/>
        <v>688</v>
      </c>
      <c r="C711" s="357">
        <f t="shared" si="227"/>
        <v>57</v>
      </c>
      <c r="D711" s="357">
        <f t="shared" si="228"/>
        <v>4</v>
      </c>
      <c r="E711" s="357">
        <f t="shared" si="229"/>
        <v>86</v>
      </c>
      <c r="F711" s="356">
        <f t="shared" si="223"/>
        <v>1660137.6600262877</v>
      </c>
      <c r="H711" s="356">
        <f t="shared" si="216"/>
        <v>13238.170832361313</v>
      </c>
      <c r="I711" s="356">
        <v>0</v>
      </c>
      <c r="J711" s="356">
        <v>0</v>
      </c>
      <c r="K711" s="356">
        <f t="shared" si="224"/>
        <v>-1941.115963796033</v>
      </c>
      <c r="L711" s="356">
        <f t="shared" si="217"/>
        <v>1671434.714894853</v>
      </c>
      <c r="N711" s="356">
        <f t="shared" si="225"/>
        <v>688</v>
      </c>
      <c r="O711" s="357">
        <f t="shared" si="230"/>
        <v>57</v>
      </c>
      <c r="P711" s="357">
        <f t="shared" si="231"/>
        <v>4</v>
      </c>
      <c r="Q711" s="357">
        <f t="shared" si="232"/>
        <v>57</v>
      </c>
      <c r="R711" s="356">
        <f t="shared" si="226"/>
        <v>134529803.06154904</v>
      </c>
      <c r="S711" s="356">
        <f>IF($G$4="mensual",S708,IF($G$4="trimestral",S708,0))</f>
        <v>10000</v>
      </c>
      <c r="U711" s="356">
        <f t="shared" si="233"/>
        <v>1072839.2828898486</v>
      </c>
      <c r="V711" s="359">
        <f t="shared" si="215"/>
        <v>-826.6340694098202</v>
      </c>
      <c r="X711" s="359">
        <f t="shared" si="234"/>
        <v>-157309.70622402857</v>
      </c>
      <c r="Y711" s="356">
        <f t="shared" si="218"/>
        <v>135454506.00414544</v>
      </c>
      <c r="AA711" s="357">
        <f>+Bono!J711</f>
        <v>1040272.748879115</v>
      </c>
      <c r="AC711" s="378">
        <f t="shared" si="219"/>
        <v>57.333333333333336</v>
      </c>
      <c r="AD711" s="356">
        <f t="shared" si="220"/>
        <v>138166213.4679194</v>
      </c>
    </row>
    <row r="712" spans="1:30" x14ac:dyDescent="0.25">
      <c r="A712" s="356">
        <f t="shared" si="221"/>
        <v>57.416666666666664</v>
      </c>
      <c r="B712" s="356">
        <f t="shared" si="222"/>
        <v>689</v>
      </c>
      <c r="C712" s="357">
        <f t="shared" si="227"/>
        <v>57</v>
      </c>
      <c r="D712" s="357">
        <f t="shared" si="228"/>
        <v>5</v>
      </c>
      <c r="E712" s="357">
        <f t="shared" si="229"/>
        <v>86</v>
      </c>
      <c r="F712" s="356">
        <f t="shared" si="223"/>
        <v>1671434.714894853</v>
      </c>
      <c r="H712" s="356">
        <f t="shared" si="216"/>
        <v>13328.255134316285</v>
      </c>
      <c r="I712" s="356">
        <v>0</v>
      </c>
      <c r="J712" s="356">
        <v>0</v>
      </c>
      <c r="K712" s="356">
        <f t="shared" si="224"/>
        <v>-1954.3250452338366</v>
      </c>
      <c r="L712" s="356">
        <f t="shared" si="217"/>
        <v>1682808.6449839356</v>
      </c>
      <c r="N712" s="356">
        <f t="shared" si="225"/>
        <v>689</v>
      </c>
      <c r="O712" s="357">
        <f t="shared" si="230"/>
        <v>57</v>
      </c>
      <c r="P712" s="357">
        <f t="shared" si="231"/>
        <v>5</v>
      </c>
      <c r="Q712" s="357">
        <f t="shared" si="232"/>
        <v>57</v>
      </c>
      <c r="R712" s="356">
        <f t="shared" si="226"/>
        <v>135454506.00414544</v>
      </c>
      <c r="S712" s="356">
        <f>IF($G$4="mensual",S711,0)</f>
        <v>10000</v>
      </c>
      <c r="U712" s="356">
        <f t="shared" si="233"/>
        <v>1080212.994009133</v>
      </c>
      <c r="V712" s="359">
        <f t="shared" si="215"/>
        <v>-826.6340694098202</v>
      </c>
      <c r="X712" s="359">
        <f t="shared" si="234"/>
        <v>-158390.91514233878</v>
      </c>
      <c r="Y712" s="356">
        <f t="shared" si="218"/>
        <v>136385501.44894284</v>
      </c>
      <c r="AA712" s="357">
        <f>+Bono!J712</f>
        <v>1046722.5605863358</v>
      </c>
      <c r="AC712" s="378">
        <f t="shared" si="219"/>
        <v>57.416666666666664</v>
      </c>
      <c r="AD712" s="356">
        <f t="shared" si="220"/>
        <v>139115032.65451312</v>
      </c>
    </row>
    <row r="713" spans="1:30" x14ac:dyDescent="0.25">
      <c r="A713" s="356">
        <f t="shared" si="221"/>
        <v>57.5</v>
      </c>
      <c r="B713" s="356">
        <f t="shared" si="222"/>
        <v>690</v>
      </c>
      <c r="C713" s="357">
        <f t="shared" si="227"/>
        <v>57</v>
      </c>
      <c r="D713" s="357">
        <f t="shared" si="228"/>
        <v>6</v>
      </c>
      <c r="E713" s="357">
        <f t="shared" si="229"/>
        <v>86</v>
      </c>
      <c r="F713" s="356">
        <f t="shared" si="223"/>
        <v>1682808.6449839356</v>
      </c>
      <c r="H713" s="356">
        <f t="shared" si="216"/>
        <v>13418.952450075163</v>
      </c>
      <c r="I713" s="356">
        <v>0</v>
      </c>
      <c r="J713" s="360">
        <f>-SUM(F713:H713)*$J$21*1.16</f>
        <v>-17708.616117211073</v>
      </c>
      <c r="K713" s="356">
        <f t="shared" si="224"/>
        <v>-1947.0820183274877</v>
      </c>
      <c r="L713" s="356">
        <f t="shared" si="217"/>
        <v>1676571.8992984723</v>
      </c>
      <c r="N713" s="356">
        <f t="shared" si="225"/>
        <v>690</v>
      </c>
      <c r="O713" s="357">
        <f t="shared" si="230"/>
        <v>57</v>
      </c>
      <c r="P713" s="357">
        <f t="shared" si="231"/>
        <v>6</v>
      </c>
      <c r="Q713" s="357">
        <f t="shared" si="232"/>
        <v>57</v>
      </c>
      <c r="R713" s="356">
        <f t="shared" si="226"/>
        <v>136385501.44894284</v>
      </c>
      <c r="S713" s="356">
        <f>IF($G$4="mensual",S712,0)</f>
        <v>10000</v>
      </c>
      <c r="U713" s="356">
        <f t="shared" si="233"/>
        <v>1087636.882424617</v>
      </c>
      <c r="V713" s="359">
        <f t="shared" si="215"/>
        <v>-826.6340694098202</v>
      </c>
      <c r="X713" s="359">
        <f t="shared" si="234"/>
        <v>-159479.48156886574</v>
      </c>
      <c r="Y713" s="356">
        <f t="shared" si="218"/>
        <v>137322832.21572918</v>
      </c>
      <c r="AA713" s="357">
        <f>+Bono!J713</f>
        <v>1043723.9622177484</v>
      </c>
      <c r="AC713" s="378">
        <f t="shared" si="219"/>
        <v>57.5</v>
      </c>
      <c r="AD713" s="356">
        <f t="shared" si="220"/>
        <v>140043128.07724538</v>
      </c>
    </row>
    <row r="714" spans="1:30" x14ac:dyDescent="0.25">
      <c r="A714" s="356">
        <f t="shared" si="221"/>
        <v>57.583333333333336</v>
      </c>
      <c r="B714" s="356">
        <f t="shared" si="222"/>
        <v>691</v>
      </c>
      <c r="C714" s="357">
        <f t="shared" si="227"/>
        <v>57</v>
      </c>
      <c r="D714" s="357">
        <f t="shared" si="228"/>
        <v>7</v>
      </c>
      <c r="E714" s="357">
        <f t="shared" si="229"/>
        <v>86</v>
      </c>
      <c r="F714" s="356">
        <f t="shared" si="223"/>
        <v>1676571.8992984723</v>
      </c>
      <c r="H714" s="356">
        <f t="shared" si="216"/>
        <v>13369.21976415992</v>
      </c>
      <c r="I714" s="356">
        <v>0</v>
      </c>
      <c r="J714" s="356">
        <v>0</v>
      </c>
      <c r="K714" s="356">
        <f t="shared" si="224"/>
        <v>-1960.3316981126534</v>
      </c>
      <c r="L714" s="356">
        <f t="shared" si="217"/>
        <v>1687980.7873645197</v>
      </c>
      <c r="N714" s="356">
        <f t="shared" si="225"/>
        <v>691</v>
      </c>
      <c r="O714" s="357">
        <f t="shared" si="230"/>
        <v>57</v>
      </c>
      <c r="P714" s="357">
        <f t="shared" si="231"/>
        <v>7</v>
      </c>
      <c r="Q714" s="357">
        <f t="shared" si="232"/>
        <v>57</v>
      </c>
      <c r="R714" s="356">
        <f t="shared" si="226"/>
        <v>137322832.21572918</v>
      </c>
      <c r="S714" s="356">
        <f>+IF($G$4="mensual",S708,IF($G$4="trimestral",S708,IF($G$4="semestral",S708,0)))</f>
        <v>10000</v>
      </c>
      <c r="U714" s="356">
        <f t="shared" si="233"/>
        <v>1095111.2895873033</v>
      </c>
      <c r="V714" s="359">
        <f t="shared" si="215"/>
        <v>-826.6340694098202</v>
      </c>
      <c r="X714" s="359">
        <f t="shared" si="234"/>
        <v>-160575.4555706466</v>
      </c>
      <c r="Y714" s="356">
        <f t="shared" si="218"/>
        <v>138266541.41567641</v>
      </c>
      <c r="AA714" s="357">
        <f>+Bono!J714</f>
        <v>1050195.1718479847</v>
      </c>
      <c r="AC714" s="378">
        <f t="shared" si="219"/>
        <v>57.583333333333336</v>
      </c>
      <c r="AD714" s="356">
        <f t="shared" si="220"/>
        <v>141004717.37488893</v>
      </c>
    </row>
    <row r="715" spans="1:30" x14ac:dyDescent="0.25">
      <c r="A715" s="356">
        <f t="shared" si="221"/>
        <v>57.666666666666664</v>
      </c>
      <c r="B715" s="356">
        <f t="shared" si="222"/>
        <v>692</v>
      </c>
      <c r="C715" s="357">
        <f t="shared" si="227"/>
        <v>57</v>
      </c>
      <c r="D715" s="357">
        <f t="shared" si="228"/>
        <v>8</v>
      </c>
      <c r="E715" s="357">
        <f t="shared" si="229"/>
        <v>86</v>
      </c>
      <c r="F715" s="356">
        <f t="shared" si="223"/>
        <v>1687980.7873645197</v>
      </c>
      <c r="H715" s="356">
        <f t="shared" si="216"/>
        <v>13460.195839736225</v>
      </c>
      <c r="I715" s="356">
        <v>0</v>
      </c>
      <c r="J715" s="356">
        <v>0</v>
      </c>
      <c r="K715" s="356">
        <f t="shared" si="224"/>
        <v>-1973.6715405169366</v>
      </c>
      <c r="L715" s="356">
        <f t="shared" si="217"/>
        <v>1699467.311663739</v>
      </c>
      <c r="N715" s="356">
        <f t="shared" si="225"/>
        <v>692</v>
      </c>
      <c r="O715" s="357">
        <f t="shared" si="230"/>
        <v>57</v>
      </c>
      <c r="P715" s="357">
        <f t="shared" si="231"/>
        <v>8</v>
      </c>
      <c r="Q715" s="357">
        <f t="shared" si="232"/>
        <v>57</v>
      </c>
      <c r="R715" s="356">
        <f t="shared" si="226"/>
        <v>138266541.41567641</v>
      </c>
      <c r="S715" s="356">
        <f>IF($G$4="mensual",S714,0)</f>
        <v>10000</v>
      </c>
      <c r="U715" s="356">
        <f t="shared" si="233"/>
        <v>1102636.559271731</v>
      </c>
      <c r="V715" s="359">
        <f t="shared" si="215"/>
        <v>-826.6340694098202</v>
      </c>
      <c r="X715" s="359">
        <f t="shared" si="234"/>
        <v>-161678.88755541932</v>
      </c>
      <c r="Y715" s="356">
        <f t="shared" si="218"/>
        <v>139216672.4533233</v>
      </c>
      <c r="AA715" s="357">
        <f>+Bono!J715</f>
        <v>1056706.5037285422</v>
      </c>
      <c r="AC715" s="378">
        <f t="shared" si="219"/>
        <v>57.666666666666664</v>
      </c>
      <c r="AD715" s="356">
        <f t="shared" si="220"/>
        <v>141972846.2687156</v>
      </c>
    </row>
    <row r="716" spans="1:30" x14ac:dyDescent="0.25">
      <c r="A716" s="356">
        <f t="shared" si="221"/>
        <v>57.75</v>
      </c>
      <c r="B716" s="356">
        <f t="shared" si="222"/>
        <v>693</v>
      </c>
      <c r="C716" s="357">
        <f t="shared" si="227"/>
        <v>57</v>
      </c>
      <c r="D716" s="357">
        <f t="shared" si="228"/>
        <v>9</v>
      </c>
      <c r="E716" s="357">
        <f t="shared" si="229"/>
        <v>86</v>
      </c>
      <c r="F716" s="356">
        <f t="shared" si="223"/>
        <v>1699467.311663739</v>
      </c>
      <c r="H716" s="356">
        <f t="shared" si="216"/>
        <v>13551.790997538214</v>
      </c>
      <c r="I716" s="356">
        <v>0</v>
      </c>
      <c r="J716" s="360">
        <f>-SUM(F716:H716)*$J$21*1.16</f>
        <v>-17883.919431783735</v>
      </c>
      <c r="K716" s="356">
        <f t="shared" si="224"/>
        <v>-1966.3568125462125</v>
      </c>
      <c r="L716" s="356">
        <f t="shared" si="217"/>
        <v>1693168.8264169472</v>
      </c>
      <c r="N716" s="356">
        <f t="shared" si="225"/>
        <v>693</v>
      </c>
      <c r="O716" s="357">
        <f t="shared" si="230"/>
        <v>57</v>
      </c>
      <c r="P716" s="357">
        <f t="shared" si="231"/>
        <v>9</v>
      </c>
      <c r="Q716" s="357">
        <f t="shared" si="232"/>
        <v>57</v>
      </c>
      <c r="R716" s="356">
        <f t="shared" si="226"/>
        <v>139216672.4533233</v>
      </c>
      <c r="S716" s="356">
        <f>IF($G$4="mensual",S715,0)</f>
        <v>10000</v>
      </c>
      <c r="U716" s="356">
        <f t="shared" si="233"/>
        <v>1110213.0375917873</v>
      </c>
      <c r="V716" s="359">
        <f t="shared" si="215"/>
        <v>-826.6340694098202</v>
      </c>
      <c r="X716" s="359">
        <f t="shared" si="234"/>
        <v>-162789.82827394098</v>
      </c>
      <c r="Y716" s="356">
        <f t="shared" si="218"/>
        <v>140173269.02857172</v>
      </c>
      <c r="AA716" s="357">
        <f>+Bono!J716</f>
        <v>1053679.3038596665</v>
      </c>
      <c r="AC716" s="378">
        <f t="shared" si="219"/>
        <v>57.75</v>
      </c>
      <c r="AD716" s="356">
        <f t="shared" si="220"/>
        <v>142920117.15884835</v>
      </c>
    </row>
    <row r="717" spans="1:30" x14ac:dyDescent="0.25">
      <c r="A717" s="356">
        <f t="shared" si="221"/>
        <v>57.833333333333336</v>
      </c>
      <c r="B717" s="356">
        <f t="shared" si="222"/>
        <v>694</v>
      </c>
      <c r="C717" s="357">
        <f t="shared" si="227"/>
        <v>57</v>
      </c>
      <c r="D717" s="357">
        <f t="shared" si="228"/>
        <v>10</v>
      </c>
      <c r="E717" s="357">
        <f t="shared" si="229"/>
        <v>86</v>
      </c>
      <c r="F717" s="356">
        <f t="shared" si="223"/>
        <v>1693168.8264169472</v>
      </c>
      <c r="H717" s="356">
        <f t="shared" si="216"/>
        <v>13501.565991690919</v>
      </c>
      <c r="I717" s="356">
        <v>0</v>
      </c>
      <c r="J717" s="356">
        <v>0</v>
      </c>
      <c r="K717" s="356">
        <f t="shared" si="224"/>
        <v>-1979.73765519402</v>
      </c>
      <c r="L717" s="356">
        <f t="shared" si="217"/>
        <v>1704690.654753444</v>
      </c>
      <c r="N717" s="356">
        <f t="shared" si="225"/>
        <v>694</v>
      </c>
      <c r="O717" s="357">
        <f t="shared" si="230"/>
        <v>57</v>
      </c>
      <c r="P717" s="357">
        <f t="shared" si="231"/>
        <v>10</v>
      </c>
      <c r="Q717" s="357">
        <f t="shared" si="232"/>
        <v>57</v>
      </c>
      <c r="R717" s="356">
        <f t="shared" si="226"/>
        <v>140173269.02857172</v>
      </c>
      <c r="S717" s="356">
        <f>IF($G$4="mensual",S708,IF($G$4="trimestral",S708,0))</f>
        <v>10000</v>
      </c>
      <c r="U717" s="356">
        <f t="shared" si="233"/>
        <v>1117841.0730166268</v>
      </c>
      <c r="V717" s="359">
        <f>V716</f>
        <v>-826.6340694098202</v>
      </c>
      <c r="X717" s="359">
        <f t="shared" si="234"/>
        <v>-163908.32882232193</v>
      </c>
      <c r="Y717" s="356">
        <f t="shared" si="218"/>
        <v>141136375.1386966</v>
      </c>
      <c r="AA717" s="357">
        <f>+Bono!J717</f>
        <v>1060212.237762831</v>
      </c>
      <c r="AC717" s="378">
        <f t="shared" si="219"/>
        <v>57.833333333333336</v>
      </c>
      <c r="AD717" s="356">
        <f t="shared" si="220"/>
        <v>143901278.0312129</v>
      </c>
    </row>
    <row r="718" spans="1:30" x14ac:dyDescent="0.25">
      <c r="A718" s="356">
        <f t="shared" si="221"/>
        <v>57.916666666666664</v>
      </c>
      <c r="B718" s="356">
        <f t="shared" si="222"/>
        <v>695</v>
      </c>
      <c r="C718" s="357">
        <f t="shared" si="227"/>
        <v>57</v>
      </c>
      <c r="D718" s="357">
        <f t="shared" si="228"/>
        <v>11</v>
      </c>
      <c r="E718" s="357">
        <f t="shared" si="229"/>
        <v>86</v>
      </c>
      <c r="F718" s="356">
        <f t="shared" si="223"/>
        <v>1704690.654753444</v>
      </c>
      <c r="H718" s="356">
        <f t="shared" si="216"/>
        <v>13593.442668843867</v>
      </c>
      <c r="I718" s="356">
        <v>0</v>
      </c>
      <c r="J718" s="356">
        <v>0</v>
      </c>
      <c r="K718" s="356">
        <f t="shared" si="224"/>
        <v>-1993.2095530098538</v>
      </c>
      <c r="L718" s="356">
        <f t="shared" si="217"/>
        <v>1716290.887869278</v>
      </c>
      <c r="N718" s="356">
        <f t="shared" si="225"/>
        <v>695</v>
      </c>
      <c r="O718" s="357">
        <f t="shared" si="230"/>
        <v>57</v>
      </c>
      <c r="P718" s="357">
        <f t="shared" si="231"/>
        <v>11</v>
      </c>
      <c r="Q718" s="357">
        <f t="shared" si="232"/>
        <v>57</v>
      </c>
      <c r="R718" s="356">
        <f t="shared" si="226"/>
        <v>141136375.1386966</v>
      </c>
      <c r="S718" s="356">
        <f>IF($G$17="si",S706*(1+$G$20),S706)</f>
        <v>10000</v>
      </c>
      <c r="U718" s="356">
        <f t="shared" si="233"/>
        <v>1125521.0163866978</v>
      </c>
      <c r="V718" s="359">
        <f>V717</f>
        <v>-826.6340694098202</v>
      </c>
      <c r="X718" s="359">
        <f t="shared" si="234"/>
        <v>-165034.4406443761</v>
      </c>
      <c r="Y718" s="356">
        <f t="shared" si="218"/>
        <v>142106035.0803695</v>
      </c>
      <c r="AA718" s="357">
        <f>+Bono!J718</f>
        <v>1066785.6766139683</v>
      </c>
      <c r="AC718" s="378">
        <f t="shared" si="219"/>
        <v>57.916666666666664</v>
      </c>
      <c r="AD718" s="356">
        <f t="shared" si="220"/>
        <v>144889111.64485273</v>
      </c>
    </row>
    <row r="719" spans="1:30" x14ac:dyDescent="0.25">
      <c r="A719" s="356">
        <f t="shared" si="221"/>
        <v>58</v>
      </c>
      <c r="B719" s="356">
        <f t="shared" si="222"/>
        <v>696</v>
      </c>
      <c r="C719" s="357">
        <f t="shared" si="227"/>
        <v>57</v>
      </c>
      <c r="D719" s="357">
        <f t="shared" si="228"/>
        <v>12</v>
      </c>
      <c r="E719" s="357">
        <f t="shared" si="229"/>
        <v>86</v>
      </c>
      <c r="F719" s="356">
        <f t="shared" si="223"/>
        <v>1716290.887869278</v>
      </c>
      <c r="H719" s="356">
        <f t="shared" si="216"/>
        <v>13685.944556717546</v>
      </c>
      <c r="I719" s="356">
        <v>0</v>
      </c>
      <c r="J719" s="360">
        <f>-SUM(F719:H719)*$J$21*1.16</f>
        <v>-18060.958130527393</v>
      </c>
      <c r="K719" s="356">
        <f t="shared" si="224"/>
        <v>-1985.822414182743</v>
      </c>
      <c r="L719" s="356">
        <f t="shared" si="217"/>
        <v>1709930.0518812854</v>
      </c>
      <c r="N719" s="356">
        <f t="shared" si="225"/>
        <v>696</v>
      </c>
      <c r="O719" s="357">
        <f t="shared" si="230"/>
        <v>57</v>
      </c>
      <c r="P719" s="357">
        <f t="shared" si="231"/>
        <v>12</v>
      </c>
      <c r="Q719" s="357">
        <f t="shared" si="232"/>
        <v>57</v>
      </c>
      <c r="R719" s="356">
        <f t="shared" si="226"/>
        <v>142106035.0803695</v>
      </c>
      <c r="S719" s="356">
        <f>IF($G$4="mensual",S718,0)</f>
        <v>10000</v>
      </c>
      <c r="U719" s="356">
        <f t="shared" si="233"/>
        <v>1133253.2209298802</v>
      </c>
      <c r="V719" s="359">
        <f>V718</f>
        <v>-826.6340694098202</v>
      </c>
      <c r="X719" s="359">
        <f t="shared" si="234"/>
        <v>-166168.21553398675</v>
      </c>
      <c r="Y719" s="356">
        <f t="shared" si="218"/>
        <v>143082293.45169598</v>
      </c>
      <c r="AA719" s="357">
        <f>+Bono!J719</f>
        <v>1063729.6024354054</v>
      </c>
      <c r="AC719" s="378">
        <f t="shared" si="219"/>
        <v>58</v>
      </c>
      <c r="AD719" s="356">
        <f t="shared" si="220"/>
        <v>145855953.10601267</v>
      </c>
    </row>
    <row r="720" spans="1:30" x14ac:dyDescent="0.25">
      <c r="A720" s="356">
        <f t="shared" si="221"/>
        <v>58.083333333333336</v>
      </c>
      <c r="B720" s="356">
        <f t="shared" si="222"/>
        <v>697</v>
      </c>
      <c r="C720" s="357">
        <f t="shared" si="227"/>
        <v>58</v>
      </c>
      <c r="D720" s="357">
        <f t="shared" si="228"/>
        <v>1</v>
      </c>
      <c r="E720" s="357">
        <f t="shared" si="229"/>
        <v>87</v>
      </c>
      <c r="F720" s="356">
        <f t="shared" si="223"/>
        <v>1709930.0518812854</v>
      </c>
      <c r="H720" s="356">
        <f t="shared" si="216"/>
        <v>13635.222357304068</v>
      </c>
      <c r="I720" s="356">
        <v>0</v>
      </c>
      <c r="J720" s="356">
        <v>0</v>
      </c>
      <c r="K720" s="356">
        <f t="shared" si="224"/>
        <v>-1999.3357181167635</v>
      </c>
      <c r="L720" s="356">
        <f t="shared" si="217"/>
        <v>1721565.9385204727</v>
      </c>
      <c r="N720" s="356">
        <f t="shared" si="225"/>
        <v>697</v>
      </c>
      <c r="O720" s="357">
        <f t="shared" si="230"/>
        <v>58</v>
      </c>
      <c r="P720" s="357">
        <f t="shared" si="231"/>
        <v>1</v>
      </c>
      <c r="Q720" s="357">
        <f t="shared" si="232"/>
        <v>58</v>
      </c>
      <c r="R720" s="356">
        <f t="shared" si="226"/>
        <v>143082293.45169598</v>
      </c>
      <c r="S720" s="356">
        <f>IF($G$17="si",S708*(1+$G$20),S708)</f>
        <v>10000</v>
      </c>
      <c r="U720" s="356">
        <f t="shared" si="233"/>
        <v>1141038.0422777303</v>
      </c>
      <c r="V720" s="359">
        <f>V719*(1+$G$18)</f>
        <v>-859.699432186213</v>
      </c>
      <c r="X720" s="359">
        <f t="shared" si="234"/>
        <v>-167309.66728166814</v>
      </c>
      <c r="Y720" s="356">
        <f t="shared" si="218"/>
        <v>144065162.12725985</v>
      </c>
      <c r="AA720" s="357">
        <f>+Bono!J720</f>
        <v>1070324.8493555018</v>
      </c>
      <c r="AC720" s="378">
        <f t="shared" si="219"/>
        <v>58.083333333333336</v>
      </c>
      <c r="AD720" s="356">
        <f t="shared" si="220"/>
        <v>146857052.9151358</v>
      </c>
    </row>
    <row r="721" spans="1:30" x14ac:dyDescent="0.25">
      <c r="A721" s="356">
        <f t="shared" si="221"/>
        <v>58.166666666666664</v>
      </c>
      <c r="B721" s="356">
        <f t="shared" si="222"/>
        <v>698</v>
      </c>
      <c r="C721" s="357">
        <f t="shared" si="227"/>
        <v>58</v>
      </c>
      <c r="D721" s="357">
        <f t="shared" si="228"/>
        <v>2</v>
      </c>
      <c r="E721" s="357">
        <f t="shared" si="229"/>
        <v>87</v>
      </c>
      <c r="F721" s="356">
        <f t="shared" si="223"/>
        <v>1721565.9385204727</v>
      </c>
      <c r="H721" s="356">
        <f t="shared" si="216"/>
        <v>13728.008551379753</v>
      </c>
      <c r="I721" s="356">
        <v>0</v>
      </c>
      <c r="J721" s="356">
        <v>0</v>
      </c>
      <c r="K721" s="356">
        <f t="shared" si="224"/>
        <v>-2012.9409786033486</v>
      </c>
      <c r="L721" s="356">
        <f t="shared" si="217"/>
        <v>1733281.006093249</v>
      </c>
      <c r="N721" s="356">
        <f t="shared" si="225"/>
        <v>698</v>
      </c>
      <c r="O721" s="357">
        <f t="shared" si="230"/>
        <v>58</v>
      </c>
      <c r="P721" s="357">
        <f t="shared" si="231"/>
        <v>2</v>
      </c>
      <c r="Q721" s="357">
        <f t="shared" si="232"/>
        <v>58</v>
      </c>
      <c r="R721" s="356">
        <f t="shared" si="226"/>
        <v>144065162.12725985</v>
      </c>
      <c r="S721" s="356">
        <f>IF($G$4="mensual",S720,0)</f>
        <v>10000</v>
      </c>
      <c r="U721" s="356">
        <f t="shared" si="233"/>
        <v>1148875.5751198472</v>
      </c>
      <c r="V721" s="359">
        <f t="shared" ref="V721:V755" si="235">V720</f>
        <v>-859.699432186213</v>
      </c>
      <c r="X721" s="359">
        <f t="shared" si="234"/>
        <v>-168458.8864834191</v>
      </c>
      <c r="Y721" s="356">
        <f t="shared" si="218"/>
        <v>145054719.11646408</v>
      </c>
      <c r="AA721" s="357">
        <f>+Bono!J721</f>
        <v>1076960.987571504</v>
      </c>
      <c r="AC721" s="378">
        <f t="shared" si="219"/>
        <v>58.166666666666664</v>
      </c>
      <c r="AD721" s="356">
        <f t="shared" si="220"/>
        <v>147864961.11012885</v>
      </c>
    </row>
    <row r="722" spans="1:30" x14ac:dyDescent="0.25">
      <c r="A722" s="356">
        <f t="shared" si="221"/>
        <v>58.25</v>
      </c>
      <c r="B722" s="356">
        <f t="shared" si="222"/>
        <v>699</v>
      </c>
      <c r="C722" s="357">
        <f t="shared" si="227"/>
        <v>58</v>
      </c>
      <c r="D722" s="357">
        <f t="shared" si="228"/>
        <v>3</v>
      </c>
      <c r="E722" s="357">
        <f t="shared" si="229"/>
        <v>87</v>
      </c>
      <c r="F722" s="356">
        <f t="shared" si="223"/>
        <v>1733281.006093249</v>
      </c>
      <c r="H722" s="356">
        <f t="shared" si="216"/>
        <v>13821.426145339168</v>
      </c>
      <c r="I722" s="356">
        <v>0</v>
      </c>
      <c r="J722" s="360">
        <f>-SUM(F722:H722)*$J$21*1.16</f>
        <v>-18239.74939257086</v>
      </c>
      <c r="K722" s="356">
        <f t="shared" si="224"/>
        <v>-2005.4807121013798</v>
      </c>
      <c r="L722" s="356">
        <f t="shared" si="217"/>
        <v>1726857.2021339159</v>
      </c>
      <c r="N722" s="356">
        <f t="shared" si="225"/>
        <v>699</v>
      </c>
      <c r="O722" s="357">
        <f t="shared" si="230"/>
        <v>58</v>
      </c>
      <c r="P722" s="357">
        <f t="shared" si="231"/>
        <v>3</v>
      </c>
      <c r="Q722" s="357">
        <f t="shared" si="232"/>
        <v>58</v>
      </c>
      <c r="R722" s="356">
        <f t="shared" si="226"/>
        <v>145054719.11646408</v>
      </c>
      <c r="S722" s="356">
        <f>IF($G$4="mensual",S721,0)</f>
        <v>10000</v>
      </c>
      <c r="U722" s="356">
        <f t="shared" si="233"/>
        <v>1156766.441514165</v>
      </c>
      <c r="V722" s="359">
        <f t="shared" si="235"/>
        <v>-859.699432186213</v>
      </c>
      <c r="X722" s="359">
        <f t="shared" si="234"/>
        <v>-169615.92599591342</v>
      </c>
      <c r="Y722" s="356">
        <f t="shared" si="218"/>
        <v>146051009.93255013</v>
      </c>
      <c r="AA722" s="357">
        <f>+Bono!J722</f>
        <v>1073875.7636717197</v>
      </c>
      <c r="AC722" s="378">
        <f t="shared" si="219"/>
        <v>58.25</v>
      </c>
      <c r="AD722" s="356">
        <f t="shared" si="220"/>
        <v>148851742.89835578</v>
      </c>
    </row>
    <row r="723" spans="1:30" x14ac:dyDescent="0.25">
      <c r="A723" s="356">
        <f t="shared" si="221"/>
        <v>58.333333333333336</v>
      </c>
      <c r="B723" s="356">
        <f t="shared" si="222"/>
        <v>700</v>
      </c>
      <c r="C723" s="357">
        <f t="shared" si="227"/>
        <v>58</v>
      </c>
      <c r="D723" s="357">
        <f t="shared" si="228"/>
        <v>4</v>
      </c>
      <c r="E723" s="357">
        <f t="shared" si="229"/>
        <v>87</v>
      </c>
      <c r="F723" s="356">
        <f t="shared" si="223"/>
        <v>1726857.2021339159</v>
      </c>
      <c r="H723" s="356">
        <f t="shared" si="216"/>
        <v>13770.201830479698</v>
      </c>
      <c r="I723" s="356">
        <v>0</v>
      </c>
      <c r="J723" s="356">
        <v>0</v>
      </c>
      <c r="K723" s="356">
        <f t="shared" si="224"/>
        <v>-2019.1277885986988</v>
      </c>
      <c r="L723" s="356">
        <f t="shared" si="217"/>
        <v>1738608.276175797</v>
      </c>
      <c r="N723" s="356">
        <f t="shared" si="225"/>
        <v>700</v>
      </c>
      <c r="O723" s="357">
        <f t="shared" si="230"/>
        <v>58</v>
      </c>
      <c r="P723" s="357">
        <f t="shared" si="231"/>
        <v>4</v>
      </c>
      <c r="Q723" s="357">
        <f t="shared" si="232"/>
        <v>58</v>
      </c>
      <c r="R723" s="356">
        <f t="shared" si="226"/>
        <v>146051009.93255013</v>
      </c>
      <c r="S723" s="356">
        <f>IF($G$4="mensual",S720,IF($G$4="trimestral",S720,0))</f>
        <v>10000</v>
      </c>
      <c r="U723" s="356">
        <f t="shared" si="233"/>
        <v>1164711.0043896623</v>
      </c>
      <c r="V723" s="359">
        <f t="shared" si="235"/>
        <v>-859.699432186213</v>
      </c>
      <c r="X723" s="359">
        <f t="shared" si="234"/>
        <v>-170780.8390355088</v>
      </c>
      <c r="Y723" s="356">
        <f t="shared" si="218"/>
        <v>147054080.3984721</v>
      </c>
      <c r="AA723" s="357">
        <f>+Bono!J723</f>
        <v>1080533.9179683633</v>
      </c>
      <c r="AC723" s="378">
        <f t="shared" si="219"/>
        <v>58.333333333333336</v>
      </c>
      <c r="AD723" s="356">
        <f t="shared" si="220"/>
        <v>149873222.59261626</v>
      </c>
    </row>
    <row r="724" spans="1:30" x14ac:dyDescent="0.25">
      <c r="A724" s="356">
        <f t="shared" si="221"/>
        <v>58.416666666666664</v>
      </c>
      <c r="B724" s="356">
        <f t="shared" si="222"/>
        <v>701</v>
      </c>
      <c r="C724" s="357">
        <f t="shared" si="227"/>
        <v>58</v>
      </c>
      <c r="D724" s="357">
        <f t="shared" si="228"/>
        <v>5</v>
      </c>
      <c r="E724" s="357">
        <f t="shared" si="229"/>
        <v>87</v>
      </c>
      <c r="F724" s="356">
        <f t="shared" si="223"/>
        <v>1738608.276175797</v>
      </c>
      <c r="H724" s="356">
        <f t="shared" si="216"/>
        <v>13863.906545080104</v>
      </c>
      <c r="I724" s="356">
        <v>0</v>
      </c>
      <c r="J724" s="356">
        <v>0</v>
      </c>
      <c r="K724" s="356">
        <f t="shared" si="224"/>
        <v>-2032.8677319562173</v>
      </c>
      <c r="L724" s="356">
        <f t="shared" si="217"/>
        <v>1750439.3149889207</v>
      </c>
      <c r="N724" s="356">
        <f t="shared" si="225"/>
        <v>701</v>
      </c>
      <c r="O724" s="357">
        <f t="shared" si="230"/>
        <v>58</v>
      </c>
      <c r="P724" s="357">
        <f t="shared" si="231"/>
        <v>5</v>
      </c>
      <c r="Q724" s="357">
        <f t="shared" si="232"/>
        <v>58</v>
      </c>
      <c r="R724" s="356">
        <f t="shared" si="226"/>
        <v>147054080.3984721</v>
      </c>
      <c r="S724" s="356">
        <f>IF($G$4="mensual",S723,0)</f>
        <v>10000</v>
      </c>
      <c r="U724" s="356">
        <f t="shared" si="233"/>
        <v>1172709.62914501</v>
      </c>
      <c r="V724" s="359">
        <f t="shared" si="235"/>
        <v>-859.699432186213</v>
      </c>
      <c r="X724" s="359">
        <f t="shared" si="234"/>
        <v>-171953.67918069448</v>
      </c>
      <c r="Y724" s="356">
        <f t="shared" si="218"/>
        <v>148063976.64900422</v>
      </c>
      <c r="AA724" s="357">
        <f>+Bono!J724</f>
        <v>1087233.353593944</v>
      </c>
      <c r="AC724" s="378">
        <f t="shared" si="219"/>
        <v>58.416666666666664</v>
      </c>
      <c r="AD724" s="356">
        <f t="shared" si="220"/>
        <v>150901649.31758708</v>
      </c>
    </row>
    <row r="725" spans="1:30" x14ac:dyDescent="0.25">
      <c r="A725" s="356">
        <f t="shared" si="221"/>
        <v>58.5</v>
      </c>
      <c r="B725" s="356">
        <f t="shared" si="222"/>
        <v>702</v>
      </c>
      <c r="C725" s="357">
        <f t="shared" si="227"/>
        <v>58</v>
      </c>
      <c r="D725" s="357">
        <f t="shared" si="228"/>
        <v>6</v>
      </c>
      <c r="E725" s="357">
        <f t="shared" si="229"/>
        <v>87</v>
      </c>
      <c r="F725" s="356">
        <f t="shared" si="223"/>
        <v>1750439.3149889207</v>
      </c>
      <c r="H725" s="356">
        <f t="shared" si="216"/>
        <v>13958.248909995764</v>
      </c>
      <c r="I725" s="356">
        <v>0</v>
      </c>
      <c r="J725" s="360">
        <f>-SUM(F725:H725)*$J$21*1.16</f>
        <v>-18420.310567104687</v>
      </c>
      <c r="K725" s="356">
        <f t="shared" si="224"/>
        <v>-2025.3336138649013</v>
      </c>
      <c r="L725" s="356">
        <f t="shared" si="217"/>
        <v>1743951.9197179468</v>
      </c>
      <c r="N725" s="356">
        <f t="shared" si="225"/>
        <v>702</v>
      </c>
      <c r="O725" s="357">
        <f t="shared" si="230"/>
        <v>58</v>
      </c>
      <c r="P725" s="357">
        <f t="shared" si="231"/>
        <v>6</v>
      </c>
      <c r="Q725" s="357">
        <f t="shared" si="232"/>
        <v>58</v>
      </c>
      <c r="R725" s="356">
        <f t="shared" si="226"/>
        <v>148063976.64900422</v>
      </c>
      <c r="S725" s="356">
        <f>IF($G$4="mensual",S724,0)</f>
        <v>10000</v>
      </c>
      <c r="U725" s="356">
        <f t="shared" si="233"/>
        <v>1180762.6836653764</v>
      </c>
      <c r="V725" s="359">
        <f t="shared" si="235"/>
        <v>-859.699432186213</v>
      </c>
      <c r="X725" s="359">
        <f t="shared" si="234"/>
        <v>-173134.50037455538</v>
      </c>
      <c r="Y725" s="356">
        <f t="shared" si="218"/>
        <v>149080745.13286284</v>
      </c>
      <c r="AA725" s="357">
        <f>+Bono!J725</f>
        <v>1084118.7019344494</v>
      </c>
      <c r="AC725" s="378">
        <f t="shared" si="219"/>
        <v>58.5</v>
      </c>
      <c r="AD725" s="356">
        <f t="shared" si="220"/>
        <v>151908815.75451523</v>
      </c>
    </row>
    <row r="726" spans="1:30" x14ac:dyDescent="0.25">
      <c r="A726" s="356">
        <f t="shared" si="221"/>
        <v>58.583333333333336</v>
      </c>
      <c r="B726" s="356">
        <f t="shared" si="222"/>
        <v>703</v>
      </c>
      <c r="C726" s="357">
        <f t="shared" si="227"/>
        <v>58</v>
      </c>
      <c r="D726" s="357">
        <f t="shared" si="228"/>
        <v>7</v>
      </c>
      <c r="E726" s="357">
        <f t="shared" si="229"/>
        <v>87</v>
      </c>
      <c r="F726" s="356">
        <f t="shared" si="223"/>
        <v>1743951.9197179468</v>
      </c>
      <c r="H726" s="356">
        <f t="shared" si="216"/>
        <v>13906.51750908721</v>
      </c>
      <c r="I726" s="356">
        <v>0</v>
      </c>
      <c r="J726" s="356">
        <v>0</v>
      </c>
      <c r="K726" s="356">
        <f t="shared" si="224"/>
        <v>-2039.1157871833593</v>
      </c>
      <c r="L726" s="356">
        <f t="shared" si="217"/>
        <v>1755819.3214398506</v>
      </c>
      <c r="N726" s="356">
        <f t="shared" si="225"/>
        <v>703</v>
      </c>
      <c r="O726" s="357">
        <f t="shared" si="230"/>
        <v>58</v>
      </c>
      <c r="P726" s="357">
        <f t="shared" si="231"/>
        <v>7</v>
      </c>
      <c r="Q726" s="357">
        <f t="shared" si="232"/>
        <v>58</v>
      </c>
      <c r="R726" s="356">
        <f t="shared" si="226"/>
        <v>149080745.13286284</v>
      </c>
      <c r="S726" s="356">
        <f>+IF($G$4="mensual",S720,IF($G$4="trimestral",S720,IF($G$4="semestral",S720,0)))</f>
        <v>10000</v>
      </c>
      <c r="U726" s="356">
        <f t="shared" si="233"/>
        <v>1188870.5383393487</v>
      </c>
      <c r="V726" s="359">
        <f t="shared" si="235"/>
        <v>-859.699432186213</v>
      </c>
      <c r="X726" s="359">
        <f t="shared" si="234"/>
        <v>-174323.3569272532</v>
      </c>
      <c r="Y726" s="356">
        <f t="shared" si="218"/>
        <v>150104432.61484274</v>
      </c>
      <c r="AA726" s="357">
        <f>+Bono!J726</f>
        <v>1090840.363636429</v>
      </c>
      <c r="AC726" s="378">
        <f t="shared" si="219"/>
        <v>58.583333333333336</v>
      </c>
      <c r="AD726" s="356">
        <f t="shared" si="220"/>
        <v>152951092.29991904</v>
      </c>
    </row>
    <row r="727" spans="1:30" x14ac:dyDescent="0.25">
      <c r="A727" s="356">
        <f t="shared" si="221"/>
        <v>58.666666666666664</v>
      </c>
      <c r="B727" s="356">
        <f t="shared" si="222"/>
        <v>704</v>
      </c>
      <c r="C727" s="357">
        <f t="shared" si="227"/>
        <v>58</v>
      </c>
      <c r="D727" s="357">
        <f t="shared" si="228"/>
        <v>8</v>
      </c>
      <c r="E727" s="357">
        <f t="shared" si="229"/>
        <v>87</v>
      </c>
      <c r="F727" s="356">
        <f t="shared" si="223"/>
        <v>1755819.3214398506</v>
      </c>
      <c r="H727" s="356">
        <f t="shared" si="216"/>
        <v>14001.149836943887</v>
      </c>
      <c r="I727" s="356">
        <v>0</v>
      </c>
      <c r="J727" s="356">
        <v>0</v>
      </c>
      <c r="K727" s="356">
        <f t="shared" si="224"/>
        <v>-2052.9917466810816</v>
      </c>
      <c r="L727" s="356">
        <f t="shared" si="217"/>
        <v>1767767.4795301135</v>
      </c>
      <c r="N727" s="356">
        <f t="shared" si="225"/>
        <v>704</v>
      </c>
      <c r="O727" s="357">
        <f t="shared" si="230"/>
        <v>58</v>
      </c>
      <c r="P727" s="357">
        <f t="shared" si="231"/>
        <v>8</v>
      </c>
      <c r="Q727" s="357">
        <f t="shared" si="232"/>
        <v>58</v>
      </c>
      <c r="R727" s="356">
        <f t="shared" si="226"/>
        <v>150104432.61484274</v>
      </c>
      <c r="S727" s="356">
        <f>IF($G$4="mensual",S726,0)</f>
        <v>10000</v>
      </c>
      <c r="U727" s="356">
        <f t="shared" si="233"/>
        <v>1197033.5660759674</v>
      </c>
      <c r="V727" s="359">
        <f t="shared" si="235"/>
        <v>-859.699432186213</v>
      </c>
      <c r="X727" s="359">
        <f t="shared" si="234"/>
        <v>-175520.30351852436</v>
      </c>
      <c r="Y727" s="356">
        <f t="shared" si="218"/>
        <v>151135086.177968</v>
      </c>
      <c r="AA727" s="357">
        <f>+Bono!J727</f>
        <v>1097603.7004206255</v>
      </c>
      <c r="AC727" s="378">
        <f t="shared" si="219"/>
        <v>58.666666666666664</v>
      </c>
      <c r="AD727" s="356">
        <f t="shared" si="220"/>
        <v>154000457.35791874</v>
      </c>
    </row>
    <row r="728" spans="1:30" x14ac:dyDescent="0.25">
      <c r="A728" s="356">
        <f t="shared" si="221"/>
        <v>58.75</v>
      </c>
      <c r="B728" s="356">
        <f t="shared" si="222"/>
        <v>705</v>
      </c>
      <c r="C728" s="357">
        <f t="shared" si="227"/>
        <v>58</v>
      </c>
      <c r="D728" s="357">
        <f t="shared" si="228"/>
        <v>9</v>
      </c>
      <c r="E728" s="357">
        <f t="shared" si="229"/>
        <v>87</v>
      </c>
      <c r="F728" s="356">
        <f t="shared" si="223"/>
        <v>1767767.4795301135</v>
      </c>
      <c r="H728" s="356">
        <f t="shared" ref="H728:H755" si="236">SUM(F728:G728)*$G$8</f>
        <v>14096.426127422386</v>
      </c>
      <c r="I728" s="356">
        <v>0</v>
      </c>
      <c r="J728" s="360">
        <f>-SUM(F728:H728)*$J$21*1.16</f>
        <v>-18602.659175064677</v>
      </c>
      <c r="K728" s="356">
        <f t="shared" si="224"/>
        <v>-2045.3830459196665</v>
      </c>
      <c r="L728" s="356">
        <f t="shared" ref="L728:L755" si="237">SUM(F728:K728)</f>
        <v>1761215.8634365515</v>
      </c>
      <c r="N728" s="356">
        <f t="shared" si="225"/>
        <v>705</v>
      </c>
      <c r="O728" s="357">
        <f t="shared" si="230"/>
        <v>58</v>
      </c>
      <c r="P728" s="357">
        <f t="shared" si="231"/>
        <v>9</v>
      </c>
      <c r="Q728" s="357">
        <f t="shared" si="232"/>
        <v>58</v>
      </c>
      <c r="R728" s="356">
        <f t="shared" si="226"/>
        <v>151135086.177968</v>
      </c>
      <c r="S728" s="356">
        <f>IF($G$4="mensual",S727,0)</f>
        <v>10000</v>
      </c>
      <c r="U728" s="356">
        <f t="shared" si="233"/>
        <v>1205252.142321878</v>
      </c>
      <c r="V728" s="359">
        <f t="shared" si="235"/>
        <v>-859.699432186213</v>
      </c>
      <c r="X728" s="359">
        <f t="shared" si="234"/>
        <v>-176725.3952001949</v>
      </c>
      <c r="Y728" s="356">
        <f t="shared" ref="Y728:Y755" si="238">SUM(R728:X728)</f>
        <v>152172753.2256575</v>
      </c>
      <c r="AA728" s="357">
        <f>+Bono!J728</f>
        <v>1094459.3403109196</v>
      </c>
      <c r="AC728" s="378">
        <f t="shared" ref="AC728:AC755" si="239">+B728/12</f>
        <v>58.75</v>
      </c>
      <c r="AD728" s="356">
        <f t="shared" ref="AD728:AD755" si="240">+AA728+Y728+L728</f>
        <v>155028428.42940497</v>
      </c>
    </row>
    <row r="729" spans="1:30" x14ac:dyDescent="0.25">
      <c r="A729" s="356">
        <f t="shared" ref="A729:A755" si="241">+B729/12</f>
        <v>58.833333333333336</v>
      </c>
      <c r="B729" s="356">
        <f t="shared" ref="B729:B755" si="242">+B728+1</f>
        <v>706</v>
      </c>
      <c r="C729" s="357">
        <f t="shared" si="227"/>
        <v>58</v>
      </c>
      <c r="D729" s="357">
        <f t="shared" si="228"/>
        <v>10</v>
      </c>
      <c r="E729" s="357">
        <f t="shared" si="229"/>
        <v>87</v>
      </c>
      <c r="F729" s="356">
        <f t="shared" ref="F729:F755" si="243">L728</f>
        <v>1761215.8634365515</v>
      </c>
      <c r="H729" s="356">
        <f t="shared" si="236"/>
        <v>14044.182620656056</v>
      </c>
      <c r="I729" s="356">
        <v>0</v>
      </c>
      <c r="J729" s="356">
        <v>0</v>
      </c>
      <c r="K729" s="356">
        <f t="shared" ref="K729:K755" si="244">-SUM(F729:J729)*0.1%*1.16</f>
        <v>-2059.3016534263606</v>
      </c>
      <c r="L729" s="356">
        <f t="shared" si="237"/>
        <v>1773200.7444037811</v>
      </c>
      <c r="N729" s="356">
        <f t="shared" ref="N729:N755" si="245">+N728+1</f>
        <v>706</v>
      </c>
      <c r="O729" s="357">
        <f t="shared" si="230"/>
        <v>58</v>
      </c>
      <c r="P729" s="357">
        <f t="shared" si="231"/>
        <v>10</v>
      </c>
      <c r="Q729" s="357">
        <f t="shared" si="232"/>
        <v>58</v>
      </c>
      <c r="R729" s="356">
        <f t="shared" ref="R729:R755" si="246">Y728</f>
        <v>152172753.2256575</v>
      </c>
      <c r="S729" s="356">
        <f>IF($G$4="mensual",S720,IF($G$4="trimestral",S720,0))</f>
        <v>10000</v>
      </c>
      <c r="U729" s="356">
        <f t="shared" si="233"/>
        <v>1213526.6450786002</v>
      </c>
      <c r="V729" s="359">
        <f t="shared" si="235"/>
        <v>-859.699432186213</v>
      </c>
      <c r="X729" s="359">
        <f t="shared" si="234"/>
        <v>-177938.68739871253</v>
      </c>
      <c r="Y729" s="356">
        <f t="shared" si="238"/>
        <v>153217481.4839052</v>
      </c>
      <c r="AA729" s="357">
        <f>+Bono!J729</f>
        <v>1101245.1151702732</v>
      </c>
      <c r="AC729" s="378">
        <f t="shared" si="239"/>
        <v>58.833333333333336</v>
      </c>
      <c r="AD729" s="356">
        <f t="shared" si="240"/>
        <v>156091927.34347925</v>
      </c>
    </row>
    <row r="730" spans="1:30" x14ac:dyDescent="0.25">
      <c r="A730" s="356">
        <f t="shared" si="241"/>
        <v>58.916666666666664</v>
      </c>
      <c r="B730" s="356">
        <f t="shared" si="242"/>
        <v>707</v>
      </c>
      <c r="C730" s="357">
        <f t="shared" si="227"/>
        <v>58</v>
      </c>
      <c r="D730" s="357">
        <f t="shared" si="228"/>
        <v>11</v>
      </c>
      <c r="E730" s="357">
        <f t="shared" si="229"/>
        <v>87</v>
      </c>
      <c r="F730" s="356">
        <f t="shared" si="243"/>
        <v>1773200.7444037811</v>
      </c>
      <c r="H730" s="356">
        <f t="shared" si="236"/>
        <v>14139.751744512441</v>
      </c>
      <c r="I730" s="356">
        <v>0</v>
      </c>
      <c r="J730" s="356">
        <v>0</v>
      </c>
      <c r="K730" s="356">
        <f t="shared" si="244"/>
        <v>-2073.3149755320205</v>
      </c>
      <c r="L730" s="356">
        <f t="shared" si="237"/>
        <v>1785267.1811727616</v>
      </c>
      <c r="N730" s="356">
        <f t="shared" si="245"/>
        <v>707</v>
      </c>
      <c r="O730" s="357">
        <f t="shared" si="230"/>
        <v>58</v>
      </c>
      <c r="P730" s="357">
        <f t="shared" si="231"/>
        <v>11</v>
      </c>
      <c r="Q730" s="357">
        <f t="shared" si="232"/>
        <v>58</v>
      </c>
      <c r="R730" s="356">
        <f t="shared" si="246"/>
        <v>153217481.4839052</v>
      </c>
      <c r="S730" s="356">
        <f>IF($G$17="si",S718*(1+$G$20),S718)</f>
        <v>10000</v>
      </c>
      <c r="U730" s="356">
        <f t="shared" si="233"/>
        <v>1221857.4549199115</v>
      </c>
      <c r="V730" s="359">
        <f t="shared" si="235"/>
        <v>-859.699432186213</v>
      </c>
      <c r="X730" s="359">
        <f t="shared" si="234"/>
        <v>-179160.23591769577</v>
      </c>
      <c r="Y730" s="356">
        <f t="shared" si="238"/>
        <v>154269319.00347522</v>
      </c>
      <c r="AA730" s="357">
        <f>+Bono!J730</f>
        <v>1108072.962620856</v>
      </c>
      <c r="AC730" s="378">
        <f t="shared" si="239"/>
        <v>58.916666666666664</v>
      </c>
      <c r="AD730" s="356">
        <f t="shared" si="240"/>
        <v>157162659.14726883</v>
      </c>
    </row>
    <row r="731" spans="1:30" x14ac:dyDescent="0.25">
      <c r="A731" s="356">
        <f t="shared" si="241"/>
        <v>59</v>
      </c>
      <c r="B731" s="356">
        <f t="shared" si="242"/>
        <v>708</v>
      </c>
      <c r="C731" s="357">
        <f t="shared" si="227"/>
        <v>58</v>
      </c>
      <c r="D731" s="357">
        <f t="shared" si="228"/>
        <v>12</v>
      </c>
      <c r="E731" s="357">
        <f t="shared" si="229"/>
        <v>87</v>
      </c>
      <c r="F731" s="356">
        <f t="shared" si="243"/>
        <v>1785267.1811727616</v>
      </c>
      <c r="H731" s="356">
        <f t="shared" si="236"/>
        <v>14235.97120578478</v>
      </c>
      <c r="I731" s="356">
        <v>0</v>
      </c>
      <c r="J731" s="360">
        <f>-SUM(F731:H731)*$J$21*1.16</f>
        <v>-18786.812910832024</v>
      </c>
      <c r="K731" s="356">
        <f t="shared" si="244"/>
        <v>-2065.6309537825487</v>
      </c>
      <c r="L731" s="356">
        <f t="shared" si="237"/>
        <v>1778650.7085139318</v>
      </c>
      <c r="N731" s="356">
        <f t="shared" si="245"/>
        <v>708</v>
      </c>
      <c r="O731" s="357">
        <f t="shared" si="230"/>
        <v>58</v>
      </c>
      <c r="P731" s="357">
        <f t="shared" si="231"/>
        <v>12</v>
      </c>
      <c r="Q731" s="357">
        <f t="shared" si="232"/>
        <v>58</v>
      </c>
      <c r="R731" s="356">
        <f t="shared" si="246"/>
        <v>154269319.00347522</v>
      </c>
      <c r="S731" s="356">
        <f>IF($G$4="mensual",S730,0)</f>
        <v>10000</v>
      </c>
      <c r="U731" s="356">
        <f t="shared" si="233"/>
        <v>1230244.9550093526</v>
      </c>
      <c r="V731" s="359">
        <f t="shared" si="235"/>
        <v>-859.699432186213</v>
      </c>
      <c r="X731" s="359">
        <f t="shared" si="234"/>
        <v>-180390.09694050075</v>
      </c>
      <c r="Y731" s="356">
        <f t="shared" si="238"/>
        <v>155328314.16211188</v>
      </c>
      <c r="AA731" s="357">
        <f>+Bono!J731</f>
        <v>1104898.6106931306</v>
      </c>
      <c r="AC731" s="378">
        <f t="shared" si="239"/>
        <v>59</v>
      </c>
      <c r="AD731" s="356">
        <f t="shared" si="240"/>
        <v>158211863.48131895</v>
      </c>
    </row>
    <row r="732" spans="1:30" x14ac:dyDescent="0.25">
      <c r="A732" s="356">
        <f t="shared" si="241"/>
        <v>59.083333333333336</v>
      </c>
      <c r="B732" s="356">
        <f t="shared" si="242"/>
        <v>709</v>
      </c>
      <c r="C732" s="357">
        <f t="shared" si="227"/>
        <v>59</v>
      </c>
      <c r="D732" s="357">
        <f t="shared" si="228"/>
        <v>1</v>
      </c>
      <c r="E732" s="357">
        <f t="shared" si="229"/>
        <v>88</v>
      </c>
      <c r="F732" s="356">
        <f t="shared" si="243"/>
        <v>1778650.7085139318</v>
      </c>
      <c r="H732" s="356">
        <f t="shared" si="236"/>
        <v>14183.210523659269</v>
      </c>
      <c r="I732" s="356">
        <v>0</v>
      </c>
      <c r="J732" s="356">
        <v>0</v>
      </c>
      <c r="K732" s="356">
        <f t="shared" si="244"/>
        <v>-2079.6873460836055</v>
      </c>
      <c r="L732" s="356">
        <f t="shared" si="237"/>
        <v>1790754.2316915076</v>
      </c>
      <c r="N732" s="356">
        <f t="shared" si="245"/>
        <v>709</v>
      </c>
      <c r="O732" s="357">
        <f t="shared" si="230"/>
        <v>59</v>
      </c>
      <c r="P732" s="357">
        <f t="shared" si="231"/>
        <v>1</v>
      </c>
      <c r="Q732" s="357">
        <f t="shared" si="232"/>
        <v>59</v>
      </c>
      <c r="R732" s="356">
        <f t="shared" si="246"/>
        <v>155328314.16211188</v>
      </c>
      <c r="S732" s="356">
        <f>IF($G$17="si",S720*(1+$G$20),S720)</f>
        <v>10000</v>
      </c>
      <c r="U732" s="356">
        <f t="shared" si="233"/>
        <v>1238689.5311178504</v>
      </c>
      <c r="V732" s="359">
        <f>V731*(1+$G$18)</f>
        <v>-894.0874094736615</v>
      </c>
      <c r="X732" s="359">
        <f t="shared" si="234"/>
        <v>-181628.2871427515</v>
      </c>
      <c r="Y732" s="356">
        <f t="shared" si="238"/>
        <v>156394481.3186775</v>
      </c>
      <c r="AA732" s="357">
        <f>+Bono!J732</f>
        <v>1111749.1102397344</v>
      </c>
      <c r="AC732" s="378">
        <f t="shared" si="239"/>
        <v>59.083333333333336</v>
      </c>
      <c r="AD732" s="356">
        <f t="shared" si="240"/>
        <v>159296984.66060877</v>
      </c>
    </row>
    <row r="733" spans="1:30" x14ac:dyDescent="0.25">
      <c r="A733" s="356">
        <f t="shared" si="241"/>
        <v>59.166666666666664</v>
      </c>
      <c r="B733" s="356">
        <f t="shared" si="242"/>
        <v>710</v>
      </c>
      <c r="C733" s="357">
        <f t="shared" si="227"/>
        <v>59</v>
      </c>
      <c r="D733" s="357">
        <f t="shared" si="228"/>
        <v>2</v>
      </c>
      <c r="E733" s="357">
        <f t="shared" si="229"/>
        <v>88</v>
      </c>
      <c r="F733" s="356">
        <f t="shared" si="243"/>
        <v>1790754.2316915076</v>
      </c>
      <c r="H733" s="356">
        <f t="shared" si="236"/>
        <v>14279.72571716175</v>
      </c>
      <c r="I733" s="356">
        <v>0</v>
      </c>
      <c r="J733" s="356">
        <v>0</v>
      </c>
      <c r="K733" s="356">
        <f t="shared" si="244"/>
        <v>-2093.8393905940566</v>
      </c>
      <c r="L733" s="356">
        <f t="shared" si="237"/>
        <v>1802940.1180180754</v>
      </c>
      <c r="N733" s="356">
        <f t="shared" si="245"/>
        <v>710</v>
      </c>
      <c r="O733" s="357">
        <f t="shared" si="230"/>
        <v>59</v>
      </c>
      <c r="P733" s="357">
        <f t="shared" si="231"/>
        <v>2</v>
      </c>
      <c r="Q733" s="357">
        <f t="shared" si="232"/>
        <v>59</v>
      </c>
      <c r="R733" s="356">
        <f t="shared" si="246"/>
        <v>156394481.3186775</v>
      </c>
      <c r="S733" s="356">
        <f>IF($G$4="mensual",S732,0)</f>
        <v>10000</v>
      </c>
      <c r="U733" s="356">
        <f t="shared" si="233"/>
        <v>1247191.2977449899</v>
      </c>
      <c r="V733" s="359">
        <f t="shared" si="235"/>
        <v>-894.0874094736615</v>
      </c>
      <c r="X733" s="359">
        <f t="shared" si="234"/>
        <v>-182874.90309365513</v>
      </c>
      <c r="Y733" s="356">
        <f t="shared" si="238"/>
        <v>157467903.62591937</v>
      </c>
      <c r="AA733" s="357">
        <f>+Bono!J733</f>
        <v>1118642.0836781359</v>
      </c>
      <c r="AC733" s="378">
        <f t="shared" si="239"/>
        <v>59.166666666666664</v>
      </c>
      <c r="AD733" s="356">
        <f t="shared" si="240"/>
        <v>160389485.82761556</v>
      </c>
    </row>
    <row r="734" spans="1:30" x14ac:dyDescent="0.25">
      <c r="A734" s="356">
        <f t="shared" si="241"/>
        <v>59.25</v>
      </c>
      <c r="B734" s="356">
        <f t="shared" si="242"/>
        <v>711</v>
      </c>
      <c r="C734" s="357">
        <f t="shared" si="227"/>
        <v>59</v>
      </c>
      <c r="D734" s="357">
        <f t="shared" si="228"/>
        <v>3</v>
      </c>
      <c r="E734" s="357">
        <f t="shared" si="229"/>
        <v>88</v>
      </c>
      <c r="F734" s="356">
        <f t="shared" si="243"/>
        <v>1802940.1180180754</v>
      </c>
      <c r="H734" s="356">
        <f t="shared" si="236"/>
        <v>14376.897685980459</v>
      </c>
      <c r="I734" s="356">
        <v>0</v>
      </c>
      <c r="J734" s="360">
        <f>-SUM(F734:H734)*$J$21*1.16</f>
        <v>-18972.789643950342</v>
      </c>
      <c r="K734" s="356">
        <f t="shared" si="244"/>
        <v>-2086.079302229722</v>
      </c>
      <c r="L734" s="356">
        <f t="shared" si="237"/>
        <v>1796258.1467578758</v>
      </c>
      <c r="N734" s="356">
        <f t="shared" si="245"/>
        <v>711</v>
      </c>
      <c r="O734" s="357">
        <f t="shared" si="230"/>
        <v>59</v>
      </c>
      <c r="P734" s="357">
        <f t="shared" si="231"/>
        <v>3</v>
      </c>
      <c r="Q734" s="357">
        <f t="shared" si="232"/>
        <v>59</v>
      </c>
      <c r="R734" s="356">
        <f t="shared" si="246"/>
        <v>157467903.62591937</v>
      </c>
      <c r="S734" s="356">
        <f>IF($G$4="mensual",S733,0)</f>
        <v>10000</v>
      </c>
      <c r="U734" s="356">
        <f t="shared" si="233"/>
        <v>1255750.9179624543</v>
      </c>
      <c r="V734" s="359">
        <f t="shared" si="235"/>
        <v>-894.0874094736615</v>
      </c>
      <c r="X734" s="359">
        <f t="shared" si="234"/>
        <v>-184130.00212950795</v>
      </c>
      <c r="Y734" s="356">
        <f t="shared" si="238"/>
        <v>158548630.45434287</v>
      </c>
      <c r="AA734" s="357">
        <f>+Bono!J734</f>
        <v>1115437.4538617386</v>
      </c>
      <c r="AC734" s="378">
        <f t="shared" si="239"/>
        <v>59.25</v>
      </c>
      <c r="AD734" s="356">
        <f t="shared" si="240"/>
        <v>161460326.0549625</v>
      </c>
    </row>
    <row r="735" spans="1:30" x14ac:dyDescent="0.25">
      <c r="A735" s="356">
        <f t="shared" si="241"/>
        <v>59.333333333333336</v>
      </c>
      <c r="B735" s="356">
        <f t="shared" si="242"/>
        <v>712</v>
      </c>
      <c r="C735" s="357">
        <f t="shared" si="227"/>
        <v>59</v>
      </c>
      <c r="D735" s="357">
        <f t="shared" si="228"/>
        <v>4</v>
      </c>
      <c r="E735" s="357">
        <f t="shared" si="229"/>
        <v>88</v>
      </c>
      <c r="F735" s="356">
        <f t="shared" si="243"/>
        <v>1796258.1467578758</v>
      </c>
      <c r="H735" s="356">
        <f t="shared" si="236"/>
        <v>14323.614708809728</v>
      </c>
      <c r="I735" s="356">
        <v>0</v>
      </c>
      <c r="J735" s="356">
        <v>0</v>
      </c>
      <c r="K735" s="356">
        <f t="shared" si="244"/>
        <v>-2100.274843301355</v>
      </c>
      <c r="L735" s="356">
        <f t="shared" si="237"/>
        <v>1808481.486623384</v>
      </c>
      <c r="N735" s="356">
        <f t="shared" si="245"/>
        <v>712</v>
      </c>
      <c r="O735" s="357">
        <f t="shared" si="230"/>
        <v>59</v>
      </c>
      <c r="P735" s="357">
        <f t="shared" si="231"/>
        <v>4</v>
      </c>
      <c r="Q735" s="357">
        <f t="shared" si="232"/>
        <v>59</v>
      </c>
      <c r="R735" s="356">
        <f t="shared" si="246"/>
        <v>158548630.45434287</v>
      </c>
      <c r="S735" s="356">
        <f>IF($G$4="mensual",S732,IF($G$4="trimestral",S732,0))</f>
        <v>10000</v>
      </c>
      <c r="U735" s="356">
        <f t="shared" si="233"/>
        <v>1264368.785457587</v>
      </c>
      <c r="V735" s="359">
        <f t="shared" si="235"/>
        <v>-894.0874094736615</v>
      </c>
      <c r="X735" s="359">
        <f t="shared" si="234"/>
        <v>-185393.64197677354</v>
      </c>
      <c r="Y735" s="356">
        <f t="shared" si="238"/>
        <v>159636711.5104142</v>
      </c>
      <c r="AA735" s="357">
        <f>+Bono!J735</f>
        <v>1122353.2954584179</v>
      </c>
      <c r="AC735" s="378">
        <f t="shared" si="239"/>
        <v>59.333333333333336</v>
      </c>
      <c r="AD735" s="356">
        <f t="shared" si="240"/>
        <v>162567546.292496</v>
      </c>
    </row>
    <row r="736" spans="1:30" x14ac:dyDescent="0.25">
      <c r="A736" s="356">
        <f t="shared" si="241"/>
        <v>59.416666666666664</v>
      </c>
      <c r="B736" s="356">
        <f t="shared" si="242"/>
        <v>713</v>
      </c>
      <c r="C736" s="357">
        <f t="shared" si="227"/>
        <v>59</v>
      </c>
      <c r="D736" s="357">
        <f t="shared" si="228"/>
        <v>5</v>
      </c>
      <c r="E736" s="357">
        <f t="shared" si="229"/>
        <v>88</v>
      </c>
      <c r="F736" s="356">
        <f t="shared" si="243"/>
        <v>1808481.486623384</v>
      </c>
      <c r="H736" s="356">
        <f t="shared" si="236"/>
        <v>14421.085337407509</v>
      </c>
      <c r="I736" s="356">
        <v>0</v>
      </c>
      <c r="J736" s="356">
        <v>0</v>
      </c>
      <c r="K736" s="356">
        <f t="shared" si="244"/>
        <v>-2114.566983474518</v>
      </c>
      <c r="L736" s="356">
        <f t="shared" si="237"/>
        <v>1820788.004977317</v>
      </c>
      <c r="N736" s="356">
        <f t="shared" si="245"/>
        <v>713</v>
      </c>
      <c r="O736" s="357">
        <f t="shared" si="230"/>
        <v>59</v>
      </c>
      <c r="P736" s="357">
        <f t="shared" si="231"/>
        <v>5</v>
      </c>
      <c r="Q736" s="357">
        <f t="shared" si="232"/>
        <v>59</v>
      </c>
      <c r="R736" s="356">
        <f t="shared" si="246"/>
        <v>159636711.5104142</v>
      </c>
      <c r="S736" s="356">
        <f>IF($G$4="mensual",S735,0)</f>
        <v>10000</v>
      </c>
      <c r="U736" s="356">
        <f t="shared" si="233"/>
        <v>1273045.29659673</v>
      </c>
      <c r="V736" s="359">
        <f t="shared" si="235"/>
        <v>-894.0874094736615</v>
      </c>
      <c r="X736" s="359">
        <f t="shared" si="234"/>
        <v>-186665.8807547377</v>
      </c>
      <c r="Y736" s="356">
        <f t="shared" si="238"/>
        <v>160732196.83884674</v>
      </c>
      <c r="AA736" s="357">
        <f>+Bono!J736</f>
        <v>1129312.0160751846</v>
      </c>
      <c r="AC736" s="378">
        <f t="shared" si="239"/>
        <v>59.416666666666664</v>
      </c>
      <c r="AD736" s="356">
        <f t="shared" si="240"/>
        <v>163682296.85989925</v>
      </c>
    </row>
    <row r="737" spans="1:30" x14ac:dyDescent="0.25">
      <c r="A737" s="356">
        <f t="shared" si="241"/>
        <v>59.5</v>
      </c>
      <c r="B737" s="356">
        <f t="shared" si="242"/>
        <v>714</v>
      </c>
      <c r="C737" s="357">
        <f t="shared" si="227"/>
        <v>59</v>
      </c>
      <c r="D737" s="357">
        <f t="shared" si="228"/>
        <v>6</v>
      </c>
      <c r="E737" s="357">
        <f t="shared" si="229"/>
        <v>88</v>
      </c>
      <c r="F737" s="356">
        <f t="shared" si="243"/>
        <v>1820788.004977317</v>
      </c>
      <c r="H737" s="356">
        <f t="shared" si="236"/>
        <v>14519.219242952653</v>
      </c>
      <c r="I737" s="356">
        <v>0</v>
      </c>
      <c r="J737" s="360">
        <f>-SUM(F737:H737)*$J$21*1.16</f>
        <v>-19160.60742085962</v>
      </c>
      <c r="K737" s="356">
        <f t="shared" si="244"/>
        <v>-2106.730075487316</v>
      </c>
      <c r="L737" s="356">
        <f t="shared" si="237"/>
        <v>1814039.8867239228</v>
      </c>
      <c r="N737" s="356">
        <f t="shared" si="245"/>
        <v>714</v>
      </c>
      <c r="O737" s="357">
        <f t="shared" si="230"/>
        <v>59</v>
      </c>
      <c r="P737" s="357">
        <f t="shared" si="231"/>
        <v>6</v>
      </c>
      <c r="Q737" s="357">
        <f t="shared" si="232"/>
        <v>59</v>
      </c>
      <c r="R737" s="356">
        <f t="shared" si="246"/>
        <v>160732196.83884674</v>
      </c>
      <c r="S737" s="356">
        <f>IF($G$4="mensual",S736,0)</f>
        <v>10000</v>
      </c>
      <c r="U737" s="356">
        <f t="shared" si="233"/>
        <v>1281780.8504434547</v>
      </c>
      <c r="V737" s="359">
        <f t="shared" si="235"/>
        <v>-894.0874094736615</v>
      </c>
      <c r="X737" s="359">
        <f t="shared" si="234"/>
        <v>-187946.77697818165</v>
      </c>
      <c r="Y737" s="356">
        <f t="shared" si="238"/>
        <v>161835136.82490253</v>
      </c>
      <c r="AA737" s="357">
        <f>+Bono!J737</f>
        <v>1126076.8195708382</v>
      </c>
      <c r="AC737" s="378">
        <f t="shared" si="239"/>
        <v>59.5</v>
      </c>
      <c r="AD737" s="356">
        <f t="shared" si="240"/>
        <v>164775253.5311973</v>
      </c>
    </row>
    <row r="738" spans="1:30" x14ac:dyDescent="0.25">
      <c r="A738" s="356">
        <f t="shared" si="241"/>
        <v>59.583333333333336</v>
      </c>
      <c r="B738" s="356">
        <f t="shared" si="242"/>
        <v>715</v>
      </c>
      <c r="C738" s="357">
        <f t="shared" si="227"/>
        <v>59</v>
      </c>
      <c r="D738" s="357">
        <f t="shared" si="228"/>
        <v>7</v>
      </c>
      <c r="E738" s="357">
        <f t="shared" si="229"/>
        <v>88</v>
      </c>
      <c r="F738" s="356">
        <f t="shared" si="243"/>
        <v>1814039.8867239228</v>
      </c>
      <c r="H738" s="356">
        <f t="shared" si="236"/>
        <v>14465.408800369238</v>
      </c>
      <c r="I738" s="356">
        <v>0</v>
      </c>
      <c r="J738" s="356">
        <v>0</v>
      </c>
      <c r="K738" s="356">
        <f t="shared" si="244"/>
        <v>-2121.0661428081785</v>
      </c>
      <c r="L738" s="356">
        <f t="shared" si="237"/>
        <v>1826384.2293814837</v>
      </c>
      <c r="N738" s="356">
        <f t="shared" si="245"/>
        <v>715</v>
      </c>
      <c r="O738" s="357">
        <f t="shared" si="230"/>
        <v>59</v>
      </c>
      <c r="P738" s="357">
        <f t="shared" si="231"/>
        <v>7</v>
      </c>
      <c r="Q738" s="357">
        <f t="shared" si="232"/>
        <v>59</v>
      </c>
      <c r="R738" s="356">
        <f t="shared" si="246"/>
        <v>161835136.82490253</v>
      </c>
      <c r="S738" s="356">
        <f>+IF($G$4="mensual",S732,IF($G$4="trimestral",S732,IF($G$4="semestral",S732,0)))</f>
        <v>10000</v>
      </c>
      <c r="U738" s="356">
        <f t="shared" si="233"/>
        <v>1290575.8487769167</v>
      </c>
      <c r="V738" s="359">
        <f t="shared" si="235"/>
        <v>-894.0874094736615</v>
      </c>
      <c r="X738" s="359">
        <f t="shared" si="234"/>
        <v>-189236.38956007315</v>
      </c>
      <c r="Y738" s="356">
        <f t="shared" si="238"/>
        <v>162945582.1967099</v>
      </c>
      <c r="AA738" s="357">
        <f>+Bono!J738</f>
        <v>1133058.626469004</v>
      </c>
      <c r="AC738" s="378">
        <f t="shared" si="239"/>
        <v>59.583333333333336</v>
      </c>
      <c r="AD738" s="356">
        <f t="shared" si="240"/>
        <v>165905025.0525604</v>
      </c>
    </row>
    <row r="739" spans="1:30" x14ac:dyDescent="0.25">
      <c r="A739" s="356">
        <f t="shared" si="241"/>
        <v>59.666666666666664</v>
      </c>
      <c r="B739" s="356">
        <f t="shared" si="242"/>
        <v>716</v>
      </c>
      <c r="C739" s="357">
        <f t="shared" si="227"/>
        <v>59</v>
      </c>
      <c r="D739" s="357">
        <f t="shared" si="228"/>
        <v>8</v>
      </c>
      <c r="E739" s="357">
        <f t="shared" si="229"/>
        <v>88</v>
      </c>
      <c r="F739" s="356">
        <f t="shared" si="243"/>
        <v>1826384.2293814837</v>
      </c>
      <c r="H739" s="356">
        <f t="shared" si="236"/>
        <v>14563.844322223136</v>
      </c>
      <c r="I739" s="356">
        <v>0</v>
      </c>
      <c r="J739" s="356">
        <v>0</v>
      </c>
      <c r="K739" s="356">
        <f t="shared" si="244"/>
        <v>-2135.4997654963</v>
      </c>
      <c r="L739" s="356">
        <f t="shared" si="237"/>
        <v>1838812.5739382107</v>
      </c>
      <c r="N739" s="356">
        <f t="shared" si="245"/>
        <v>716</v>
      </c>
      <c r="O739" s="357">
        <f t="shared" si="230"/>
        <v>59</v>
      </c>
      <c r="P739" s="357">
        <f t="shared" si="231"/>
        <v>8</v>
      </c>
      <c r="Q739" s="357">
        <f t="shared" si="232"/>
        <v>59</v>
      </c>
      <c r="R739" s="356">
        <f t="shared" si="246"/>
        <v>162945582.1967099</v>
      </c>
      <c r="S739" s="356">
        <f>IF($G$4="mensual",S738,0)</f>
        <v>10000</v>
      </c>
      <c r="U739" s="356">
        <f t="shared" si="233"/>
        <v>1299430.696110335</v>
      </c>
      <c r="V739" s="359">
        <f t="shared" si="235"/>
        <v>-894.0874094736615</v>
      </c>
      <c r="X739" s="359">
        <f t="shared" si="234"/>
        <v>-190534.7778142765</v>
      </c>
      <c r="Y739" s="356">
        <f t="shared" si="238"/>
        <v>164063584.0275965</v>
      </c>
      <c r="AA739" s="357">
        <f>+Bono!J739</f>
        <v>1140083.7213797776</v>
      </c>
      <c r="AC739" s="378">
        <f t="shared" si="239"/>
        <v>59.666666666666664</v>
      </c>
      <c r="AD739" s="356">
        <f t="shared" si="240"/>
        <v>167042480.3229145</v>
      </c>
    </row>
    <row r="740" spans="1:30" x14ac:dyDescent="0.25">
      <c r="A740" s="356">
        <f t="shared" si="241"/>
        <v>59.75</v>
      </c>
      <c r="B740" s="356">
        <f t="shared" si="242"/>
        <v>717</v>
      </c>
      <c r="C740" s="357">
        <f t="shared" ref="C740:C755" si="247">C728+1</f>
        <v>59</v>
      </c>
      <c r="D740" s="357">
        <f t="shared" ref="D740:D755" si="248">D728</f>
        <v>9</v>
      </c>
      <c r="E740" s="357">
        <f t="shared" ref="E740:E755" si="249">E728+1</f>
        <v>88</v>
      </c>
      <c r="F740" s="356">
        <f t="shared" si="243"/>
        <v>1838812.5739382107</v>
      </c>
      <c r="H740" s="356">
        <f t="shared" si="236"/>
        <v>14662.949687017279</v>
      </c>
      <c r="I740" s="356">
        <v>0</v>
      </c>
      <c r="J740" s="360">
        <f>-SUM(F740:H740)*$J$21*1.16</f>
        <v>-19350.284466647383</v>
      </c>
      <c r="K740" s="356">
        <f t="shared" si="244"/>
        <v>-2127.585277423954</v>
      </c>
      <c r="L740" s="356">
        <f t="shared" si="237"/>
        <v>1831997.6538811568</v>
      </c>
      <c r="N740" s="356">
        <f t="shared" si="245"/>
        <v>717</v>
      </c>
      <c r="O740" s="357">
        <f t="shared" ref="O740:O755" si="250">O728+1</f>
        <v>59</v>
      </c>
      <c r="P740" s="357">
        <f t="shared" ref="P740:P755" si="251">P728</f>
        <v>9</v>
      </c>
      <c r="Q740" s="357">
        <f t="shared" ref="Q740:Q755" si="252">Q728+1</f>
        <v>59</v>
      </c>
      <c r="R740" s="356">
        <f t="shared" si="246"/>
        <v>164063584.0275965</v>
      </c>
      <c r="S740" s="356">
        <f>IF($G$4="mensual",S739,0)</f>
        <v>10000</v>
      </c>
      <c r="U740" s="356">
        <f t="shared" ref="U740:U755" si="253">SUM(R740:T740)*$G$8</f>
        <v>1308345.7997095962</v>
      </c>
      <c r="V740" s="359">
        <f t="shared" si="235"/>
        <v>-894.0874094736615</v>
      </c>
      <c r="X740" s="359">
        <f t="shared" si="234"/>
        <v>-191842.00145828005</v>
      </c>
      <c r="Y740" s="356">
        <f t="shared" si="238"/>
        <v>165189193.73843834</v>
      </c>
      <c r="AA740" s="357">
        <f>+Bono!J740</f>
        <v>1136817.6666335538</v>
      </c>
      <c r="AC740" s="378">
        <f t="shared" si="239"/>
        <v>59.75</v>
      </c>
      <c r="AD740" s="356">
        <f t="shared" si="240"/>
        <v>168158009.05895305</v>
      </c>
    </row>
    <row r="741" spans="1:30" x14ac:dyDescent="0.25">
      <c r="A741" s="356">
        <f t="shared" si="241"/>
        <v>59.833333333333336</v>
      </c>
      <c r="B741" s="356">
        <f t="shared" si="242"/>
        <v>718</v>
      </c>
      <c r="C741" s="357">
        <f t="shared" si="247"/>
        <v>59</v>
      </c>
      <c r="D741" s="357">
        <f t="shared" si="248"/>
        <v>10</v>
      </c>
      <c r="E741" s="357">
        <f t="shared" si="249"/>
        <v>88</v>
      </c>
      <c r="F741" s="356">
        <f t="shared" si="243"/>
        <v>1831997.6538811568</v>
      </c>
      <c r="H741" s="356">
        <f t="shared" si="236"/>
        <v>14608.606557470577</v>
      </c>
      <c r="I741" s="356">
        <v>0</v>
      </c>
      <c r="J741" s="356">
        <v>0</v>
      </c>
      <c r="K741" s="356">
        <f t="shared" si="244"/>
        <v>-2142.0632621088075</v>
      </c>
      <c r="L741" s="356">
        <f t="shared" si="237"/>
        <v>1844464.1971765186</v>
      </c>
      <c r="N741" s="356">
        <f t="shared" si="245"/>
        <v>718</v>
      </c>
      <c r="O741" s="357">
        <f t="shared" si="250"/>
        <v>59</v>
      </c>
      <c r="P741" s="357">
        <f t="shared" si="251"/>
        <v>10</v>
      </c>
      <c r="Q741" s="357">
        <f t="shared" si="252"/>
        <v>59</v>
      </c>
      <c r="R741" s="356">
        <f t="shared" si="246"/>
        <v>165189193.73843834</v>
      </c>
      <c r="S741" s="356">
        <f>IF($G$4="mensual",S732,IF($G$4="trimestral",S732,0))</f>
        <v>10000</v>
      </c>
      <c r="U741" s="356">
        <f t="shared" si="253"/>
        <v>1317321.5696119866</v>
      </c>
      <c r="V741" s="359">
        <f t="shared" si="235"/>
        <v>-894.0874094736615</v>
      </c>
      <c r="X741" s="359">
        <f t="shared" si="234"/>
        <v>-193158.1206159434</v>
      </c>
      <c r="Y741" s="356">
        <f t="shared" si="238"/>
        <v>166322463.10002494</v>
      </c>
      <c r="AA741" s="357">
        <f>+Bono!J741</f>
        <v>1143866.0680293695</v>
      </c>
      <c r="AC741" s="378">
        <f t="shared" si="239"/>
        <v>59.833333333333336</v>
      </c>
      <c r="AD741" s="356">
        <f t="shared" si="240"/>
        <v>169310793.36523083</v>
      </c>
    </row>
    <row r="742" spans="1:30" x14ac:dyDescent="0.25">
      <c r="A742" s="356">
        <f t="shared" si="241"/>
        <v>59.916666666666664</v>
      </c>
      <c r="B742" s="356">
        <f t="shared" si="242"/>
        <v>719</v>
      </c>
      <c r="C742" s="357">
        <f t="shared" si="247"/>
        <v>59</v>
      </c>
      <c r="D742" s="357">
        <f t="shared" si="248"/>
        <v>11</v>
      </c>
      <c r="E742" s="357">
        <f t="shared" si="249"/>
        <v>88</v>
      </c>
      <c r="F742" s="356">
        <f t="shared" si="243"/>
        <v>1844464.1971765186</v>
      </c>
      <c r="H742" s="356">
        <f t="shared" si="236"/>
        <v>14708.016524370802</v>
      </c>
      <c r="I742" s="356">
        <v>0</v>
      </c>
      <c r="J742" s="356">
        <v>0</v>
      </c>
      <c r="K742" s="356">
        <f t="shared" si="244"/>
        <v>-2156.6397678930316</v>
      </c>
      <c r="L742" s="356">
        <f t="shared" si="237"/>
        <v>1857015.5739329963</v>
      </c>
      <c r="N742" s="356">
        <f t="shared" si="245"/>
        <v>719</v>
      </c>
      <c r="O742" s="357">
        <f t="shared" si="250"/>
        <v>59</v>
      </c>
      <c r="P742" s="357">
        <f t="shared" si="251"/>
        <v>11</v>
      </c>
      <c r="Q742" s="357">
        <f t="shared" si="252"/>
        <v>59</v>
      </c>
      <c r="R742" s="356">
        <f t="shared" si="246"/>
        <v>166322463.10002494</v>
      </c>
      <c r="S742" s="356">
        <f>IF($G$17="si",S730*(1+$G$20),S730)</f>
        <v>10000</v>
      </c>
      <c r="U742" s="356">
        <f t="shared" si="253"/>
        <v>1326358.4186450525</v>
      </c>
      <c r="V742" s="359">
        <f t="shared" si="235"/>
        <v>-894.0874094736615</v>
      </c>
      <c r="X742" s="359">
        <f t="shared" si="234"/>
        <v>-194483.1958202622</v>
      </c>
      <c r="Y742" s="356">
        <f t="shared" si="238"/>
        <v>167463444.23544025</v>
      </c>
      <c r="AA742" s="357">
        <f>+Bono!J742</f>
        <v>1150958.1703314031</v>
      </c>
      <c r="AC742" s="378">
        <f t="shared" si="239"/>
        <v>59.916666666666664</v>
      </c>
      <c r="AD742" s="356">
        <f t="shared" si="240"/>
        <v>170471417.97970465</v>
      </c>
    </row>
    <row r="743" spans="1:30" x14ac:dyDescent="0.25">
      <c r="A743" s="356">
        <f t="shared" si="241"/>
        <v>60</v>
      </c>
      <c r="B743" s="356">
        <f t="shared" si="242"/>
        <v>720</v>
      </c>
      <c r="C743" s="357">
        <f t="shared" si="247"/>
        <v>59</v>
      </c>
      <c r="D743" s="357">
        <f t="shared" si="248"/>
        <v>12</v>
      </c>
      <c r="E743" s="357">
        <f t="shared" si="249"/>
        <v>88</v>
      </c>
      <c r="F743" s="356">
        <f t="shared" si="243"/>
        <v>1857015.5739329963</v>
      </c>
      <c r="H743" s="356">
        <f t="shared" si="236"/>
        <v>14808.102965203032</v>
      </c>
      <c r="I743" s="356">
        <v>0</v>
      </c>
      <c r="J743" s="360">
        <f>-SUM(F743:H743)*$J$21*1.16</f>
        <v>-19541.839186817204</v>
      </c>
      <c r="K743" s="356">
        <f t="shared" si="244"/>
        <v>-2148.6469317452033</v>
      </c>
      <c r="L743" s="356">
        <f t="shared" si="237"/>
        <v>1850133.190779637</v>
      </c>
      <c r="N743" s="356">
        <f t="shared" si="245"/>
        <v>720</v>
      </c>
      <c r="O743" s="357">
        <f t="shared" si="250"/>
        <v>59</v>
      </c>
      <c r="P743" s="357">
        <f t="shared" si="251"/>
        <v>12</v>
      </c>
      <c r="Q743" s="357">
        <f t="shared" si="252"/>
        <v>59</v>
      </c>
      <c r="R743" s="356">
        <f t="shared" si="246"/>
        <v>167463444.23544025</v>
      </c>
      <c r="S743" s="356">
        <f>IF($G$4="mensual",S742,0)</f>
        <v>10000</v>
      </c>
      <c r="U743" s="356">
        <f t="shared" si="253"/>
        <v>1335456.7624455842</v>
      </c>
      <c r="V743" s="359">
        <f t="shared" si="235"/>
        <v>-894.0874094736615</v>
      </c>
      <c r="X743" s="359">
        <f t="shared" si="234"/>
        <v>-195817.2880161526</v>
      </c>
      <c r="Y743" s="356">
        <f t="shared" si="238"/>
        <v>168612189.62246025</v>
      </c>
      <c r="AA743" s="357">
        <f>+Bono!J743</f>
        <v>1147660.9630084476</v>
      </c>
      <c r="AC743" s="378">
        <f t="shared" si="239"/>
        <v>60</v>
      </c>
      <c r="AD743" s="356">
        <f t="shared" si="240"/>
        <v>171609983.7762483</v>
      </c>
    </row>
    <row r="744" spans="1:30" x14ac:dyDescent="0.25">
      <c r="A744" s="356">
        <f t="shared" si="241"/>
        <v>60.083333333333336</v>
      </c>
      <c r="B744" s="356">
        <f t="shared" si="242"/>
        <v>721</v>
      </c>
      <c r="C744" s="357">
        <f t="shared" si="247"/>
        <v>60</v>
      </c>
      <c r="D744" s="357">
        <f t="shared" si="248"/>
        <v>1</v>
      </c>
      <c r="E744" s="357">
        <f t="shared" si="249"/>
        <v>89</v>
      </c>
      <c r="F744" s="356">
        <f t="shared" si="243"/>
        <v>1850133.190779637</v>
      </c>
      <c r="H744" s="356">
        <f t="shared" si="236"/>
        <v>14753.221875452626</v>
      </c>
      <c r="I744" s="356">
        <v>0</v>
      </c>
      <c r="J744" s="356">
        <v>0</v>
      </c>
      <c r="K744" s="356">
        <f t="shared" si="244"/>
        <v>-2163.268238679904</v>
      </c>
      <c r="L744" s="356">
        <f t="shared" si="237"/>
        <v>1862723.1444164098</v>
      </c>
      <c r="N744" s="356">
        <f t="shared" si="245"/>
        <v>721</v>
      </c>
      <c r="O744" s="357">
        <f t="shared" si="250"/>
        <v>60</v>
      </c>
      <c r="P744" s="357">
        <f t="shared" si="251"/>
        <v>1</v>
      </c>
      <c r="Q744" s="357">
        <f t="shared" si="252"/>
        <v>60</v>
      </c>
      <c r="R744" s="356">
        <f t="shared" si="246"/>
        <v>168612189.62246025</v>
      </c>
      <c r="S744" s="356">
        <f>IF($G$17="si",S732*(1+$G$20),S732)</f>
        <v>10000</v>
      </c>
      <c r="U744" s="356">
        <f t="shared" si="253"/>
        <v>1344617.019478737</v>
      </c>
      <c r="V744" s="359">
        <f>V743*(1+$G$18)</f>
        <v>-929.850905852608</v>
      </c>
      <c r="X744" s="359">
        <f t="shared" si="234"/>
        <v>-197160.4170775984</v>
      </c>
      <c r="Y744" s="356">
        <f t="shared" si="238"/>
        <v>169768716.37395552</v>
      </c>
      <c r="AA744" s="357">
        <f>+Bono!J744</f>
        <v>1154776.594099532</v>
      </c>
      <c r="AC744" s="378">
        <f t="shared" si="239"/>
        <v>60.083333333333336</v>
      </c>
      <c r="AD744" s="356">
        <f t="shared" si="240"/>
        <v>172786216.11247146</v>
      </c>
    </row>
    <row r="745" spans="1:30" x14ac:dyDescent="0.25">
      <c r="A745" s="356">
        <f t="shared" si="241"/>
        <v>60.166666666666664</v>
      </c>
      <c r="B745" s="356">
        <f t="shared" si="242"/>
        <v>722</v>
      </c>
      <c r="C745" s="357">
        <f t="shared" si="247"/>
        <v>60</v>
      </c>
      <c r="D745" s="357">
        <f t="shared" si="248"/>
        <v>2</v>
      </c>
      <c r="E745" s="357">
        <f t="shared" si="249"/>
        <v>89</v>
      </c>
      <c r="F745" s="356">
        <f t="shared" si="243"/>
        <v>1862723.1444164098</v>
      </c>
      <c r="H745" s="356">
        <f t="shared" si="236"/>
        <v>14853.615933745637</v>
      </c>
      <c r="I745" s="356">
        <v>0</v>
      </c>
      <c r="J745" s="356">
        <v>0</v>
      </c>
      <c r="K745" s="356">
        <f t="shared" si="244"/>
        <v>-2177.98904200618</v>
      </c>
      <c r="L745" s="356">
        <f t="shared" si="237"/>
        <v>1875398.7713081492</v>
      </c>
      <c r="N745" s="356">
        <f t="shared" si="245"/>
        <v>722</v>
      </c>
      <c r="O745" s="357">
        <f t="shared" si="250"/>
        <v>60</v>
      </c>
      <c r="P745" s="357">
        <f t="shared" si="251"/>
        <v>2</v>
      </c>
      <c r="Q745" s="357">
        <f t="shared" si="252"/>
        <v>60</v>
      </c>
      <c r="R745" s="356">
        <f t="shared" si="246"/>
        <v>169768716.37395552</v>
      </c>
      <c r="S745" s="356">
        <f>IF($G$4="mensual",S744,0)</f>
        <v>10000</v>
      </c>
      <c r="U745" s="356">
        <f t="shared" si="253"/>
        <v>1353839.3262049442</v>
      </c>
      <c r="V745" s="359">
        <f t="shared" si="235"/>
        <v>-929.850905852608</v>
      </c>
      <c r="X745" s="359">
        <f t="shared" si="234"/>
        <v>-198512.68598513532</v>
      </c>
      <c r="Y745" s="356">
        <f t="shared" si="238"/>
        <v>170933113.16326946</v>
      </c>
      <c r="AA745" s="357">
        <f>+Bono!J745</f>
        <v>1161936.3429287435</v>
      </c>
      <c r="AC745" s="378">
        <f t="shared" si="239"/>
        <v>60.166666666666664</v>
      </c>
      <c r="AD745" s="356">
        <f t="shared" si="240"/>
        <v>173970448.27750635</v>
      </c>
    </row>
    <row r="746" spans="1:30" x14ac:dyDescent="0.25">
      <c r="A746" s="356">
        <f t="shared" si="241"/>
        <v>60.25</v>
      </c>
      <c r="B746" s="356">
        <f t="shared" si="242"/>
        <v>723</v>
      </c>
      <c r="C746" s="357">
        <f t="shared" si="247"/>
        <v>60</v>
      </c>
      <c r="D746" s="357">
        <f t="shared" si="248"/>
        <v>3</v>
      </c>
      <c r="E746" s="357">
        <f t="shared" si="249"/>
        <v>89</v>
      </c>
      <c r="F746" s="356">
        <f t="shared" si="243"/>
        <v>1875398.7713081492</v>
      </c>
      <c r="H746" s="356">
        <f t="shared" si="236"/>
        <v>14954.693162604757</v>
      </c>
      <c r="I746" s="356">
        <v>0</v>
      </c>
      <c r="J746" s="360">
        <f>-SUM(F746:H746)*$J$21*1.16</f>
        <v>-19735.290169074673</v>
      </c>
      <c r="K746" s="356">
        <f t="shared" si="244"/>
        <v>-2169.917082189948</v>
      </c>
      <c r="L746" s="356">
        <f t="shared" si="237"/>
        <v>1868448.2572194892</v>
      </c>
      <c r="N746" s="356">
        <f t="shared" si="245"/>
        <v>723</v>
      </c>
      <c r="O746" s="357">
        <f t="shared" si="250"/>
        <v>60</v>
      </c>
      <c r="P746" s="357">
        <f t="shared" si="251"/>
        <v>3</v>
      </c>
      <c r="Q746" s="357">
        <f t="shared" si="252"/>
        <v>60</v>
      </c>
      <c r="R746" s="356">
        <f t="shared" si="246"/>
        <v>170933113.16326946</v>
      </c>
      <c r="S746" s="356">
        <f>IF($G$4="mensual",S745,0)</f>
        <v>10000</v>
      </c>
      <c r="U746" s="356">
        <f t="shared" si="253"/>
        <v>1363124.3897178983</v>
      </c>
      <c r="V746" s="359">
        <f t="shared" si="235"/>
        <v>-929.850905852608</v>
      </c>
      <c r="X746" s="359">
        <f t="shared" si="234"/>
        <v>-199874.15693441452</v>
      </c>
      <c r="Y746" s="356">
        <f t="shared" si="238"/>
        <v>172105433.5451471</v>
      </c>
      <c r="AA746" s="357">
        <f>+Bono!J746</f>
        <v>1158607.6858867505</v>
      </c>
      <c r="AC746" s="378">
        <f t="shared" si="239"/>
        <v>60.25</v>
      </c>
      <c r="AD746" s="356">
        <f t="shared" si="240"/>
        <v>175132489.48825333</v>
      </c>
    </row>
    <row r="747" spans="1:30" x14ac:dyDescent="0.25">
      <c r="A747" s="356">
        <f t="shared" si="241"/>
        <v>60.333333333333336</v>
      </c>
      <c r="B747" s="356">
        <f t="shared" si="242"/>
        <v>724</v>
      </c>
      <c r="C747" s="357">
        <f t="shared" si="247"/>
        <v>60</v>
      </c>
      <c r="D747" s="357">
        <f t="shared" si="248"/>
        <v>4</v>
      </c>
      <c r="E747" s="357">
        <f t="shared" si="249"/>
        <v>89</v>
      </c>
      <c r="F747" s="356">
        <f t="shared" si="243"/>
        <v>1868448.2572194892</v>
      </c>
      <c r="H747" s="356">
        <f t="shared" si="236"/>
        <v>14899.268787208708</v>
      </c>
      <c r="I747" s="356">
        <v>0</v>
      </c>
      <c r="J747" s="356">
        <v>0</v>
      </c>
      <c r="K747" s="356">
        <f t="shared" si="244"/>
        <v>-2184.6831301677694</v>
      </c>
      <c r="L747" s="356">
        <f t="shared" si="237"/>
        <v>1881162.8428765303</v>
      </c>
      <c r="N747" s="356">
        <f t="shared" si="245"/>
        <v>724</v>
      </c>
      <c r="O747" s="357">
        <f t="shared" si="250"/>
        <v>60</v>
      </c>
      <c r="P747" s="357">
        <f t="shared" si="251"/>
        <v>4</v>
      </c>
      <c r="Q747" s="357">
        <f t="shared" si="252"/>
        <v>60</v>
      </c>
      <c r="R747" s="356">
        <f t="shared" si="246"/>
        <v>172105433.5451471</v>
      </c>
      <c r="S747" s="356">
        <f>IF($G$4="mensual",S744,IF($G$4="trimestral",S744,0))</f>
        <v>10000</v>
      </c>
      <c r="U747" s="356">
        <f t="shared" si="253"/>
        <v>1372472.6370706565</v>
      </c>
      <c r="V747" s="359">
        <f t="shared" si="235"/>
        <v>-929.850905852608</v>
      </c>
      <c r="X747" s="359">
        <f t="shared" ref="X747:X755" si="254">-SUM(R747:V747)*0.1%*1.16</f>
        <v>-201244.89254432177</v>
      </c>
      <c r="Y747" s="356">
        <f t="shared" si="238"/>
        <v>173285731.43876755</v>
      </c>
      <c r="AA747" s="357">
        <f>+Bono!J747</f>
        <v>1165791.1879294217</v>
      </c>
      <c r="AC747" s="378">
        <f t="shared" si="239"/>
        <v>60.333333333333336</v>
      </c>
      <c r="AD747" s="356">
        <f t="shared" si="240"/>
        <v>176332685.4695735</v>
      </c>
    </row>
    <row r="748" spans="1:30" x14ac:dyDescent="0.25">
      <c r="A748" s="356">
        <f t="shared" si="241"/>
        <v>60.416666666666664</v>
      </c>
      <c r="B748" s="356">
        <f t="shared" si="242"/>
        <v>725</v>
      </c>
      <c r="C748" s="357">
        <f t="shared" si="247"/>
        <v>60</v>
      </c>
      <c r="D748" s="357">
        <f t="shared" si="248"/>
        <v>5</v>
      </c>
      <c r="E748" s="357">
        <f t="shared" si="249"/>
        <v>89</v>
      </c>
      <c r="F748" s="356">
        <f t="shared" si="243"/>
        <v>1881162.8428765303</v>
      </c>
      <c r="H748" s="356">
        <f t="shared" si="236"/>
        <v>15000.65667873328</v>
      </c>
      <c r="I748" s="356">
        <v>0</v>
      </c>
      <c r="J748" s="356">
        <v>0</v>
      </c>
      <c r="K748" s="356">
        <f t="shared" si="244"/>
        <v>-2199.5496594841056</v>
      </c>
      <c r="L748" s="356">
        <f t="shared" si="237"/>
        <v>1893963.9498957794</v>
      </c>
      <c r="N748" s="356">
        <f t="shared" si="245"/>
        <v>725</v>
      </c>
      <c r="O748" s="357">
        <f t="shared" si="250"/>
        <v>60</v>
      </c>
      <c r="P748" s="357">
        <f t="shared" si="251"/>
        <v>5</v>
      </c>
      <c r="Q748" s="357">
        <f t="shared" si="252"/>
        <v>60</v>
      </c>
      <c r="R748" s="356">
        <f t="shared" si="246"/>
        <v>173285731.43876755</v>
      </c>
      <c r="S748" s="356">
        <f>IF($G$4="mensual",S747,0)</f>
        <v>10000</v>
      </c>
      <c r="U748" s="356">
        <f t="shared" si="253"/>
        <v>1381884.4982223255</v>
      </c>
      <c r="V748" s="359">
        <f t="shared" si="235"/>
        <v>-929.850905852608</v>
      </c>
      <c r="X748" s="359">
        <f t="shared" si="254"/>
        <v>-202624.95585985747</v>
      </c>
      <c r="Y748" s="356">
        <f t="shared" si="238"/>
        <v>174474061.13022414</v>
      </c>
      <c r="AA748" s="357">
        <f>+Bono!J748</f>
        <v>1173019.2285179922</v>
      </c>
      <c r="AC748" s="378">
        <f t="shared" si="239"/>
        <v>60.416666666666664</v>
      </c>
      <c r="AD748" s="356">
        <f t="shared" si="240"/>
        <v>177541044.3086379</v>
      </c>
    </row>
    <row r="749" spans="1:30" x14ac:dyDescent="0.25">
      <c r="A749" s="356">
        <f t="shared" si="241"/>
        <v>60.5</v>
      </c>
      <c r="B749" s="356">
        <f t="shared" si="242"/>
        <v>726</v>
      </c>
      <c r="C749" s="357">
        <f t="shared" si="247"/>
        <v>60</v>
      </c>
      <c r="D749" s="357">
        <f t="shared" si="248"/>
        <v>6</v>
      </c>
      <c r="E749" s="357">
        <f t="shared" si="249"/>
        <v>89</v>
      </c>
      <c r="F749" s="356">
        <f t="shared" si="243"/>
        <v>1893963.9498957794</v>
      </c>
      <c r="H749" s="356">
        <f t="shared" si="236"/>
        <v>15102.734503750198</v>
      </c>
      <c r="I749" s="356">
        <v>0</v>
      </c>
      <c r="J749" s="360">
        <f>-SUM(F749:H749)*$J$21*1.16</f>
        <v>-19930.65618513109</v>
      </c>
      <c r="K749" s="356">
        <f t="shared" si="244"/>
        <v>-2191.397792728702</v>
      </c>
      <c r="L749" s="356">
        <f t="shared" si="237"/>
        <v>1886944.63042167</v>
      </c>
      <c r="N749" s="356">
        <f t="shared" si="245"/>
        <v>726</v>
      </c>
      <c r="O749" s="357">
        <f t="shared" si="250"/>
        <v>60</v>
      </c>
      <c r="P749" s="357">
        <f t="shared" si="251"/>
        <v>6</v>
      </c>
      <c r="Q749" s="357">
        <f t="shared" si="252"/>
        <v>60</v>
      </c>
      <c r="R749" s="356">
        <f t="shared" si="246"/>
        <v>174474061.13022414</v>
      </c>
      <c r="S749" s="356">
        <f>IF($G$4="mensual",S748,0)</f>
        <v>10000</v>
      </c>
      <c r="U749" s="356">
        <f t="shared" si="253"/>
        <v>1391360.4060578363</v>
      </c>
      <c r="V749" s="359">
        <f t="shared" si="235"/>
        <v>-929.850905852608</v>
      </c>
      <c r="X749" s="359">
        <f t="shared" si="254"/>
        <v>-204014.4103550363</v>
      </c>
      <c r="Y749" s="356">
        <f t="shared" si="238"/>
        <v>175670477.27502108</v>
      </c>
      <c r="AA749" s="357">
        <f>+Bono!J749</f>
        <v>1169658.821780427</v>
      </c>
      <c r="AC749" s="378">
        <f t="shared" si="239"/>
        <v>60.5</v>
      </c>
      <c r="AD749" s="356">
        <f t="shared" si="240"/>
        <v>178727080.72722316</v>
      </c>
    </row>
    <row r="750" spans="1:30" x14ac:dyDescent="0.25">
      <c r="A750" s="356">
        <f t="shared" si="241"/>
        <v>60.583333333333336</v>
      </c>
      <c r="B750" s="356">
        <f t="shared" si="242"/>
        <v>727</v>
      </c>
      <c r="C750" s="357">
        <f t="shared" si="247"/>
        <v>60</v>
      </c>
      <c r="D750" s="357">
        <f t="shared" si="248"/>
        <v>7</v>
      </c>
      <c r="E750" s="357">
        <f t="shared" si="249"/>
        <v>89</v>
      </c>
      <c r="F750" s="356">
        <f t="shared" si="243"/>
        <v>1886944.63042167</v>
      </c>
      <c r="H750" s="356">
        <f t="shared" si="236"/>
        <v>15046.76146454831</v>
      </c>
      <c r="I750" s="356">
        <v>0</v>
      </c>
      <c r="J750" s="356">
        <v>0</v>
      </c>
      <c r="K750" s="356">
        <f t="shared" si="244"/>
        <v>-2206.310014588013</v>
      </c>
      <c r="L750" s="356">
        <f t="shared" si="237"/>
        <v>1899785.0818716302</v>
      </c>
      <c r="N750" s="356">
        <f t="shared" si="245"/>
        <v>727</v>
      </c>
      <c r="O750" s="357">
        <f t="shared" si="250"/>
        <v>60</v>
      </c>
      <c r="P750" s="357">
        <f t="shared" si="251"/>
        <v>7</v>
      </c>
      <c r="Q750" s="357">
        <f t="shared" si="252"/>
        <v>60</v>
      </c>
      <c r="R750" s="356">
        <f t="shared" si="246"/>
        <v>175670477.27502108</v>
      </c>
      <c r="S750" s="356">
        <f>+IF($G$4="mensual",S744,IF($G$4="trimestral",S744,IF($G$4="semestral",S744,0)))</f>
        <v>10000</v>
      </c>
      <c r="U750" s="356">
        <f t="shared" si="253"/>
        <v>1400900.7964078547</v>
      </c>
      <c r="V750" s="359">
        <f t="shared" si="235"/>
        <v>-929.850905852608</v>
      </c>
      <c r="X750" s="359">
        <f t="shared" si="254"/>
        <v>-205413.31993580676</v>
      </c>
      <c r="Y750" s="356">
        <f t="shared" si="238"/>
        <v>176875034.90058726</v>
      </c>
      <c r="AA750" s="357">
        <f>+Bono!J750</f>
        <v>1176910.8421474914</v>
      </c>
      <c r="AC750" s="378">
        <f t="shared" si="239"/>
        <v>60.583333333333336</v>
      </c>
      <c r="AD750" s="356">
        <f t="shared" si="240"/>
        <v>179951730.8246064</v>
      </c>
    </row>
    <row r="751" spans="1:30" x14ac:dyDescent="0.25">
      <c r="A751" s="356">
        <f t="shared" si="241"/>
        <v>60.666666666666664</v>
      </c>
      <c r="B751" s="356">
        <f t="shared" si="242"/>
        <v>728</v>
      </c>
      <c r="C751" s="357">
        <f t="shared" si="247"/>
        <v>60</v>
      </c>
      <c r="D751" s="357">
        <f t="shared" si="248"/>
        <v>8</v>
      </c>
      <c r="E751" s="357">
        <f t="shared" si="249"/>
        <v>89</v>
      </c>
      <c r="F751" s="356">
        <f t="shared" si="243"/>
        <v>1899785.0818716302</v>
      </c>
      <c r="H751" s="356">
        <f t="shared" si="236"/>
        <v>15149.153027580815</v>
      </c>
      <c r="I751" s="356">
        <v>0</v>
      </c>
      <c r="J751" s="356">
        <v>0</v>
      </c>
      <c r="K751" s="356">
        <f t="shared" si="244"/>
        <v>-2221.323712483085</v>
      </c>
      <c r="L751" s="356">
        <f t="shared" si="237"/>
        <v>1912712.911186728</v>
      </c>
      <c r="N751" s="356">
        <f t="shared" si="245"/>
        <v>728</v>
      </c>
      <c r="O751" s="357">
        <f t="shared" si="250"/>
        <v>60</v>
      </c>
      <c r="P751" s="357">
        <f t="shared" si="251"/>
        <v>8</v>
      </c>
      <c r="Q751" s="357">
        <f t="shared" si="252"/>
        <v>60</v>
      </c>
      <c r="R751" s="356">
        <f t="shared" si="246"/>
        <v>176875034.90058726</v>
      </c>
      <c r="S751" s="356">
        <f>IF($G$4="mensual",S750,0)</f>
        <v>10000</v>
      </c>
      <c r="U751" s="356">
        <f t="shared" si="253"/>
        <v>1410506.1080688261</v>
      </c>
      <c r="V751" s="359">
        <f t="shared" si="235"/>
        <v>-929.850905852608</v>
      </c>
      <c r="X751" s="359">
        <f t="shared" si="254"/>
        <v>-206821.74894299023</v>
      </c>
      <c r="Y751" s="356">
        <f t="shared" si="238"/>
        <v>178087789.40880722</v>
      </c>
      <c r="AA751" s="357">
        <f>+Bono!J751</f>
        <v>1184207.8258820141</v>
      </c>
      <c r="AC751" s="378">
        <f t="shared" si="239"/>
        <v>60.666666666666664</v>
      </c>
      <c r="AD751" s="356">
        <f t="shared" si="240"/>
        <v>181184710.14587596</v>
      </c>
    </row>
    <row r="752" spans="1:30" x14ac:dyDescent="0.25">
      <c r="A752" s="356">
        <f t="shared" si="241"/>
        <v>60.75</v>
      </c>
      <c r="B752" s="356">
        <f t="shared" si="242"/>
        <v>729</v>
      </c>
      <c r="C752" s="357">
        <f t="shared" si="247"/>
        <v>60</v>
      </c>
      <c r="D752" s="357">
        <f t="shared" si="248"/>
        <v>9</v>
      </c>
      <c r="E752" s="357">
        <f t="shared" si="249"/>
        <v>89</v>
      </c>
      <c r="F752" s="356">
        <f t="shared" si="243"/>
        <v>1912712.911186728</v>
      </c>
      <c r="H752" s="356">
        <f t="shared" si="236"/>
        <v>15252.241353980302</v>
      </c>
      <c r="I752" s="356">
        <v>0</v>
      </c>
      <c r="J752" s="360">
        <f>-SUM(F752:H752)*$J$21*1.16</f>
        <v>-20127.956192525</v>
      </c>
      <c r="K752" s="356">
        <f t="shared" si="244"/>
        <v>-2213.0911477638924</v>
      </c>
      <c r="L752" s="356">
        <f t="shared" si="237"/>
        <v>1905624.1052004192</v>
      </c>
      <c r="N752" s="356">
        <f t="shared" si="245"/>
        <v>729</v>
      </c>
      <c r="O752" s="357">
        <f t="shared" si="250"/>
        <v>60</v>
      </c>
      <c r="P752" s="357">
        <f t="shared" si="251"/>
        <v>9</v>
      </c>
      <c r="Q752" s="357">
        <f t="shared" si="252"/>
        <v>60</v>
      </c>
      <c r="R752" s="356">
        <f t="shared" si="246"/>
        <v>178087789.40880722</v>
      </c>
      <c r="S752" s="356">
        <f>IF($G$4="mensual",S751,0)</f>
        <v>10000</v>
      </c>
      <c r="U752" s="356">
        <f t="shared" si="253"/>
        <v>1420176.7828231582</v>
      </c>
      <c r="V752" s="359">
        <f t="shared" si="235"/>
        <v>-929.850905852608</v>
      </c>
      <c r="X752" s="359">
        <f t="shared" si="254"/>
        <v>-208239.7621552404</v>
      </c>
      <c r="Y752" s="356">
        <f t="shared" si="238"/>
        <v>179308796.57856926</v>
      </c>
      <c r="AA752" s="357">
        <f>+Bono!J752</f>
        <v>1180815.3666110788</v>
      </c>
      <c r="AC752" s="378">
        <f t="shared" si="239"/>
        <v>60.75</v>
      </c>
      <c r="AD752" s="356">
        <f t="shared" si="240"/>
        <v>182395236.05038077</v>
      </c>
    </row>
    <row r="753" spans="1:30" x14ac:dyDescent="0.25">
      <c r="A753" s="356">
        <f t="shared" si="241"/>
        <v>60.833333333333336</v>
      </c>
      <c r="B753" s="356">
        <f t="shared" si="242"/>
        <v>730</v>
      </c>
      <c r="C753" s="357">
        <f t="shared" si="247"/>
        <v>60</v>
      </c>
      <c r="D753" s="357">
        <f t="shared" si="248"/>
        <v>10</v>
      </c>
      <c r="E753" s="357">
        <f t="shared" si="249"/>
        <v>89</v>
      </c>
      <c r="F753" s="356">
        <f t="shared" si="243"/>
        <v>1905624.1052004192</v>
      </c>
      <c r="H753" s="356">
        <f t="shared" si="236"/>
        <v>15195.714219572223</v>
      </c>
      <c r="I753" s="356">
        <v>0</v>
      </c>
      <c r="J753" s="356">
        <v>0</v>
      </c>
      <c r="K753" s="356">
        <f t="shared" si="244"/>
        <v>-2228.15099052719</v>
      </c>
      <c r="L753" s="356">
        <f t="shared" si="237"/>
        <v>1918591.6684294643</v>
      </c>
      <c r="N753" s="356">
        <f t="shared" si="245"/>
        <v>730</v>
      </c>
      <c r="O753" s="357">
        <f t="shared" si="250"/>
        <v>60</v>
      </c>
      <c r="P753" s="357">
        <f t="shared" si="251"/>
        <v>10</v>
      </c>
      <c r="Q753" s="357">
        <f t="shared" si="252"/>
        <v>60</v>
      </c>
      <c r="R753" s="356">
        <f t="shared" si="246"/>
        <v>179308796.57856926</v>
      </c>
      <c r="S753" s="356">
        <f>IF($G$4="mensual",S744,IF($G$4="trimestral",S744,0))</f>
        <v>10000</v>
      </c>
      <c r="U753" s="356">
        <f t="shared" si="253"/>
        <v>1429913.2654595391</v>
      </c>
      <c r="V753" s="359">
        <f t="shared" si="235"/>
        <v>-929.850905852608</v>
      </c>
      <c r="X753" s="359">
        <f t="shared" si="254"/>
        <v>-209667.4247920226</v>
      </c>
      <c r="Y753" s="356">
        <f t="shared" si="238"/>
        <v>180538112.5683309</v>
      </c>
      <c r="AA753" s="357">
        <f>+Bono!J753</f>
        <v>1188136.5588501724</v>
      </c>
      <c r="AC753" s="378">
        <f t="shared" si="239"/>
        <v>60.833333333333336</v>
      </c>
      <c r="AD753" s="356">
        <f t="shared" si="240"/>
        <v>183644840.79561055</v>
      </c>
    </row>
    <row r="754" spans="1:30" x14ac:dyDescent="0.25">
      <c r="A754" s="356">
        <f t="shared" si="241"/>
        <v>60.916666666666664</v>
      </c>
      <c r="B754" s="356">
        <f t="shared" si="242"/>
        <v>731</v>
      </c>
      <c r="C754" s="357">
        <f t="shared" si="247"/>
        <v>60</v>
      </c>
      <c r="D754" s="357">
        <f t="shared" si="248"/>
        <v>11</v>
      </c>
      <c r="E754" s="357">
        <f t="shared" si="249"/>
        <v>89</v>
      </c>
      <c r="F754" s="356">
        <f t="shared" si="243"/>
        <v>1918591.6684294643</v>
      </c>
      <c r="H754" s="356">
        <f t="shared" si="236"/>
        <v>15299.119389781317</v>
      </c>
      <c r="I754" s="356">
        <v>0</v>
      </c>
      <c r="J754" s="356">
        <v>0</v>
      </c>
      <c r="K754" s="356">
        <f t="shared" si="244"/>
        <v>-2243.3133138703247</v>
      </c>
      <c r="L754" s="356">
        <f t="shared" si="237"/>
        <v>1931647.4745053754</v>
      </c>
      <c r="N754" s="356">
        <f t="shared" si="245"/>
        <v>731</v>
      </c>
      <c r="O754" s="357">
        <f t="shared" si="250"/>
        <v>60</v>
      </c>
      <c r="P754" s="357">
        <f t="shared" si="251"/>
        <v>11</v>
      </c>
      <c r="Q754" s="357">
        <f t="shared" si="252"/>
        <v>60</v>
      </c>
      <c r="R754" s="356">
        <f t="shared" si="246"/>
        <v>180538112.5683309</v>
      </c>
      <c r="S754" s="356">
        <f>IF($G$17="si",S742*(1+$G$20),S742)</f>
        <v>10000</v>
      </c>
      <c r="U754" s="356">
        <f t="shared" si="253"/>
        <v>1439716.0037933954</v>
      </c>
      <c r="V754" s="359">
        <f t="shared" si="235"/>
        <v>-929.850905852608</v>
      </c>
      <c r="X754" s="359">
        <f t="shared" si="254"/>
        <v>-211104.80251661336</v>
      </c>
      <c r="Y754" s="356">
        <f t="shared" si="238"/>
        <v>181775793.91870183</v>
      </c>
      <c r="AA754" s="357">
        <f>+Bono!J754</f>
        <v>1195503.143330354</v>
      </c>
      <c r="AC754" s="378">
        <f t="shared" si="239"/>
        <v>60.916666666666664</v>
      </c>
      <c r="AD754" s="356">
        <f t="shared" si="240"/>
        <v>184902944.53653756</v>
      </c>
    </row>
    <row r="755" spans="1:30" x14ac:dyDescent="0.25">
      <c r="A755" s="356">
        <f t="shared" si="241"/>
        <v>61</v>
      </c>
      <c r="B755" s="356">
        <f t="shared" si="242"/>
        <v>732</v>
      </c>
      <c r="C755" s="357">
        <f t="shared" si="247"/>
        <v>60</v>
      </c>
      <c r="D755" s="357">
        <f t="shared" si="248"/>
        <v>12</v>
      </c>
      <c r="E755" s="357">
        <f t="shared" si="249"/>
        <v>89</v>
      </c>
      <c r="F755" s="356">
        <f t="shared" si="243"/>
        <v>1931647.4745053754</v>
      </c>
      <c r="H755" s="356">
        <f t="shared" si="236"/>
        <v>15403.228220843168</v>
      </c>
      <c r="I755" s="356">
        <v>0</v>
      </c>
      <c r="J755" s="360">
        <f>-SUM(F755:H755)*$J$21*1.16</f>
        <v>-20327.209336461725</v>
      </c>
      <c r="K755" s="356">
        <f t="shared" si="244"/>
        <v>-2234.999252332118</v>
      </c>
      <c r="L755" s="356">
        <f t="shared" si="237"/>
        <v>1924488.4941374247</v>
      </c>
      <c r="N755" s="356">
        <f t="shared" si="245"/>
        <v>732</v>
      </c>
      <c r="O755" s="357">
        <f t="shared" si="250"/>
        <v>60</v>
      </c>
      <c r="P755" s="357">
        <f t="shared" si="251"/>
        <v>12</v>
      </c>
      <c r="Q755" s="357">
        <f t="shared" si="252"/>
        <v>60</v>
      </c>
      <c r="R755" s="356">
        <f t="shared" si="246"/>
        <v>181775793.91870183</v>
      </c>
      <c r="S755" s="356">
        <f>IF($G$4="mensual",S754,0)</f>
        <v>10000</v>
      </c>
      <c r="U755" s="356">
        <f t="shared" si="253"/>
        <v>1449585.4486874882</v>
      </c>
      <c r="V755" s="359">
        <f t="shared" si="235"/>
        <v>-929.850905852608</v>
      </c>
      <c r="X755" s="359">
        <f t="shared" si="254"/>
        <v>-212551.96143912082</v>
      </c>
      <c r="Y755" s="356">
        <f t="shared" si="238"/>
        <v>183021897.55504432</v>
      </c>
      <c r="AA755" s="357">
        <f>+Bono!J755</f>
        <v>1192078.3257996957</v>
      </c>
      <c r="AC755" s="378">
        <f t="shared" si="239"/>
        <v>61</v>
      </c>
      <c r="AD755" s="356">
        <f t="shared" si="240"/>
        <v>186138464.37498146</v>
      </c>
    </row>
  </sheetData>
  <sheetProtection sheet="1" selectLockedCells="1" objects="1" scenarios="1"/>
  <mergeCells count="5">
    <mergeCell ref="C22:L22"/>
    <mergeCell ref="O22:Y22"/>
    <mergeCell ref="AK32:BA36"/>
    <mergeCell ref="AK37:BA41"/>
    <mergeCell ref="AK42:BA46"/>
  </mergeCells>
  <pageMargins left="0.75" right="0.75" top="1" bottom="1" header="0" footer="0"/>
  <pageSetup orientation="portrait" horizontalDpi="4294967295" verticalDpi="4294967295" scale="100" fitToWidth="1" fitToHeight="1" firstPageNumber="1" useFirstPageNumber="1" copies="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55"/>
  <sheetViews>
    <sheetView workbookViewId="0" zoomScale="100" zoomScaleNormal="100">
      <selection activeCell="J21" sqref="J21"/>
    </sheetView>
  </sheetViews>
  <sheetFormatPr defaultRowHeight="11.25" outlineLevelRow="0" outlineLevelCol="0" x14ac:dyDescent="0" customHeight="1"/>
  <cols>
    <col min="1" max="1" width="11.42578125" style="356" customWidth="1"/>
    <col min="2" max="2" width="4" style="356" customWidth="1"/>
    <col min="3" max="5" width="7" style="357" customWidth="1"/>
    <col min="6" max="8" width="11.42578125" style="356" customWidth="1"/>
    <col min="9" max="9" width="21.28515625" style="356" customWidth="1"/>
    <col min="10" max="10" width="15" style="356" customWidth="1"/>
    <col min="11" max="13" width="11.42578125" style="356" customWidth="1"/>
    <col min="14" max="14" width="4" style="356" customWidth="1"/>
    <col min="15" max="15" width="11.42578125" style="358" customWidth="1"/>
    <col min="16" max="26" width="11.42578125" style="356" customWidth="1"/>
    <col min="27" max="39" width="11.42578125" style="357" customWidth="1"/>
    <col min="40" max="40" width="20.140625" style="356" customWidth="1"/>
    <col min="41" max="16384" width="11.42578125" style="356" customWidth="1"/>
  </cols>
  <sheetData>
    <row r="1" spans="1:28" s="356" customFormat="1" x14ac:dyDescent="0.25">
      <c r="A1" s="360"/>
      <c r="B1" s="360"/>
      <c r="C1" s="361"/>
      <c r="D1" s="361"/>
      <c r="E1" s="361"/>
      <c r="F1" s="360"/>
      <c r="G1" s="360"/>
      <c r="H1" s="360"/>
      <c r="I1" s="360"/>
      <c r="J1" s="360"/>
      <c r="K1" s="360"/>
      <c r="L1" s="360"/>
      <c r="AA1" s="357"/>
      <c r="AB1" s="357"/>
    </row>
    <row r="2" spans="1:28" s="356" customFormat="1" x14ac:dyDescent="0.25">
      <c r="A2" s="360"/>
      <c r="B2" s="360"/>
      <c r="C2" s="361"/>
      <c r="D2" s="361"/>
      <c r="E2" s="361"/>
      <c r="F2" s="360" t="s">
        <v>23</v>
      </c>
      <c r="G2" s="362">
        <f>+'OptiMaxx plus'!T7</f>
        <v>29</v>
      </c>
      <c r="H2" s="360"/>
      <c r="I2" s="363" t="s">
        <v>77</v>
      </c>
      <c r="J2" s="364" t="s">
        <v>78</v>
      </c>
      <c r="K2" s="360"/>
      <c r="L2" s="360"/>
      <c r="AA2" s="357"/>
      <c r="AB2" s="357"/>
    </row>
    <row r="3" spans="1:28" s="356" customFormat="1" x14ac:dyDescent="0.25">
      <c r="A3" s="360"/>
      <c r="B3" s="360"/>
      <c r="C3" s="361"/>
      <c r="D3" s="361"/>
      <c r="E3" s="361"/>
      <c r="F3" s="360" t="s">
        <v>26</v>
      </c>
      <c r="G3" s="362">
        <f>+'OptiMaxx plus'!D12</f>
        <v>10000</v>
      </c>
      <c r="H3" s="360"/>
      <c r="I3" s="360" t="s">
        <v>79</v>
      </c>
      <c r="J3" s="365">
        <v>0.06</v>
      </c>
      <c r="K3" s="366">
        <f>+J3</f>
        <v>0.06</v>
      </c>
      <c r="L3" s="367">
        <f>+'OptiMaxx plus'!F21</f>
        <v>0</v>
      </c>
      <c r="AA3" s="357"/>
      <c r="AB3" s="357"/>
    </row>
    <row r="4" spans="1:28" s="356" customFormat="1" x14ac:dyDescent="0.25">
      <c r="A4" s="360"/>
      <c r="B4" s="360"/>
      <c r="C4" s="361"/>
      <c r="D4" s="361"/>
      <c r="E4" s="361"/>
      <c r="F4" s="360" t="s">
        <v>3</v>
      </c>
      <c r="G4" s="362" t="str">
        <f>+'OptiMaxx plus'!K12</f>
        <v>Mensual</v>
      </c>
      <c r="H4" s="360"/>
      <c r="I4" s="360" t="s">
        <v>80</v>
      </c>
      <c r="J4" s="365">
        <v>0.09</v>
      </c>
      <c r="K4" s="366">
        <f t="shared" ref="K4:K17" si="0">+J4</f>
        <v>0.09</v>
      </c>
      <c r="L4" s="367">
        <f>+'OptiMaxx plus'!J21</f>
        <v>0</v>
      </c>
      <c r="AA4" s="357"/>
      <c r="AB4" s="357"/>
    </row>
    <row r="5" spans="1:28" s="356" customFormat="1" x14ac:dyDescent="0.25">
      <c r="A5" s="360"/>
      <c r="B5" s="360"/>
      <c r="C5" s="361"/>
      <c r="D5" s="361"/>
      <c r="E5" s="361"/>
      <c r="F5" s="360" t="s">
        <v>2</v>
      </c>
      <c r="G5" s="362">
        <f>+'OptiMaxx plus'!D15</f>
        <v>25</v>
      </c>
      <c r="H5" s="360"/>
      <c r="I5" s="360" t="s">
        <v>81</v>
      </c>
      <c r="J5" s="365">
        <v>0.12</v>
      </c>
      <c r="K5" s="366">
        <f t="shared" si="0"/>
        <v>0.12</v>
      </c>
      <c r="L5" s="367">
        <f>+'OptiMaxx plus'!N21</f>
        <v>0</v>
      </c>
      <c r="AA5" s="357"/>
      <c r="AB5" s="357"/>
    </row>
    <row r="6" spans="1:28" s="356" customFormat="1" x14ac:dyDescent="0.25">
      <c r="A6" s="360"/>
      <c r="B6" s="360"/>
      <c r="C6" s="361"/>
      <c r="D6" s="361"/>
      <c r="E6" s="361"/>
      <c r="F6" s="360" t="s">
        <v>77</v>
      </c>
      <c r="G6" s="385">
        <f>L20</f>
        <v>0.1</v>
      </c>
      <c r="H6" s="360"/>
      <c r="I6" s="360" t="s">
        <v>82</v>
      </c>
      <c r="J6" s="365">
        <v>0.03</v>
      </c>
      <c r="K6" s="366">
        <f t="shared" si="0"/>
        <v>0.03</v>
      </c>
      <c r="L6" s="367">
        <f>+'OptiMaxx plus'!F22</f>
        <v>0</v>
      </c>
      <c r="AA6" s="357"/>
      <c r="AB6" s="357"/>
    </row>
    <row r="7" spans="1:28" s="356" customFormat="1" x14ac:dyDescent="0.25">
      <c r="A7" s="360"/>
      <c r="B7" s="360"/>
      <c r="C7" s="361"/>
      <c r="D7" s="361"/>
      <c r="E7" s="361"/>
      <c r="F7" s="360" t="s">
        <v>83</v>
      </c>
      <c r="G7" s="368">
        <f>+L20</f>
        <v>0.1</v>
      </c>
      <c r="H7" s="360"/>
      <c r="I7" s="360" t="s">
        <v>84</v>
      </c>
      <c r="J7" s="365">
        <v>0.06</v>
      </c>
      <c r="K7" s="366">
        <f t="shared" si="0"/>
        <v>0.06</v>
      </c>
      <c r="L7" s="367">
        <f>+'OptiMaxx plus'!J22</f>
        <v>0</v>
      </c>
      <c r="AA7" s="357"/>
      <c r="AB7" s="357"/>
    </row>
    <row r="8" spans="1:28" s="356" customFormat="1" x14ac:dyDescent="0.25">
      <c r="A8" s="360"/>
      <c r="B8" s="360"/>
      <c r="C8" s="361"/>
      <c r="D8" s="361"/>
      <c r="E8" s="361"/>
      <c r="F8" s="360" t="s">
        <v>85</v>
      </c>
      <c r="G8" s="368">
        <f>(1+G7)^(1/12)-1</f>
        <v>0.007974140428903764</v>
      </c>
      <c r="H8" s="360"/>
      <c r="I8" s="360" t="s">
        <v>86</v>
      </c>
      <c r="J8" s="365">
        <v>0.1</v>
      </c>
      <c r="K8" s="366">
        <f t="shared" si="0"/>
        <v>0.1</v>
      </c>
      <c r="L8" s="367">
        <f>+'OptiMaxx plus'!N22</f>
        <v>1</v>
      </c>
      <c r="AA8" s="357"/>
      <c r="AB8" s="357"/>
    </row>
    <row r="9" spans="1:28" s="356" customFormat="1" x14ac:dyDescent="0.25">
      <c r="A9" s="360"/>
      <c r="B9" s="360"/>
      <c r="C9" s="361"/>
      <c r="D9" s="361"/>
      <c r="E9" s="361"/>
      <c r="F9" s="360" t="s">
        <v>87</v>
      </c>
      <c r="G9" s="369">
        <f>+Bono!F9</f>
        <v>1</v>
      </c>
      <c r="H9" s="360"/>
      <c r="I9" s="360" t="s">
        <v>88</v>
      </c>
      <c r="J9" s="365">
        <v>0.03</v>
      </c>
      <c r="K9" s="366">
        <f t="shared" si="0"/>
        <v>0.03</v>
      </c>
      <c r="L9" s="367">
        <f>+'OptiMaxx plus'!F23</f>
        <v>0</v>
      </c>
      <c r="AA9" s="357"/>
      <c r="AB9" s="357"/>
    </row>
    <row r="10" spans="1:28" s="356" customFormat="1" x14ac:dyDescent="0.25">
      <c r="A10" s="360"/>
      <c r="B10" s="360"/>
      <c r="C10" s="361"/>
      <c r="D10" s="361"/>
      <c r="E10" s="361"/>
      <c r="F10" s="360"/>
      <c r="G10" s="369"/>
      <c r="H10" s="360"/>
      <c r="I10" s="360" t="s">
        <v>89</v>
      </c>
      <c r="J10" s="365">
        <v>0.06</v>
      </c>
      <c r="K10" s="366">
        <f t="shared" si="0"/>
        <v>0.06</v>
      </c>
      <c r="L10" s="367">
        <f>+'OptiMaxx plus'!J23</f>
        <v>0</v>
      </c>
      <c r="AA10" s="357"/>
      <c r="AB10" s="357"/>
    </row>
    <row r="11" spans="1:28" s="356" customFormat="1" x14ac:dyDescent="0.25">
      <c r="A11" s="360"/>
      <c r="B11" s="360"/>
      <c r="C11" s="361"/>
      <c r="D11" s="361"/>
      <c r="E11" s="361"/>
      <c r="F11" s="360"/>
      <c r="G11" s="386"/>
      <c r="H11" s="360"/>
      <c r="I11" s="360" t="s">
        <v>90</v>
      </c>
      <c r="J11" s="365">
        <v>0.09</v>
      </c>
      <c r="K11" s="366">
        <f t="shared" si="0"/>
        <v>0.09</v>
      </c>
      <c r="L11" s="367">
        <f>+'OptiMaxx plus'!N23</f>
        <v>0</v>
      </c>
      <c r="AA11" s="357"/>
      <c r="AB11" s="357"/>
    </row>
    <row r="12" spans="1:28" s="356" customFormat="1" x14ac:dyDescent="0.25">
      <c r="A12" s="360"/>
      <c r="B12" s="360"/>
      <c r="C12" s="361"/>
      <c r="D12" s="361"/>
      <c r="E12" s="361"/>
      <c r="F12" s="360"/>
      <c r="G12" s="369"/>
      <c r="H12" s="360"/>
      <c r="I12" s="360" t="s">
        <v>91</v>
      </c>
      <c r="J12" s="365">
        <v>0.08</v>
      </c>
      <c r="K12" s="366">
        <f t="shared" si="0"/>
        <v>0.08</v>
      </c>
      <c r="L12" s="367">
        <f>+'OptiMaxx plus'!F25</f>
        <v>0</v>
      </c>
      <c r="AA12" s="357"/>
      <c r="AB12" s="357"/>
    </row>
    <row r="13" spans="1:28" s="356" customFormat="1" x14ac:dyDescent="0.25">
      <c r="A13" s="360"/>
      <c r="B13" s="360"/>
      <c r="C13" s="361"/>
      <c r="D13" s="361"/>
      <c r="E13" s="361"/>
      <c r="F13" s="360"/>
      <c r="G13" s="369"/>
      <c r="H13" s="360"/>
      <c r="I13" s="360" t="s">
        <v>52</v>
      </c>
      <c r="J13" s="365">
        <v>0.12</v>
      </c>
      <c r="K13" s="366">
        <f t="shared" si="0"/>
        <v>0.12</v>
      </c>
      <c r="L13" s="367">
        <f>+'OptiMaxx plus'!F27</f>
        <v>0</v>
      </c>
      <c r="AA13" s="357"/>
      <c r="AB13" s="357"/>
    </row>
    <row r="14" spans="1:28" s="356" customFormat="1" x14ac:dyDescent="0.25">
      <c r="A14" s="360"/>
      <c r="B14" s="360"/>
      <c r="C14" s="361"/>
      <c r="D14" s="361"/>
      <c r="E14" s="361"/>
      <c r="F14" s="360"/>
      <c r="G14" s="369"/>
      <c r="H14" s="360"/>
      <c r="I14" s="360" t="s">
        <v>45</v>
      </c>
      <c r="J14" s="365">
        <v>0.12</v>
      </c>
      <c r="K14" s="366">
        <f t="shared" si="0"/>
        <v>0.12</v>
      </c>
      <c r="L14" s="367">
        <f>+'OptiMaxx plus'!N25</f>
        <v>0</v>
      </c>
      <c r="AA14" s="357"/>
      <c r="AB14" s="357"/>
    </row>
    <row r="15" spans="1:28" s="356" customFormat="1" x14ac:dyDescent="0.25">
      <c r="A15" s="360"/>
      <c r="B15" s="360"/>
      <c r="C15" s="361"/>
      <c r="D15" s="361"/>
      <c r="E15" s="361"/>
      <c r="F15" s="360"/>
      <c r="G15" s="369"/>
      <c r="H15" s="360"/>
      <c r="I15" s="360" t="s">
        <v>49</v>
      </c>
      <c r="J15" s="365">
        <v>0.12</v>
      </c>
      <c r="K15" s="366">
        <f t="shared" si="0"/>
        <v>0.12</v>
      </c>
      <c r="L15" s="367">
        <f>+'OptiMaxx plus'!F26</f>
        <v>0</v>
      </c>
      <c r="AA15" s="357"/>
      <c r="AB15" s="357"/>
    </row>
    <row r="16" spans="1:28" s="356" customFormat="1" x14ac:dyDescent="0.25">
      <c r="A16" s="360"/>
      <c r="B16" s="360"/>
      <c r="C16" s="361"/>
      <c r="D16" s="361"/>
      <c r="E16" s="361"/>
      <c r="F16" s="360"/>
      <c r="G16" s="369"/>
      <c r="H16" s="360"/>
      <c r="I16" s="360" t="s">
        <v>53</v>
      </c>
      <c r="J16" s="365">
        <v>0.05</v>
      </c>
      <c r="K16" s="366">
        <f t="shared" si="0"/>
        <v>0.05</v>
      </c>
      <c r="L16" s="367">
        <f>+'OptiMaxx plus'!N27</f>
        <v>0</v>
      </c>
      <c r="AA16" s="357"/>
      <c r="AB16" s="357"/>
    </row>
    <row r="17" spans="1:28" s="356" customFormat="1" x14ac:dyDescent="0.25">
      <c r="A17" s="360"/>
      <c r="B17" s="360"/>
      <c r="C17" s="361"/>
      <c r="D17" s="361"/>
      <c r="E17" s="361"/>
      <c r="F17" s="360" t="s">
        <v>92</v>
      </c>
      <c r="G17" s="362" t="str">
        <f>+'OptiMaxx plus'!K15</f>
        <v>No</v>
      </c>
      <c r="H17" s="360"/>
      <c r="I17" s="360" t="s">
        <v>93</v>
      </c>
      <c r="J17" s="365">
        <v>0.12</v>
      </c>
      <c r="K17" s="366">
        <f t="shared" si="0"/>
        <v>0.12</v>
      </c>
      <c r="L17" s="367">
        <f>+'OptiMaxx plus'!N26</f>
        <v>0</v>
      </c>
      <c r="AA17" s="357"/>
      <c r="AB17" s="357"/>
    </row>
    <row r="18" spans="1:28" s="356" customFormat="1" x14ac:dyDescent="0.25">
      <c r="A18" s="360"/>
      <c r="B18" s="360"/>
      <c r="C18" s="361"/>
      <c r="D18" s="361"/>
      <c r="E18" s="361"/>
      <c r="F18" s="360" t="s">
        <v>94</v>
      </c>
      <c r="G18" s="369">
        <v>0.04</v>
      </c>
      <c r="H18" s="360"/>
      <c r="I18" s="360"/>
      <c r="J18" s="365"/>
      <c r="K18" s="360"/>
      <c r="L18" s="360"/>
      <c r="AA18" s="357"/>
      <c r="AB18" s="357"/>
    </row>
    <row r="19" spans="1:28" s="356" customFormat="1" x14ac:dyDescent="0.25">
      <c r="A19" s="360"/>
      <c r="B19" s="360"/>
      <c r="C19" s="361"/>
      <c r="D19" s="361"/>
      <c r="E19" s="361"/>
      <c r="F19" s="360" t="s">
        <v>95</v>
      </c>
      <c r="G19" s="370">
        <v>5.08</v>
      </c>
      <c r="H19" s="360"/>
      <c r="I19" s="360"/>
      <c r="J19" s="365"/>
      <c r="K19" s="360"/>
      <c r="L19" s="360"/>
      <c r="AA19" s="357"/>
      <c r="AB19" s="357"/>
    </row>
    <row r="20" spans="1:28" s="356" customFormat="1" x14ac:dyDescent="0.25">
      <c r="A20" s="360"/>
      <c r="B20" s="360"/>
      <c r="C20" s="361"/>
      <c r="D20" s="361"/>
      <c r="E20" s="361"/>
      <c r="F20" s="360"/>
      <c r="G20" s="369">
        <f>+G18</f>
        <v>0.04</v>
      </c>
      <c r="H20" s="360"/>
      <c r="I20" s="363" t="s">
        <v>96</v>
      </c>
      <c r="J20" s="371"/>
      <c r="K20" s="363"/>
      <c r="L20" s="372">
        <f>SUMPRODUCT(L3:L17,J3:J17)</f>
        <v>0.1</v>
      </c>
      <c r="AA20" s="357"/>
      <c r="AB20" s="357"/>
    </row>
    <row r="21" spans="10:15" x14ac:dyDescent="0.25">
      <c r="J21" s="373">
        <f>3.6%/4</f>
        <v>0.009000000000000001</v>
      </c>
      <c r="O21" s="356"/>
    </row>
    <row r="22" spans="3:28" x14ac:dyDescent="0.25">
      <c r="C22" s="374" t="s">
        <v>97</v>
      </c>
      <c r="D22" s="374"/>
      <c r="E22" s="374"/>
      <c r="F22" s="374"/>
      <c r="G22" s="374"/>
      <c r="H22" s="374"/>
      <c r="I22" s="374"/>
      <c r="J22" s="374"/>
      <c r="K22" s="374"/>
      <c r="L22" s="374"/>
      <c r="O22" s="374" t="s">
        <v>98</v>
      </c>
      <c r="P22" s="374"/>
      <c r="Q22" s="374"/>
      <c r="R22" s="374"/>
      <c r="S22" s="374"/>
      <c r="T22" s="374"/>
      <c r="U22" s="374"/>
      <c r="V22" s="374"/>
      <c r="W22" s="374"/>
      <c r="X22" s="374"/>
      <c r="Y22" s="374"/>
      <c r="AA22" s="374" t="s">
        <v>99</v>
      </c>
      <c r="AB22" s="357"/>
    </row>
    <row r="23" ht="36.75" customHeight="1" spans="3:30" x14ac:dyDescent="0.25">
      <c r="C23" s="375" t="s">
        <v>55</v>
      </c>
      <c r="D23" s="375" t="s">
        <v>100</v>
      </c>
      <c r="E23" s="375" t="s">
        <v>23</v>
      </c>
      <c r="F23" s="375" t="s">
        <v>101</v>
      </c>
      <c r="G23" s="375" t="s">
        <v>26</v>
      </c>
      <c r="H23" s="375" t="s">
        <v>102</v>
      </c>
      <c r="I23" s="375" t="s">
        <v>103</v>
      </c>
      <c r="J23" s="375" t="s">
        <v>104</v>
      </c>
      <c r="K23" s="375" t="s">
        <v>105</v>
      </c>
      <c r="L23" s="375" t="s">
        <v>106</v>
      </c>
      <c r="O23" s="375" t="s">
        <v>55</v>
      </c>
      <c r="P23" s="375" t="s">
        <v>100</v>
      </c>
      <c r="Q23" s="375" t="s">
        <v>23</v>
      </c>
      <c r="R23" s="375" t="s">
        <v>101</v>
      </c>
      <c r="S23" s="375" t="s">
        <v>26</v>
      </c>
      <c r="T23" s="375" t="s">
        <v>99</v>
      </c>
      <c r="U23" s="375" t="s">
        <v>102</v>
      </c>
      <c r="V23" s="375" t="s">
        <v>103</v>
      </c>
      <c r="W23" s="375" t="s">
        <v>104</v>
      </c>
      <c r="X23" s="375" t="s">
        <v>105</v>
      </c>
      <c r="Y23" s="375" t="s">
        <v>106</v>
      </c>
      <c r="AA23" s="375" t="s">
        <v>106</v>
      </c>
      <c r="AB23" s="375"/>
      <c r="AD23" s="375" t="s">
        <v>107</v>
      </c>
    </row>
    <row r="24" spans="1:34" x14ac:dyDescent="0.25">
      <c r="A24" s="356">
        <f>+B24/12</f>
        <v>0.08333333333333333</v>
      </c>
      <c r="B24" s="356">
        <v>1</v>
      </c>
      <c r="C24" s="357">
        <v>0</v>
      </c>
      <c r="D24" s="357">
        <v>1</v>
      </c>
      <c r="E24" s="357">
        <f>G2</f>
        <v>29</v>
      </c>
      <c r="F24" s="356">
        <v>0</v>
      </c>
      <c r="G24" s="356">
        <f>G3</f>
        <v>10000</v>
      </c>
      <c r="H24" s="356">
        <f t="shared" ref="H24:H87" si="1">SUM(F24:G24)*$G$8</f>
        <v>79.74140428903765</v>
      </c>
      <c r="I24" s="356">
        <v>-500</v>
      </c>
      <c r="J24" s="356">
        <v>0</v>
      </c>
      <c r="K24" s="356">
        <f>-SUM(F24:J24)*0.1%</f>
        <v>-9.579741404289038</v>
      </c>
      <c r="L24" s="356">
        <f t="shared" ref="L24:L87" si="2">SUM(F24:K24)</f>
        <v>9570.16166288475</v>
      </c>
      <c r="N24" s="356">
        <v>1</v>
      </c>
      <c r="O24" s="357">
        <v>0</v>
      </c>
      <c r="P24" s="357">
        <v>1</v>
      </c>
      <c r="Q24" s="357">
        <f>S9</f>
        <v>0</v>
      </c>
      <c r="R24" s="356">
        <v>0</v>
      </c>
      <c r="S24" s="356"/>
      <c r="T24" s="356">
        <f t="shared" ref="T24:T35" si="3">S24*$G$9</f>
        <v>0</v>
      </c>
      <c r="U24" s="356">
        <f>SUM(R24:T24)*$G$8</f>
        <v>0</v>
      </c>
      <c r="V24" s="356">
        <v>0</v>
      </c>
      <c r="X24" s="356">
        <f t="shared" ref="X24:X87" si="4">-SUM(R24:U24)*0.1%</f>
        <v>0</v>
      </c>
      <c r="Y24" s="356">
        <f t="shared" ref="Y24:Y87" si="5">SUM(R24:X24)</f>
        <v>0</v>
      </c>
      <c r="AA24" s="357">
        <f>+Bono!J24</f>
        <v>10062.001159928206</v>
      </c>
      <c r="AC24" s="378">
        <f t="shared" ref="AC24:AC87" si="6">+B24/12</f>
        <v>0.08333333333333333</v>
      </c>
      <c r="AD24" s="356">
        <f t="shared" ref="AD24:AD87" si="7">+AA24+Y24+L24</f>
        <v>19632.162822812956</v>
      </c>
      <c r="AH24" s="356" t="s">
        <v>56</v>
      </c>
    </row>
    <row r="25" spans="2:38" x14ac:dyDescent="0.25">
      <c r="B25" s="356">
        <f t="shared" ref="B25:B88" si="8">+B24+1</f>
        <v>2</v>
      </c>
      <c r="C25" s="357">
        <v>0</v>
      </c>
      <c r="D25" s="357">
        <v>2</v>
      </c>
      <c r="E25" s="357">
        <f t="shared" ref="E25:E35" si="9">E24</f>
        <v>29</v>
      </c>
      <c r="F25" s="356">
        <f t="shared" ref="F25:F88" si="10">L24</f>
        <v>9570.16166288475</v>
      </c>
      <c r="G25" s="356">
        <f>IF($G$4="mensual",$G$3,0)</f>
        <v>10000</v>
      </c>
      <c r="H25" s="356">
        <f t="shared" si="1"/>
        <v>156.0552173161918</v>
      </c>
      <c r="I25" s="356">
        <v>0</v>
      </c>
      <c r="J25" s="356">
        <v>0</v>
      </c>
      <c r="K25" s="356">
        <f t="shared" ref="K25:K88" si="11">-SUM(F25:J25)*0.1%</f>
        <v>-19.72621688020094</v>
      </c>
      <c r="L25" s="356">
        <f t="shared" si="2"/>
        <v>19706.49066332074</v>
      </c>
      <c r="N25" s="356">
        <f t="shared" ref="N25:N88" si="12">+N24+1</f>
        <v>2</v>
      </c>
      <c r="O25" s="357">
        <v>0</v>
      </c>
      <c r="P25" s="357">
        <v>2</v>
      </c>
      <c r="Q25" s="357">
        <f t="shared" ref="Q25:Q35" si="13">Q24</f>
        <v>0</v>
      </c>
      <c r="R25" s="356">
        <f t="shared" ref="R25:R88" si="14">Y24</f>
        <v>0</v>
      </c>
      <c r="S25" s="356"/>
      <c r="T25" s="356">
        <f t="shared" si="3"/>
        <v>0</v>
      </c>
      <c r="U25" s="356">
        <v>0</v>
      </c>
      <c r="V25" s="356">
        <v>0</v>
      </c>
      <c r="X25" s="356">
        <f t="shared" si="4"/>
        <v>0</v>
      </c>
      <c r="Y25" s="356">
        <f t="shared" si="5"/>
        <v>0</v>
      </c>
      <c r="AA25" s="357">
        <f>+Bono!J25</f>
        <v>20186.387894167863</v>
      </c>
      <c r="AC25" s="378">
        <f t="shared" si="6"/>
        <v>0.16666666666666666</v>
      </c>
      <c r="AD25" s="356">
        <f t="shared" si="7"/>
        <v>39892.8785574886</v>
      </c>
      <c r="AG25" s="356">
        <v>1</v>
      </c>
      <c r="AH25" s="356">
        <f>VLOOKUP(G4,$AK$25:$AL$28,2,0)*G3</f>
        <v>120000</v>
      </c>
      <c r="AK25" s="381" t="s">
        <v>9</v>
      </c>
      <c r="AL25" s="381">
        <v>12</v>
      </c>
    </row>
    <row r="26" spans="2:38" x14ac:dyDescent="0.25">
      <c r="B26" s="356">
        <f t="shared" si="8"/>
        <v>3</v>
      </c>
      <c r="C26" s="357">
        <v>0</v>
      </c>
      <c r="D26" s="357">
        <v>3</v>
      </c>
      <c r="E26" s="357">
        <f t="shared" si="9"/>
        <v>29</v>
      </c>
      <c r="F26" s="356">
        <f t="shared" si="10"/>
        <v>19706.49066332074</v>
      </c>
      <c r="G26" s="356">
        <f>IF($G$4="mensual",$G$3,0)</f>
        <v>10000</v>
      </c>
      <c r="H26" s="356">
        <f t="shared" si="1"/>
        <v>236.8837281992381</v>
      </c>
      <c r="I26" s="356">
        <v>0</v>
      </c>
      <c r="J26" s="360">
        <f>-SUM(F26:H26)*$J$21</f>
        <v>-269.4903695236798</v>
      </c>
      <c r="K26" s="356">
        <f t="shared" si="11"/>
        <v>-29.6738840219963</v>
      </c>
      <c r="L26" s="356">
        <f t="shared" si="2"/>
        <v>29644.210137974304</v>
      </c>
      <c r="N26" s="356">
        <f t="shared" si="12"/>
        <v>3</v>
      </c>
      <c r="O26" s="357">
        <v>0</v>
      </c>
      <c r="P26" s="357">
        <v>3</v>
      </c>
      <c r="Q26" s="357">
        <f t="shared" si="13"/>
        <v>0</v>
      </c>
      <c r="R26" s="356">
        <f t="shared" si="14"/>
        <v>0</v>
      </c>
      <c r="S26" s="356"/>
      <c r="T26" s="356">
        <f t="shared" si="3"/>
        <v>0</v>
      </c>
      <c r="U26" s="356">
        <v>0</v>
      </c>
      <c r="V26" s="356">
        <v>0</v>
      </c>
      <c r="X26" s="356">
        <f t="shared" si="4"/>
        <v>0</v>
      </c>
      <c r="Y26" s="356">
        <f t="shared" si="5"/>
        <v>0</v>
      </c>
      <c r="AA26" s="357">
        <f>+Bono!J26</f>
        <v>30099.911441952772</v>
      </c>
      <c r="AC26" s="378">
        <f t="shared" si="6"/>
        <v>0.25</v>
      </c>
      <c r="AD26" s="356">
        <f t="shared" si="7"/>
        <v>59744.12157992707</v>
      </c>
      <c r="AG26" s="356">
        <f t="shared" ref="AG26:AG49" si="15">+AG25+1</f>
        <v>2</v>
      </c>
      <c r="AH26" s="356">
        <f t="shared" ref="AH26:AH49" si="16">IF($G$17="Si",(1+$G$20)*AH25,AH25)</f>
        <v>120000</v>
      </c>
      <c r="AK26" s="381" t="s">
        <v>14</v>
      </c>
      <c r="AL26" s="381">
        <v>4</v>
      </c>
    </row>
    <row r="27" spans="2:38" x14ac:dyDescent="0.25">
      <c r="B27" s="356">
        <f t="shared" si="8"/>
        <v>4</v>
      </c>
      <c r="C27" s="357">
        <v>0</v>
      </c>
      <c r="D27" s="357">
        <v>4</v>
      </c>
      <c r="E27" s="357">
        <f t="shared" si="9"/>
        <v>29</v>
      </c>
      <c r="F27" s="356">
        <f t="shared" si="10"/>
        <v>29644.210137974304</v>
      </c>
      <c r="G27" s="356">
        <f>IF($G$4="mensual",$G$3,IF($G$4="trimestral",G3,0))</f>
        <v>10000</v>
      </c>
      <c r="H27" s="356">
        <f t="shared" si="1"/>
        <v>316.1284988331774</v>
      </c>
      <c r="I27" s="356">
        <v>0</v>
      </c>
      <c r="J27" s="356">
        <v>0</v>
      </c>
      <c r="K27" s="356">
        <f t="shared" si="11"/>
        <v>-39.96033863680748</v>
      </c>
      <c r="L27" s="356">
        <f t="shared" si="2"/>
        <v>39920.37829817067</v>
      </c>
      <c r="N27" s="356">
        <f t="shared" si="12"/>
        <v>4</v>
      </c>
      <c r="O27" s="357">
        <v>0</v>
      </c>
      <c r="P27" s="357">
        <v>4</v>
      </c>
      <c r="Q27" s="357">
        <f t="shared" si="13"/>
        <v>0</v>
      </c>
      <c r="R27" s="356">
        <f t="shared" si="14"/>
        <v>0</v>
      </c>
      <c r="S27" s="356"/>
      <c r="T27" s="356">
        <f t="shared" si="3"/>
        <v>0</v>
      </c>
      <c r="U27" s="356">
        <f>SUM(R27:T27)*$G$8</f>
        <v>0</v>
      </c>
      <c r="V27" s="356">
        <v>0</v>
      </c>
      <c r="X27" s="356">
        <f t="shared" si="4"/>
        <v>0</v>
      </c>
      <c r="Y27" s="356">
        <f t="shared" si="5"/>
        <v>0</v>
      </c>
      <c r="AA27" s="357">
        <f>+Bono!J27</f>
        <v>40348.53554419472</v>
      </c>
      <c r="AC27" s="378">
        <f t="shared" si="6"/>
        <v>0.3333333333333333</v>
      </c>
      <c r="AD27" s="356">
        <f t="shared" si="7"/>
        <v>80268.91384236538</v>
      </c>
      <c r="AG27" s="356">
        <f t="shared" si="15"/>
        <v>3</v>
      </c>
      <c r="AH27" s="356">
        <f t="shared" si="16"/>
        <v>120000</v>
      </c>
      <c r="AK27" s="381" t="s">
        <v>18</v>
      </c>
      <c r="AL27" s="381">
        <v>2</v>
      </c>
    </row>
    <row r="28" spans="2:38" x14ac:dyDescent="0.25">
      <c r="B28" s="356">
        <f t="shared" si="8"/>
        <v>5</v>
      </c>
      <c r="C28" s="357">
        <v>0</v>
      </c>
      <c r="D28" s="357">
        <v>5</v>
      </c>
      <c r="E28" s="357">
        <f t="shared" si="9"/>
        <v>29</v>
      </c>
      <c r="F28" s="356">
        <f t="shared" si="10"/>
        <v>39920.37829817067</v>
      </c>
      <c r="G28" s="356">
        <f>IF($G$4="mensual",$G$3,0)</f>
        <v>10000</v>
      </c>
      <c r="H28" s="356">
        <f t="shared" si="1"/>
        <v>398.07210681361283</v>
      </c>
      <c r="I28" s="356">
        <v>0</v>
      </c>
      <c r="J28" s="356">
        <v>0</v>
      </c>
      <c r="K28" s="356">
        <f t="shared" si="11"/>
        <v>-50.31845040498428</v>
      </c>
      <c r="L28" s="356">
        <f t="shared" si="2"/>
        <v>50268.131954579294</v>
      </c>
      <c r="N28" s="356">
        <f t="shared" si="12"/>
        <v>5</v>
      </c>
      <c r="O28" s="357">
        <v>0</v>
      </c>
      <c r="P28" s="357">
        <v>5</v>
      </c>
      <c r="Q28" s="357">
        <f t="shared" si="13"/>
        <v>0</v>
      </c>
      <c r="R28" s="356">
        <f t="shared" si="14"/>
        <v>0</v>
      </c>
      <c r="S28" s="356"/>
      <c r="T28" s="356">
        <f t="shared" si="3"/>
        <v>0</v>
      </c>
      <c r="U28" s="356">
        <v>0</v>
      </c>
      <c r="V28" s="356">
        <v>0</v>
      </c>
      <c r="X28" s="356">
        <f t="shared" si="4"/>
        <v>0</v>
      </c>
      <c r="Y28" s="356">
        <f t="shared" si="5"/>
        <v>0</v>
      </c>
      <c r="AA28" s="357">
        <f>+Bono!J28</f>
        <v>50660.70230463738</v>
      </c>
      <c r="AC28" s="378">
        <f t="shared" si="6"/>
        <v>0.4166666666666667</v>
      </c>
      <c r="AD28" s="356">
        <f t="shared" si="7"/>
        <v>100928.83425921667</v>
      </c>
      <c r="AG28" s="356">
        <f t="shared" si="15"/>
        <v>4</v>
      </c>
      <c r="AH28" s="356">
        <f t="shared" si="16"/>
        <v>120000</v>
      </c>
      <c r="AK28" s="381" t="s">
        <v>21</v>
      </c>
      <c r="AL28" s="381">
        <v>1</v>
      </c>
    </row>
    <row r="29" spans="2:34" x14ac:dyDescent="0.25">
      <c r="B29" s="356">
        <f t="shared" si="8"/>
        <v>6</v>
      </c>
      <c r="C29" s="357">
        <v>0</v>
      </c>
      <c r="D29" s="357">
        <v>6</v>
      </c>
      <c r="E29" s="357">
        <f t="shared" si="9"/>
        <v>29</v>
      </c>
      <c r="F29" s="356">
        <f t="shared" si="10"/>
        <v>50268.131954579294</v>
      </c>
      <c r="G29" s="356">
        <f>IF($G$4="mensual",$G$3,0)</f>
        <v>10000</v>
      </c>
      <c r="H29" s="356">
        <f t="shared" si="1"/>
        <v>480.5865475935176</v>
      </c>
      <c r="I29" s="356">
        <v>0</v>
      </c>
      <c r="J29" s="360">
        <f>-SUM(F29:H29)*$J$21</f>
        <v>-546.7384665195553</v>
      </c>
      <c r="K29" s="356">
        <f t="shared" si="11"/>
        <v>-60.20198003565326</v>
      </c>
      <c r="L29" s="356">
        <f t="shared" si="2"/>
        <v>60141.77805561761</v>
      </c>
      <c r="N29" s="356">
        <f t="shared" si="12"/>
        <v>6</v>
      </c>
      <c r="O29" s="357">
        <v>0</v>
      </c>
      <c r="P29" s="357">
        <v>6</v>
      </c>
      <c r="Q29" s="357">
        <f t="shared" si="13"/>
        <v>0</v>
      </c>
      <c r="R29" s="356">
        <f t="shared" si="14"/>
        <v>0</v>
      </c>
      <c r="S29" s="356"/>
      <c r="T29" s="356">
        <f t="shared" si="3"/>
        <v>0</v>
      </c>
      <c r="U29" s="356">
        <v>0</v>
      </c>
      <c r="V29" s="356">
        <v>0</v>
      </c>
      <c r="X29" s="356">
        <f t="shared" si="4"/>
        <v>0</v>
      </c>
      <c r="Y29" s="356">
        <f t="shared" si="5"/>
        <v>0</v>
      </c>
      <c r="AA29" s="357">
        <f>+Bono!J29</f>
        <v>60486.924562743516</v>
      </c>
      <c r="AC29" s="378">
        <f t="shared" si="6"/>
        <v>0.5</v>
      </c>
      <c r="AD29" s="356">
        <f t="shared" si="7"/>
        <v>120628.70261836113</v>
      </c>
      <c r="AG29" s="356">
        <f t="shared" si="15"/>
        <v>5</v>
      </c>
      <c r="AH29" s="356">
        <f t="shared" si="16"/>
        <v>120000</v>
      </c>
    </row>
    <row r="30" spans="2:34" x14ac:dyDescent="0.25">
      <c r="B30" s="356">
        <f t="shared" si="8"/>
        <v>7</v>
      </c>
      <c r="C30" s="357">
        <v>0</v>
      </c>
      <c r="D30" s="357">
        <v>7</v>
      </c>
      <c r="E30" s="357">
        <f t="shared" si="9"/>
        <v>29</v>
      </c>
      <c r="F30" s="356">
        <f t="shared" si="10"/>
        <v>60141.77805561761</v>
      </c>
      <c r="G30" s="356">
        <f>IF($G$4="mensual",$G$3,IF($G$4="trimestral",$G$3,IF(G4="semestral",$G$3,0)))</f>
        <v>10000</v>
      </c>
      <c r="H30" s="356">
        <f t="shared" si="1"/>
        <v>559.3203881484953</v>
      </c>
      <c r="I30" s="356">
        <v>0</v>
      </c>
      <c r="J30" s="356">
        <v>0</v>
      </c>
      <c r="K30" s="356">
        <f t="shared" si="11"/>
        <v>-70.70109844376611</v>
      </c>
      <c r="L30" s="356">
        <f t="shared" si="2"/>
        <v>70630.39734532234</v>
      </c>
      <c r="N30" s="356">
        <f t="shared" si="12"/>
        <v>7</v>
      </c>
      <c r="O30" s="357">
        <v>0</v>
      </c>
      <c r="P30" s="357">
        <v>7</v>
      </c>
      <c r="Q30" s="357">
        <f t="shared" si="13"/>
        <v>0</v>
      </c>
      <c r="R30" s="356">
        <f t="shared" si="14"/>
        <v>0</v>
      </c>
      <c r="S30" s="356"/>
      <c r="T30" s="356">
        <f t="shared" si="3"/>
        <v>0</v>
      </c>
      <c r="U30" s="356">
        <f>SUM(R30:T30)*$G$8</f>
        <v>0</v>
      </c>
      <c r="V30" s="356">
        <v>0</v>
      </c>
      <c r="X30" s="356">
        <f t="shared" si="4"/>
        <v>0</v>
      </c>
      <c r="Y30" s="356">
        <f t="shared" si="5"/>
        <v>0</v>
      </c>
      <c r="AA30" s="357">
        <f>+Bono!J30</f>
        <v>70923.95167100971</v>
      </c>
      <c r="AC30" s="378">
        <f t="shared" si="6"/>
        <v>0.5833333333333334</v>
      </c>
      <c r="AD30" s="356">
        <f t="shared" si="7"/>
        <v>141554.34901633207</v>
      </c>
      <c r="AG30" s="356">
        <f t="shared" si="15"/>
        <v>6</v>
      </c>
      <c r="AH30" s="356">
        <f t="shared" si="16"/>
        <v>120000</v>
      </c>
    </row>
    <row r="31" spans="2:53" x14ac:dyDescent="0.25">
      <c r="B31" s="356">
        <f t="shared" si="8"/>
        <v>8</v>
      </c>
      <c r="C31" s="357">
        <v>0</v>
      </c>
      <c r="D31" s="357">
        <v>8</v>
      </c>
      <c r="E31" s="357">
        <f t="shared" si="9"/>
        <v>29</v>
      </c>
      <c r="F31" s="356">
        <f t="shared" si="10"/>
        <v>70630.39734532234</v>
      </c>
      <c r="G31" s="356">
        <f>IF($G$4="mensual",$G$3,0)</f>
        <v>10000</v>
      </c>
      <c r="H31" s="356">
        <f t="shared" si="1"/>
        <v>642.9581112699096</v>
      </c>
      <c r="I31" s="356">
        <v>0</v>
      </c>
      <c r="J31" s="356">
        <v>0</v>
      </c>
      <c r="K31" s="356">
        <f t="shared" si="11"/>
        <v>-81.27335545659226</v>
      </c>
      <c r="L31" s="356">
        <f t="shared" si="2"/>
        <v>81192.08210113566</v>
      </c>
      <c r="N31" s="356">
        <f t="shared" si="12"/>
        <v>8</v>
      </c>
      <c r="O31" s="357">
        <v>0</v>
      </c>
      <c r="P31" s="357">
        <v>8</v>
      </c>
      <c r="Q31" s="357">
        <f t="shared" si="13"/>
        <v>0</v>
      </c>
      <c r="R31" s="356">
        <f t="shared" si="14"/>
        <v>0</v>
      </c>
      <c r="S31" s="356"/>
      <c r="T31" s="356">
        <f t="shared" si="3"/>
        <v>0</v>
      </c>
      <c r="U31" s="356">
        <v>0</v>
      </c>
      <c r="V31" s="356">
        <v>0</v>
      </c>
      <c r="X31" s="356">
        <f t="shared" si="4"/>
        <v>0</v>
      </c>
      <c r="Y31" s="356">
        <f t="shared" si="5"/>
        <v>0</v>
      </c>
      <c r="AA31" s="357">
        <f>+Bono!J31</f>
        <v>81425.68955796737</v>
      </c>
      <c r="AC31" s="378">
        <f t="shared" si="6"/>
        <v>0.6666666666666666</v>
      </c>
      <c r="AD31" s="356">
        <f t="shared" si="7"/>
        <v>162617.77165910305</v>
      </c>
      <c r="AG31" s="356">
        <f t="shared" si="15"/>
        <v>7</v>
      </c>
      <c r="AH31" s="356">
        <f t="shared" si="16"/>
        <v>120000</v>
      </c>
      <c r="AK31" s="387" t="s">
        <v>118</v>
      </c>
      <c r="AL31" s="387"/>
      <c r="AM31" s="387"/>
      <c r="AN31" s="387"/>
      <c r="AO31" s="387"/>
      <c r="AP31" s="387"/>
      <c r="AQ31" s="387"/>
      <c r="AR31" s="387"/>
      <c r="AS31" s="387"/>
      <c r="AT31" s="387"/>
      <c r="AU31" s="387"/>
      <c r="AV31" s="387"/>
      <c r="AW31" s="387"/>
      <c r="AX31" s="387"/>
      <c r="AY31" s="387"/>
      <c r="AZ31" s="387"/>
      <c r="BA31" s="387"/>
    </row>
    <row r="32" spans="2:53" x14ac:dyDescent="0.25">
      <c r="B32" s="356">
        <f t="shared" si="8"/>
        <v>9</v>
      </c>
      <c r="C32" s="357">
        <v>0</v>
      </c>
      <c r="D32" s="357">
        <v>9</v>
      </c>
      <c r="E32" s="357">
        <f t="shared" si="9"/>
        <v>29</v>
      </c>
      <c r="F32" s="356">
        <f t="shared" si="10"/>
        <v>81192.08210113566</v>
      </c>
      <c r="G32" s="356">
        <f>IF($G$4="mensual",$G$3,0)</f>
        <v>10000</v>
      </c>
      <c r="H32" s="356">
        <f t="shared" si="1"/>
        <v>727.1784686785772</v>
      </c>
      <c r="I32" s="356">
        <v>0</v>
      </c>
      <c r="J32" s="360">
        <f>-SUM(F32:H32)*$J$21</f>
        <v>-827.2733451283283</v>
      </c>
      <c r="K32" s="356">
        <f t="shared" si="11"/>
        <v>-91.09198722468592</v>
      </c>
      <c r="L32" s="356">
        <f t="shared" si="2"/>
        <v>91000.89523746123</v>
      </c>
      <c r="N32" s="356">
        <f t="shared" si="12"/>
        <v>9</v>
      </c>
      <c r="O32" s="357">
        <v>0</v>
      </c>
      <c r="P32" s="357">
        <v>9</v>
      </c>
      <c r="Q32" s="357">
        <f t="shared" si="13"/>
        <v>0</v>
      </c>
      <c r="R32" s="356">
        <f t="shared" si="14"/>
        <v>0</v>
      </c>
      <c r="S32" s="356"/>
      <c r="T32" s="356">
        <f t="shared" si="3"/>
        <v>0</v>
      </c>
      <c r="U32" s="356">
        <v>0</v>
      </c>
      <c r="V32" s="356">
        <v>0</v>
      </c>
      <c r="X32" s="356">
        <f t="shared" si="4"/>
        <v>0</v>
      </c>
      <c r="Y32" s="356">
        <f t="shared" si="5"/>
        <v>0</v>
      </c>
      <c r="AA32" s="357">
        <f>+Bono!J32</f>
        <v>91163.77782139226</v>
      </c>
      <c r="AC32" s="378">
        <f t="shared" si="6"/>
        <v>0.75</v>
      </c>
      <c r="AD32" s="356">
        <f t="shared" si="7"/>
        <v>182164.67305885348</v>
      </c>
      <c r="AG32" s="356">
        <f t="shared" si="15"/>
        <v>8</v>
      </c>
      <c r="AH32" s="356">
        <f t="shared" si="16"/>
        <v>120000</v>
      </c>
      <c r="AK32" s="387"/>
      <c r="AL32" s="387"/>
      <c r="AM32" s="387"/>
      <c r="AN32" s="387"/>
      <c r="AO32" s="387"/>
      <c r="AP32" s="387"/>
      <c r="AQ32" s="387"/>
      <c r="AR32" s="387"/>
      <c r="AS32" s="387"/>
      <c r="AT32" s="387"/>
      <c r="AU32" s="387"/>
      <c r="AV32" s="387"/>
      <c r="AW32" s="387"/>
      <c r="AX32" s="387"/>
      <c r="AY32" s="387"/>
      <c r="AZ32" s="387"/>
      <c r="BA32" s="387"/>
    </row>
    <row r="33" spans="2:53" x14ac:dyDescent="0.25">
      <c r="B33" s="356">
        <f t="shared" si="8"/>
        <v>10</v>
      </c>
      <c r="C33" s="357">
        <v>0</v>
      </c>
      <c r="D33" s="357">
        <v>10</v>
      </c>
      <c r="E33" s="357">
        <f t="shared" si="9"/>
        <v>29</v>
      </c>
      <c r="F33" s="356">
        <f t="shared" si="10"/>
        <v>91000.89523746123</v>
      </c>
      <c r="G33" s="356">
        <f>IF($G$4="mensual",$G$3,IF($G$4="trimestral",$G$3,0))</f>
        <v>10000</v>
      </c>
      <c r="H33" s="356">
        <f t="shared" si="1"/>
        <v>805.3953220685132</v>
      </c>
      <c r="I33" s="356">
        <v>0</v>
      </c>
      <c r="J33" s="356">
        <v>0</v>
      </c>
      <c r="K33" s="356">
        <f t="shared" si="11"/>
        <v>-101.80629055952974</v>
      </c>
      <c r="L33" s="356">
        <f t="shared" si="2"/>
        <v>101704.4842689702</v>
      </c>
      <c r="N33" s="356">
        <f t="shared" si="12"/>
        <v>10</v>
      </c>
      <c r="O33" s="357">
        <v>0</v>
      </c>
      <c r="P33" s="357">
        <v>10</v>
      </c>
      <c r="Q33" s="357">
        <f t="shared" si="13"/>
        <v>0</v>
      </c>
      <c r="R33" s="356">
        <f t="shared" si="14"/>
        <v>0</v>
      </c>
      <c r="S33" s="356"/>
      <c r="T33" s="356">
        <f t="shared" si="3"/>
        <v>0</v>
      </c>
      <c r="U33" s="356">
        <f>SUM(R33:T33)*$G$8</f>
        <v>0</v>
      </c>
      <c r="V33" s="356">
        <v>0</v>
      </c>
      <c r="X33" s="356">
        <f t="shared" si="4"/>
        <v>0</v>
      </c>
      <c r="Y33" s="356">
        <f t="shared" si="5"/>
        <v>0</v>
      </c>
      <c r="AA33" s="357">
        <f>+Bono!J33</f>
        <v>101791.00497815681</v>
      </c>
      <c r="AC33" s="378">
        <f t="shared" si="6"/>
        <v>0.8333333333333334</v>
      </c>
      <c r="AD33" s="356">
        <f t="shared" si="7"/>
        <v>203495.48924712703</v>
      </c>
      <c r="AG33" s="356">
        <f t="shared" si="15"/>
        <v>9</v>
      </c>
      <c r="AH33" s="356">
        <f t="shared" si="16"/>
        <v>120000</v>
      </c>
      <c r="AK33" s="387"/>
      <c r="AL33" s="387"/>
      <c r="AM33" s="387"/>
      <c r="AN33" s="387"/>
      <c r="AO33" s="387"/>
      <c r="AP33" s="387"/>
      <c r="AQ33" s="387"/>
      <c r="AR33" s="387"/>
      <c r="AS33" s="387"/>
      <c r="AT33" s="387"/>
      <c r="AU33" s="387"/>
      <c r="AV33" s="387"/>
      <c r="AW33" s="387"/>
      <c r="AX33" s="387"/>
      <c r="AY33" s="387"/>
      <c r="AZ33" s="387"/>
      <c r="BA33" s="387"/>
    </row>
    <row r="34" spans="2:53" x14ac:dyDescent="0.25">
      <c r="B34" s="356">
        <f t="shared" si="8"/>
        <v>11</v>
      </c>
      <c r="C34" s="357">
        <v>0</v>
      </c>
      <c r="D34" s="357">
        <v>11</v>
      </c>
      <c r="E34" s="357">
        <f t="shared" si="9"/>
        <v>29</v>
      </c>
      <c r="F34" s="356">
        <f t="shared" si="10"/>
        <v>101704.4842689702</v>
      </c>
      <c r="G34" s="356">
        <f>IF($G$4="mensual",$G$3,0)</f>
        <v>10000</v>
      </c>
      <c r="H34" s="356">
        <f t="shared" si="1"/>
        <v>890.7472440990399</v>
      </c>
      <c r="I34" s="356">
        <v>0</v>
      </c>
      <c r="J34" s="356">
        <v>0</v>
      </c>
      <c r="K34" s="356">
        <f t="shared" si="11"/>
        <v>-112.59523151306925</v>
      </c>
      <c r="L34" s="356">
        <f t="shared" si="2"/>
        <v>112482.63628155617</v>
      </c>
      <c r="N34" s="356">
        <f t="shared" si="12"/>
        <v>11</v>
      </c>
      <c r="O34" s="357">
        <v>0</v>
      </c>
      <c r="P34" s="357">
        <v>11</v>
      </c>
      <c r="Q34" s="357">
        <f t="shared" si="13"/>
        <v>0</v>
      </c>
      <c r="R34" s="356">
        <f t="shared" si="14"/>
        <v>0</v>
      </c>
      <c r="S34" s="356"/>
      <c r="T34" s="356">
        <f t="shared" si="3"/>
        <v>0</v>
      </c>
      <c r="U34" s="356">
        <v>0</v>
      </c>
      <c r="V34" s="356">
        <v>0</v>
      </c>
      <c r="X34" s="356">
        <f t="shared" si="4"/>
        <v>0</v>
      </c>
      <c r="Y34" s="356">
        <f t="shared" si="5"/>
        <v>0</v>
      </c>
      <c r="AA34" s="357">
        <f>+Bono!J34</f>
        <v>112484.12217597537</v>
      </c>
      <c r="AC34" s="378">
        <f t="shared" si="6"/>
        <v>0.9166666666666666</v>
      </c>
      <c r="AD34" s="356">
        <f t="shared" si="7"/>
        <v>224966.75845753154</v>
      </c>
      <c r="AG34" s="356">
        <f t="shared" si="15"/>
        <v>10</v>
      </c>
      <c r="AH34" s="356">
        <f t="shared" si="16"/>
        <v>120000</v>
      </c>
      <c r="AK34" s="387"/>
      <c r="AL34" s="387"/>
      <c r="AM34" s="387"/>
      <c r="AN34" s="387"/>
      <c r="AO34" s="387"/>
      <c r="AP34" s="387"/>
      <c r="AQ34" s="387"/>
      <c r="AR34" s="387"/>
      <c r="AS34" s="387"/>
      <c r="AT34" s="387"/>
      <c r="AU34" s="387"/>
      <c r="AV34" s="387"/>
      <c r="AW34" s="387"/>
      <c r="AX34" s="387"/>
      <c r="AY34" s="387"/>
      <c r="AZ34" s="387"/>
      <c r="BA34" s="387"/>
    </row>
    <row r="35" spans="2:53" x14ac:dyDescent="0.25">
      <c r="B35" s="356">
        <f t="shared" si="8"/>
        <v>12</v>
      </c>
      <c r="C35" s="357">
        <v>0</v>
      </c>
      <c r="D35" s="357">
        <v>12</v>
      </c>
      <c r="E35" s="357">
        <f t="shared" si="9"/>
        <v>29</v>
      </c>
      <c r="F35" s="356">
        <f t="shared" si="10"/>
        <v>112482.63628155617</v>
      </c>
      <c r="G35" s="356">
        <f>IF($G$4="mensual",$G$3,0)</f>
        <v>10000</v>
      </c>
      <c r="H35" s="356">
        <f t="shared" si="1"/>
        <v>976.6937418114721</v>
      </c>
      <c r="I35" s="356">
        <v>0</v>
      </c>
      <c r="J35" s="360">
        <f>-SUM(F35:H35)*$J$21</f>
        <v>-1111.133970210309</v>
      </c>
      <c r="K35" s="356">
        <f t="shared" si="11"/>
        <v>-122.34819605315732</v>
      </c>
      <c r="L35" s="356">
        <f t="shared" si="2"/>
        <v>122225.84785710416</v>
      </c>
      <c r="N35" s="356">
        <f t="shared" si="12"/>
        <v>12</v>
      </c>
      <c r="O35" s="357">
        <v>0</v>
      </c>
      <c r="P35" s="357">
        <v>12</v>
      </c>
      <c r="Q35" s="357">
        <f t="shared" si="13"/>
        <v>0</v>
      </c>
      <c r="R35" s="356">
        <f t="shared" si="14"/>
        <v>0</v>
      </c>
      <c r="T35" s="356">
        <f t="shared" si="3"/>
        <v>0</v>
      </c>
      <c r="U35" s="356">
        <v>0</v>
      </c>
      <c r="V35" s="356">
        <v>0</v>
      </c>
      <c r="X35" s="356">
        <f t="shared" si="4"/>
        <v>0</v>
      </c>
      <c r="Y35" s="356">
        <f t="shared" si="5"/>
        <v>0</v>
      </c>
      <c r="AA35" s="357">
        <f>+Bono!J35</f>
        <v>122133.23579713491</v>
      </c>
      <c r="AC35" s="378">
        <f t="shared" si="6"/>
        <v>1</v>
      </c>
      <c r="AD35" s="356">
        <f t="shared" si="7"/>
        <v>244359.08365423908</v>
      </c>
      <c r="AG35" s="356">
        <f t="shared" si="15"/>
        <v>11</v>
      </c>
      <c r="AH35" s="356">
        <f t="shared" si="16"/>
        <v>120000</v>
      </c>
      <c r="AK35" s="387"/>
      <c r="AL35" s="387"/>
      <c r="AM35" s="387"/>
      <c r="AN35" s="387"/>
      <c r="AO35" s="387"/>
      <c r="AP35" s="387"/>
      <c r="AQ35" s="387"/>
      <c r="AR35" s="387"/>
      <c r="AS35" s="387"/>
      <c r="AT35" s="387"/>
      <c r="AU35" s="387"/>
      <c r="AV35" s="387"/>
      <c r="AW35" s="387"/>
      <c r="AX35" s="387"/>
      <c r="AY35" s="387"/>
      <c r="AZ35" s="387"/>
      <c r="BA35" s="387"/>
    </row>
    <row r="36" spans="2:53" x14ac:dyDescent="0.25">
      <c r="B36" s="356">
        <f t="shared" si="8"/>
        <v>13</v>
      </c>
      <c r="C36" s="357">
        <f t="shared" ref="C36:C99" si="17">C24+1</f>
        <v>1</v>
      </c>
      <c r="D36" s="357">
        <f t="shared" ref="D36:D99" si="18">D24</f>
        <v>1</v>
      </c>
      <c r="E36" s="357">
        <f t="shared" ref="E36:E99" si="19">E24+1</f>
        <v>30</v>
      </c>
      <c r="F36" s="356">
        <f t="shared" si="10"/>
        <v>122225.84785710416</v>
      </c>
      <c r="G36" s="356">
        <f>IF(AND(G4="Anual",$G$17="si"),G24*(1+$G$20)/2,IF(AND(G4="Anual",G17="No"),G24/2,IF(G17="Si",G24*(1+$G$20),G24)))</f>
        <v>10000</v>
      </c>
      <c r="H36" s="356">
        <f t="shared" si="1"/>
        <v>1054.3874791434123</v>
      </c>
      <c r="I36" s="356">
        <v>0</v>
      </c>
      <c r="J36" s="356">
        <v>0</v>
      </c>
      <c r="K36" s="356">
        <f t="shared" si="11"/>
        <v>-133.28023533624759</v>
      </c>
      <c r="L36" s="356">
        <f t="shared" si="2"/>
        <v>133146.95510091132</v>
      </c>
      <c r="N36" s="356">
        <f t="shared" si="12"/>
        <v>13</v>
      </c>
      <c r="O36" s="357">
        <f t="shared" ref="O36:O99" si="20">O24+1</f>
        <v>1</v>
      </c>
      <c r="P36" s="357">
        <f t="shared" ref="P36:P99" si="21">P24</f>
        <v>1</v>
      </c>
      <c r="Q36" s="357">
        <f t="shared" ref="Q36:Q99" si="22">Q24+1</f>
        <v>1</v>
      </c>
      <c r="R36" s="356">
        <f t="shared" si="14"/>
        <v>0</v>
      </c>
      <c r="S36" s="356">
        <f>IF(G4="Anual",G36,0)</f>
        <v>0</v>
      </c>
      <c r="U36" s="356">
        <f t="shared" ref="U36:U99" si="23">SUM(R36:T36)*$G$8</f>
        <v>0</v>
      </c>
      <c r="V36" s="356">
        <v>0</v>
      </c>
      <c r="X36" s="356">
        <f t="shared" si="4"/>
        <v>0</v>
      </c>
      <c r="Y36" s="356">
        <f t="shared" si="5"/>
        <v>0</v>
      </c>
      <c r="AA36" s="357">
        <f>+Bono!J36</f>
        <v>122890.47602565565</v>
      </c>
      <c r="AC36" s="378">
        <f t="shared" si="6"/>
        <v>1.0833333333333333</v>
      </c>
      <c r="AD36" s="356">
        <f t="shared" si="7"/>
        <v>256037.43112656695</v>
      </c>
      <c r="AG36" s="356">
        <f t="shared" si="15"/>
        <v>12</v>
      </c>
      <c r="AH36" s="356">
        <f t="shared" si="16"/>
        <v>120000</v>
      </c>
      <c r="AK36" s="387" t="s">
        <v>119</v>
      </c>
      <c r="AL36" s="387"/>
      <c r="AM36" s="387"/>
      <c r="AN36" s="387"/>
      <c r="AO36" s="387"/>
      <c r="AP36" s="387"/>
      <c r="AQ36" s="387"/>
      <c r="AR36" s="387"/>
      <c r="AS36" s="387"/>
      <c r="AT36" s="387"/>
      <c r="AU36" s="387"/>
      <c r="AV36" s="387"/>
      <c r="AW36" s="387"/>
      <c r="AX36" s="387"/>
      <c r="AY36" s="387"/>
      <c r="AZ36" s="387"/>
      <c r="BA36" s="387"/>
    </row>
    <row r="37" spans="2:53" x14ac:dyDescent="0.25">
      <c r="B37" s="356">
        <f t="shared" si="8"/>
        <v>14</v>
      </c>
      <c r="C37" s="357">
        <f t="shared" si="17"/>
        <v>1</v>
      </c>
      <c r="D37" s="357">
        <f t="shared" si="18"/>
        <v>2</v>
      </c>
      <c r="E37" s="357">
        <f t="shared" si="19"/>
        <v>30</v>
      </c>
      <c r="F37" s="356">
        <f t="shared" si="10"/>
        <v>133146.95510091132</v>
      </c>
      <c r="G37" s="356">
        <f>+IF($G$4="mensual",G36,0)</f>
        <v>10000</v>
      </c>
      <c r="H37" s="356">
        <f t="shared" si="1"/>
        <v>1141.473921944649</v>
      </c>
      <c r="I37" s="356">
        <v>0</v>
      </c>
      <c r="J37" s="356">
        <v>0</v>
      </c>
      <c r="K37" s="356">
        <f t="shared" si="11"/>
        <v>-144.28842902285598</v>
      </c>
      <c r="L37" s="356">
        <f t="shared" si="2"/>
        <v>144144.14059383312</v>
      </c>
      <c r="N37" s="356">
        <f t="shared" si="12"/>
        <v>14</v>
      </c>
      <c r="O37" s="357">
        <f t="shared" si="20"/>
        <v>1</v>
      </c>
      <c r="P37" s="357">
        <f t="shared" si="21"/>
        <v>2</v>
      </c>
      <c r="Q37" s="357">
        <f t="shared" si="22"/>
        <v>1</v>
      </c>
      <c r="R37" s="356">
        <f t="shared" si="14"/>
        <v>0</v>
      </c>
      <c r="U37" s="356">
        <f t="shared" si="23"/>
        <v>0</v>
      </c>
      <c r="V37" s="356">
        <v>0</v>
      </c>
      <c r="X37" s="356">
        <f t="shared" si="4"/>
        <v>0</v>
      </c>
      <c r="Y37" s="356">
        <f t="shared" si="5"/>
        <v>0</v>
      </c>
      <c r="AA37" s="357">
        <f>+Bono!J37</f>
        <v>123652.41123142766</v>
      </c>
      <c r="AC37" s="378">
        <f t="shared" si="6"/>
        <v>1.1666666666666667</v>
      </c>
      <c r="AD37" s="356">
        <f t="shared" si="7"/>
        <v>267796.55182526074</v>
      </c>
      <c r="AG37" s="356">
        <f t="shared" si="15"/>
        <v>13</v>
      </c>
      <c r="AH37" s="356">
        <f t="shared" si="16"/>
        <v>120000</v>
      </c>
      <c r="AK37" s="387"/>
      <c r="AL37" s="387"/>
      <c r="AM37" s="387"/>
      <c r="AN37" s="387"/>
      <c r="AO37" s="387"/>
      <c r="AP37" s="387"/>
      <c r="AQ37" s="387"/>
      <c r="AR37" s="387"/>
      <c r="AS37" s="387"/>
      <c r="AT37" s="387"/>
      <c r="AU37" s="387"/>
      <c r="AV37" s="387"/>
      <c r="AW37" s="387"/>
      <c r="AX37" s="387"/>
      <c r="AY37" s="387"/>
      <c r="AZ37" s="387"/>
      <c r="BA37" s="387"/>
    </row>
    <row r="38" spans="2:53" x14ac:dyDescent="0.25">
      <c r="B38" s="356">
        <f t="shared" si="8"/>
        <v>15</v>
      </c>
      <c r="C38" s="357">
        <f t="shared" si="17"/>
        <v>1</v>
      </c>
      <c r="D38" s="357">
        <f t="shared" si="18"/>
        <v>3</v>
      </c>
      <c r="E38" s="357">
        <f t="shared" si="19"/>
        <v>30</v>
      </c>
      <c r="F38" s="356">
        <f t="shared" si="10"/>
        <v>144144.14059383312</v>
      </c>
      <c r="G38" s="356">
        <f>+G37</f>
        <v>10000</v>
      </c>
      <c r="H38" s="356">
        <f t="shared" si="1"/>
        <v>1229.1670233879106</v>
      </c>
      <c r="I38" s="356">
        <v>0</v>
      </c>
      <c r="J38" s="360">
        <f>-SUM(F38:H38)*$J$21</f>
        <v>-1398.3597685549894</v>
      </c>
      <c r="K38" s="356">
        <f t="shared" si="11"/>
        <v>-153.97494784866606</v>
      </c>
      <c r="L38" s="356">
        <f t="shared" si="2"/>
        <v>153820.97290081737</v>
      </c>
      <c r="N38" s="356">
        <f t="shared" si="12"/>
        <v>15</v>
      </c>
      <c r="O38" s="357">
        <f t="shared" si="20"/>
        <v>1</v>
      </c>
      <c r="P38" s="357">
        <f t="shared" si="21"/>
        <v>3</v>
      </c>
      <c r="Q38" s="357">
        <f t="shared" si="22"/>
        <v>1</v>
      </c>
      <c r="R38" s="356">
        <f t="shared" si="14"/>
        <v>0</v>
      </c>
      <c r="U38" s="356">
        <f t="shared" si="23"/>
        <v>0</v>
      </c>
      <c r="V38" s="356">
        <v>0</v>
      </c>
      <c r="X38" s="356">
        <f t="shared" si="4"/>
        <v>0</v>
      </c>
      <c r="Y38" s="356">
        <f t="shared" si="5"/>
        <v>0</v>
      </c>
      <c r="AA38" s="357">
        <f>+Bono!J38</f>
        <v>123298.17799661253</v>
      </c>
      <c r="AC38" s="378">
        <f t="shared" si="6"/>
        <v>1.25</v>
      </c>
      <c r="AD38" s="356">
        <f t="shared" si="7"/>
        <v>277119.1508974299</v>
      </c>
      <c r="AG38" s="356">
        <f t="shared" si="15"/>
        <v>14</v>
      </c>
      <c r="AH38" s="356">
        <f t="shared" si="16"/>
        <v>120000</v>
      </c>
      <c r="AK38" s="387"/>
      <c r="AL38" s="387"/>
      <c r="AM38" s="387"/>
      <c r="AN38" s="387"/>
      <c r="AO38" s="387"/>
      <c r="AP38" s="387"/>
      <c r="AQ38" s="387"/>
      <c r="AR38" s="387"/>
      <c r="AS38" s="387"/>
      <c r="AT38" s="387"/>
      <c r="AU38" s="387"/>
      <c r="AV38" s="387"/>
      <c r="AW38" s="387"/>
      <c r="AX38" s="387"/>
      <c r="AY38" s="387"/>
      <c r="AZ38" s="387"/>
      <c r="BA38" s="387"/>
    </row>
    <row r="39" spans="2:53" x14ac:dyDescent="0.25">
      <c r="B39" s="356">
        <f t="shared" si="8"/>
        <v>16</v>
      </c>
      <c r="C39" s="357">
        <f t="shared" si="17"/>
        <v>1</v>
      </c>
      <c r="D39" s="357">
        <f t="shared" si="18"/>
        <v>4</v>
      </c>
      <c r="E39" s="357">
        <f t="shared" si="19"/>
        <v>30</v>
      </c>
      <c r="F39" s="356">
        <f t="shared" si="10"/>
        <v>153820.97290081737</v>
      </c>
      <c r="G39" s="356">
        <f>IF($G$4="mensual",G36,IF($G$4="trimestral",G36,0))</f>
        <v>10000</v>
      </c>
      <c r="H39" s="356">
        <f t="shared" si="1"/>
        <v>1306.3314431107558</v>
      </c>
      <c r="I39" s="356">
        <v>0</v>
      </c>
      <c r="J39" s="356">
        <v>0</v>
      </c>
      <c r="K39" s="356">
        <f t="shared" si="11"/>
        <v>-165.12730434392813</v>
      </c>
      <c r="L39" s="356">
        <f t="shared" si="2"/>
        <v>164962.1770395842</v>
      </c>
      <c r="N39" s="356">
        <f t="shared" si="12"/>
        <v>16</v>
      </c>
      <c r="O39" s="357">
        <f t="shared" si="20"/>
        <v>1</v>
      </c>
      <c r="P39" s="357">
        <f t="shared" si="21"/>
        <v>4</v>
      </c>
      <c r="Q39" s="357">
        <f t="shared" si="22"/>
        <v>1</v>
      </c>
      <c r="R39" s="356">
        <f t="shared" si="14"/>
        <v>0</v>
      </c>
      <c r="U39" s="356">
        <f t="shared" si="23"/>
        <v>0</v>
      </c>
      <c r="V39" s="356">
        <v>0</v>
      </c>
      <c r="X39" s="356">
        <f t="shared" si="4"/>
        <v>0</v>
      </c>
      <c r="Y39" s="356">
        <f t="shared" si="5"/>
        <v>0</v>
      </c>
      <c r="AA39" s="357">
        <f>+Bono!J39</f>
        <v>124062.64100189497</v>
      </c>
      <c r="AC39" s="378">
        <f t="shared" si="6"/>
        <v>1.3333333333333333</v>
      </c>
      <c r="AD39" s="356">
        <f t="shared" si="7"/>
        <v>289024.81804147916</v>
      </c>
      <c r="AG39" s="356">
        <f t="shared" si="15"/>
        <v>15</v>
      </c>
      <c r="AH39" s="356">
        <f t="shared" si="16"/>
        <v>120000</v>
      </c>
      <c r="AK39" s="387"/>
      <c r="AL39" s="387"/>
      <c r="AM39" s="387"/>
      <c r="AN39" s="387"/>
      <c r="AO39" s="387"/>
      <c r="AP39" s="387"/>
      <c r="AQ39" s="387"/>
      <c r="AR39" s="387"/>
      <c r="AS39" s="387"/>
      <c r="AT39" s="387"/>
      <c r="AU39" s="387"/>
      <c r="AV39" s="387"/>
      <c r="AW39" s="387"/>
      <c r="AX39" s="387"/>
      <c r="AY39" s="387"/>
      <c r="AZ39" s="387"/>
      <c r="BA39" s="387"/>
    </row>
    <row r="40" spans="2:34" x14ac:dyDescent="0.25">
      <c r="B40" s="356">
        <f t="shared" si="8"/>
        <v>17</v>
      </c>
      <c r="C40" s="357">
        <f t="shared" si="17"/>
        <v>1</v>
      </c>
      <c r="D40" s="357">
        <f t="shared" si="18"/>
        <v>5</v>
      </c>
      <c r="E40" s="357">
        <f t="shared" si="19"/>
        <v>30</v>
      </c>
      <c r="F40" s="356">
        <f t="shared" si="10"/>
        <v>164962.1770395842</v>
      </c>
      <c r="G40" s="356">
        <f>+IF($G$4="mensual",G39,0)</f>
        <v>10000</v>
      </c>
      <c r="H40" s="356">
        <f t="shared" si="1"/>
        <v>1395.1729694603664</v>
      </c>
      <c r="I40" s="356">
        <v>0</v>
      </c>
      <c r="J40" s="356">
        <v>0</v>
      </c>
      <c r="K40" s="356">
        <f t="shared" si="11"/>
        <v>-176.35735000904458</v>
      </c>
      <c r="L40" s="356">
        <f t="shared" si="2"/>
        <v>176180.99265903552</v>
      </c>
      <c r="N40" s="356">
        <f t="shared" si="12"/>
        <v>17</v>
      </c>
      <c r="O40" s="357">
        <f t="shared" si="20"/>
        <v>1</v>
      </c>
      <c r="P40" s="357">
        <f t="shared" si="21"/>
        <v>5</v>
      </c>
      <c r="Q40" s="357">
        <f t="shared" si="22"/>
        <v>1</v>
      </c>
      <c r="R40" s="356">
        <f t="shared" si="14"/>
        <v>0</v>
      </c>
      <c r="U40" s="356">
        <f t="shared" si="23"/>
        <v>0</v>
      </c>
      <c r="V40" s="356">
        <v>0</v>
      </c>
      <c r="X40" s="356">
        <f t="shared" si="4"/>
        <v>0</v>
      </c>
      <c r="Y40" s="356">
        <f t="shared" si="5"/>
        <v>0</v>
      </c>
      <c r="AA40" s="357">
        <f>+Bono!J40</f>
        <v>124831.84376648239</v>
      </c>
      <c r="AC40" s="378">
        <f t="shared" si="6"/>
        <v>1.4166666666666667</v>
      </c>
      <c r="AD40" s="356">
        <f t="shared" si="7"/>
        <v>301012.8364255179</v>
      </c>
      <c r="AG40" s="356">
        <f t="shared" si="15"/>
        <v>16</v>
      </c>
      <c r="AH40" s="356">
        <f t="shared" si="16"/>
        <v>120000</v>
      </c>
    </row>
    <row r="41" spans="2:34" x14ac:dyDescent="0.25">
      <c r="B41" s="356">
        <f t="shared" si="8"/>
        <v>18</v>
      </c>
      <c r="C41" s="357">
        <f t="shared" si="17"/>
        <v>1</v>
      </c>
      <c r="D41" s="357">
        <f t="shared" si="18"/>
        <v>6</v>
      </c>
      <c r="E41" s="357">
        <f t="shared" si="19"/>
        <v>30</v>
      </c>
      <c r="F41" s="356">
        <f t="shared" si="10"/>
        <v>176180.99265903552</v>
      </c>
      <c r="G41" s="356">
        <f>+G40</f>
        <v>10000</v>
      </c>
      <c r="H41" s="356">
        <f t="shared" si="1"/>
        <v>1484.63338065585</v>
      </c>
      <c r="I41" s="356">
        <v>0</v>
      </c>
      <c r="J41" s="360">
        <f>-SUM(F41:H41)*$J$21</f>
        <v>-1688.9906343572225</v>
      </c>
      <c r="K41" s="356">
        <f t="shared" si="11"/>
        <v>-185.97663540533412</v>
      </c>
      <c r="L41" s="356">
        <f t="shared" si="2"/>
        <v>185790.6587699288</v>
      </c>
      <c r="N41" s="356">
        <f t="shared" si="12"/>
        <v>18</v>
      </c>
      <c r="O41" s="357">
        <f t="shared" si="20"/>
        <v>1</v>
      </c>
      <c r="P41" s="357">
        <f t="shared" si="21"/>
        <v>6</v>
      </c>
      <c r="Q41" s="357">
        <f t="shared" si="22"/>
        <v>1</v>
      </c>
      <c r="R41" s="356">
        <f t="shared" si="14"/>
        <v>0</v>
      </c>
      <c r="S41" s="356">
        <v>0</v>
      </c>
      <c r="U41" s="356">
        <f t="shared" si="23"/>
        <v>0</v>
      </c>
      <c r="V41" s="356">
        <v>0</v>
      </c>
      <c r="X41" s="356">
        <f t="shared" si="4"/>
        <v>0</v>
      </c>
      <c r="Y41" s="356">
        <f t="shared" si="5"/>
        <v>0</v>
      </c>
      <c r="AA41" s="357">
        <f>+Bono!J41</f>
        <v>124474.23175241033</v>
      </c>
      <c r="AC41" s="378">
        <f t="shared" si="6"/>
        <v>1.5</v>
      </c>
      <c r="AD41" s="356">
        <f t="shared" si="7"/>
        <v>310264.89052233915</v>
      </c>
      <c r="AG41" s="356">
        <f t="shared" si="15"/>
        <v>17</v>
      </c>
      <c r="AH41" s="356">
        <f t="shared" si="16"/>
        <v>120000</v>
      </c>
    </row>
    <row r="42" spans="2:34" x14ac:dyDescent="0.25">
      <c r="B42" s="356">
        <f t="shared" si="8"/>
        <v>19</v>
      </c>
      <c r="C42" s="357">
        <f t="shared" si="17"/>
        <v>1</v>
      </c>
      <c r="D42" s="357">
        <f t="shared" si="18"/>
        <v>7</v>
      </c>
      <c r="E42" s="357">
        <f t="shared" si="19"/>
        <v>30</v>
      </c>
      <c r="F42" s="356">
        <f t="shared" si="10"/>
        <v>185790.6587699288</v>
      </c>
      <c r="H42" s="356">
        <f t="shared" si="1"/>
        <v>1481.5208034099528</v>
      </c>
      <c r="I42" s="356">
        <v>0</v>
      </c>
      <c r="J42" s="356">
        <v>0</v>
      </c>
      <c r="K42" s="356">
        <f t="shared" si="11"/>
        <v>-187.27217957333875</v>
      </c>
      <c r="L42" s="356">
        <f t="shared" si="2"/>
        <v>187084.9073937654</v>
      </c>
      <c r="N42" s="356">
        <f t="shared" si="12"/>
        <v>19</v>
      </c>
      <c r="O42" s="357">
        <f t="shared" si="20"/>
        <v>1</v>
      </c>
      <c r="P42" s="357">
        <f t="shared" si="21"/>
        <v>7</v>
      </c>
      <c r="Q42" s="357">
        <f t="shared" si="22"/>
        <v>1</v>
      </c>
      <c r="R42" s="356">
        <f t="shared" si="14"/>
        <v>0</v>
      </c>
      <c r="S42" s="356">
        <f>+IF($G$4="mensual",G36,IF($G$4="trimestral",G36,IF(G4="semestral",G36,0)))</f>
        <v>10000</v>
      </c>
      <c r="U42" s="356">
        <f t="shared" si="23"/>
        <v>79.74140428903765</v>
      </c>
      <c r="V42" s="356">
        <f>-15*G19*(1+$G$18)</f>
        <v>-79.248</v>
      </c>
      <c r="X42" s="356">
        <f t="shared" si="4"/>
        <v>-10.079741404289038</v>
      </c>
      <c r="Y42" s="356">
        <f t="shared" si="5"/>
        <v>9990.41366288475</v>
      </c>
      <c r="AA42" s="357">
        <f>+Bono!J42</f>
        <v>125245.9864273925</v>
      </c>
      <c r="AC42" s="378">
        <f t="shared" si="6"/>
        <v>1.5833333333333333</v>
      </c>
      <c r="AD42" s="356">
        <f t="shared" si="7"/>
        <v>322321.30748404266</v>
      </c>
      <c r="AG42" s="356">
        <f t="shared" si="15"/>
        <v>18</v>
      </c>
      <c r="AH42" s="356">
        <f t="shared" si="16"/>
        <v>120000</v>
      </c>
    </row>
    <row r="43" spans="2:34" x14ac:dyDescent="0.25">
      <c r="B43" s="356">
        <f t="shared" si="8"/>
        <v>20</v>
      </c>
      <c r="C43" s="357">
        <f t="shared" si="17"/>
        <v>1</v>
      </c>
      <c r="D43" s="357">
        <f t="shared" si="18"/>
        <v>8</v>
      </c>
      <c r="E43" s="357">
        <f t="shared" si="19"/>
        <v>30</v>
      </c>
      <c r="F43" s="356">
        <f t="shared" si="10"/>
        <v>187084.9073937654</v>
      </c>
      <c r="H43" s="356">
        <f t="shared" si="1"/>
        <v>1491.8413236863414</v>
      </c>
      <c r="I43" s="356">
        <v>0</v>
      </c>
      <c r="J43" s="356">
        <v>0</v>
      </c>
      <c r="K43" s="356">
        <f t="shared" si="11"/>
        <v>-188.57674871745172</v>
      </c>
      <c r="L43" s="356">
        <f t="shared" si="2"/>
        <v>188388.17196873427</v>
      </c>
      <c r="N43" s="356">
        <f t="shared" si="12"/>
        <v>20</v>
      </c>
      <c r="O43" s="357">
        <f t="shared" si="20"/>
        <v>1</v>
      </c>
      <c r="P43" s="357">
        <f t="shared" si="21"/>
        <v>8</v>
      </c>
      <c r="Q43" s="357">
        <f t="shared" si="22"/>
        <v>1</v>
      </c>
      <c r="R43" s="356">
        <f t="shared" si="14"/>
        <v>9990.41366288475</v>
      </c>
      <c r="S43" s="356">
        <f>IF($G$4="mensual",G36,0)</f>
        <v>10000</v>
      </c>
      <c r="U43" s="356">
        <f t="shared" si="23"/>
        <v>159.40636577971947</v>
      </c>
      <c r="V43" s="356">
        <f>V42</f>
        <v>-79.248</v>
      </c>
      <c r="X43" s="356">
        <f t="shared" si="4"/>
        <v>-20.149820028664468</v>
      </c>
      <c r="Y43" s="356">
        <f t="shared" si="5"/>
        <v>20050.422208635802</v>
      </c>
      <c r="AA43" s="357">
        <f>+Bono!J43</f>
        <v>126022.52607087757</v>
      </c>
      <c r="AC43" s="378">
        <f t="shared" si="6"/>
        <v>1.6666666666666667</v>
      </c>
      <c r="AD43" s="356">
        <f t="shared" si="7"/>
        <v>334461.12024824764</v>
      </c>
      <c r="AG43" s="356">
        <f t="shared" si="15"/>
        <v>19</v>
      </c>
      <c r="AH43" s="356">
        <f t="shared" si="16"/>
        <v>120000</v>
      </c>
    </row>
    <row r="44" spans="2:34" x14ac:dyDescent="0.25">
      <c r="B44" s="356">
        <f t="shared" si="8"/>
        <v>21</v>
      </c>
      <c r="C44" s="357">
        <f t="shared" si="17"/>
        <v>1</v>
      </c>
      <c r="D44" s="357">
        <f t="shared" si="18"/>
        <v>9</v>
      </c>
      <c r="E44" s="357">
        <f t="shared" si="19"/>
        <v>30</v>
      </c>
      <c r="F44" s="356">
        <f t="shared" si="10"/>
        <v>188388.17196873427</v>
      </c>
      <c r="H44" s="356">
        <f t="shared" si="1"/>
        <v>1502.233738423159</v>
      </c>
      <c r="I44" s="356">
        <v>0</v>
      </c>
      <c r="J44" s="360">
        <f>-SUM(F44:H44)*$J$21</f>
        <v>-1709.013651364417</v>
      </c>
      <c r="K44" s="356">
        <f t="shared" si="11"/>
        <v>-188.181392055793</v>
      </c>
      <c r="L44" s="356">
        <f t="shared" si="2"/>
        <v>187993.2106637372</v>
      </c>
      <c r="N44" s="356">
        <f t="shared" si="12"/>
        <v>21</v>
      </c>
      <c r="O44" s="357">
        <f t="shared" si="20"/>
        <v>1</v>
      </c>
      <c r="P44" s="357">
        <f t="shared" si="21"/>
        <v>9</v>
      </c>
      <c r="Q44" s="357">
        <f t="shared" si="22"/>
        <v>1</v>
      </c>
      <c r="R44" s="356">
        <f t="shared" si="14"/>
        <v>20050.422208635802</v>
      </c>
      <c r="S44" s="356">
        <f>IF($G$4="mensual",G36,0)</f>
        <v>10000</v>
      </c>
      <c r="U44" s="356">
        <f t="shared" si="23"/>
        <v>239.6262866395103</v>
      </c>
      <c r="V44" s="356">
        <f>V43</f>
        <v>-79.248</v>
      </c>
      <c r="X44" s="356">
        <f t="shared" si="4"/>
        <v>-30.290048495275315</v>
      </c>
      <c r="Y44" s="356">
        <f t="shared" si="5"/>
        <v>30180.510446780037</v>
      </c>
      <c r="AA44" s="357">
        <f>+Bono!J44</f>
        <v>125661.50304977279</v>
      </c>
      <c r="AC44" s="378">
        <f t="shared" si="6"/>
        <v>1.75</v>
      </c>
      <c r="AD44" s="356">
        <f t="shared" si="7"/>
        <v>343835.22416029003</v>
      </c>
      <c r="AG44" s="356">
        <f t="shared" si="15"/>
        <v>20</v>
      </c>
      <c r="AH44" s="356">
        <f t="shared" si="16"/>
        <v>120000</v>
      </c>
    </row>
    <row r="45" spans="2:34" x14ac:dyDescent="0.25">
      <c r="B45" s="356">
        <f t="shared" si="8"/>
        <v>22</v>
      </c>
      <c r="C45" s="357">
        <f t="shared" si="17"/>
        <v>1</v>
      </c>
      <c r="D45" s="357">
        <f t="shared" si="18"/>
        <v>10</v>
      </c>
      <c r="E45" s="357">
        <f t="shared" si="19"/>
        <v>30</v>
      </c>
      <c r="F45" s="356">
        <f t="shared" si="10"/>
        <v>187993.2106637372</v>
      </c>
      <c r="H45" s="356">
        <f t="shared" si="1"/>
        <v>1499.0842615131291</v>
      </c>
      <c r="I45" s="356">
        <v>0</v>
      </c>
      <c r="J45" s="356">
        <v>0</v>
      </c>
      <c r="K45" s="356">
        <f t="shared" si="11"/>
        <v>-189.49229492525035</v>
      </c>
      <c r="L45" s="356">
        <f t="shared" si="2"/>
        <v>189302.8026303251</v>
      </c>
      <c r="N45" s="356">
        <f t="shared" si="12"/>
        <v>22</v>
      </c>
      <c r="O45" s="357">
        <f t="shared" si="20"/>
        <v>1</v>
      </c>
      <c r="P45" s="357">
        <f t="shared" si="21"/>
        <v>10</v>
      </c>
      <c r="Q45" s="357">
        <f t="shared" si="22"/>
        <v>1</v>
      </c>
      <c r="R45" s="356">
        <f t="shared" si="14"/>
        <v>30180.510446780037</v>
      </c>
      <c r="S45" s="356">
        <f>IF($G$4="mensual",G36,IF($G$4="trimestral",G36,0))</f>
        <v>10000</v>
      </c>
      <c r="U45" s="356">
        <f t="shared" si="23"/>
        <v>320.40503280765876</v>
      </c>
      <c r="V45" s="356">
        <f>V44</f>
        <v>-79.248</v>
      </c>
      <c r="X45" s="356">
        <f t="shared" si="4"/>
        <v>-40.5009154795877</v>
      </c>
      <c r="Y45" s="356">
        <f t="shared" si="5"/>
        <v>40381.16656410811</v>
      </c>
      <c r="AA45" s="357">
        <f>+Bono!J45</f>
        <v>126440.61894451355</v>
      </c>
      <c r="AC45" s="378">
        <f t="shared" si="6"/>
        <v>1.8333333333333333</v>
      </c>
      <c r="AD45" s="356">
        <f t="shared" si="7"/>
        <v>356124.5881389468</v>
      </c>
      <c r="AG45" s="356">
        <f t="shared" si="15"/>
        <v>21</v>
      </c>
      <c r="AH45" s="356">
        <f t="shared" si="16"/>
        <v>120000</v>
      </c>
    </row>
    <row r="46" spans="2:34" x14ac:dyDescent="0.25">
      <c r="B46" s="356">
        <f t="shared" si="8"/>
        <v>23</v>
      </c>
      <c r="C46" s="357">
        <f t="shared" si="17"/>
        <v>1</v>
      </c>
      <c r="D46" s="357">
        <f t="shared" si="18"/>
        <v>11</v>
      </c>
      <c r="E46" s="357">
        <f t="shared" si="19"/>
        <v>30</v>
      </c>
      <c r="F46" s="356">
        <f t="shared" si="10"/>
        <v>189302.8026303251</v>
      </c>
      <c r="H46" s="356">
        <f t="shared" si="1"/>
        <v>1509.5271317592653</v>
      </c>
      <c r="I46" s="356">
        <v>0</v>
      </c>
      <c r="J46" s="356">
        <v>0</v>
      </c>
      <c r="K46" s="356">
        <f t="shared" si="11"/>
        <v>-190.81232976208437</v>
      </c>
      <c r="L46" s="356">
        <f t="shared" si="2"/>
        <v>190621.5174323223</v>
      </c>
      <c r="N46" s="356">
        <f t="shared" si="12"/>
        <v>23</v>
      </c>
      <c r="O46" s="357">
        <f t="shared" si="20"/>
        <v>1</v>
      </c>
      <c r="P46" s="357">
        <f t="shared" si="21"/>
        <v>11</v>
      </c>
      <c r="Q46" s="357">
        <f t="shared" si="22"/>
        <v>1</v>
      </c>
      <c r="R46" s="356">
        <f t="shared" si="14"/>
        <v>40381.16656410811</v>
      </c>
      <c r="S46" s="356">
        <f>IF($G$4="mensual",G36,0)</f>
        <v>10000</v>
      </c>
      <c r="U46" s="356">
        <f t="shared" si="23"/>
        <v>401.74649715418906</v>
      </c>
      <c r="V46" s="356">
        <f>V45</f>
        <v>-79.248</v>
      </c>
      <c r="X46" s="356">
        <f t="shared" si="4"/>
        <v>-50.782913061262306</v>
      </c>
      <c r="Y46" s="356">
        <f t="shared" si="5"/>
        <v>50652.882148201046</v>
      </c>
      <c r="AA46" s="357">
        <f>+Bono!J46</f>
        <v>127224.56544817357</v>
      </c>
      <c r="AC46" s="378">
        <f t="shared" si="6"/>
        <v>1.9166666666666667</v>
      </c>
      <c r="AD46" s="356">
        <f t="shared" si="7"/>
        <v>368498.9650286969</v>
      </c>
      <c r="AG46" s="356">
        <f t="shared" si="15"/>
        <v>22</v>
      </c>
      <c r="AH46" s="356">
        <f t="shared" si="16"/>
        <v>120000</v>
      </c>
    </row>
    <row r="47" spans="2:34" x14ac:dyDescent="0.25">
      <c r="B47" s="356">
        <f t="shared" si="8"/>
        <v>24</v>
      </c>
      <c r="C47" s="357">
        <f t="shared" si="17"/>
        <v>1</v>
      </c>
      <c r="D47" s="357">
        <f t="shared" si="18"/>
        <v>12</v>
      </c>
      <c r="E47" s="357">
        <f t="shared" si="19"/>
        <v>30</v>
      </c>
      <c r="F47" s="356">
        <f t="shared" si="10"/>
        <v>190621.5174323223</v>
      </c>
      <c r="H47" s="356">
        <f t="shared" si="1"/>
        <v>1520.0427487760649</v>
      </c>
      <c r="I47" s="356">
        <v>0</v>
      </c>
      <c r="J47" s="360">
        <f>-SUM(F47:H47)*$J$21</f>
        <v>-1729.2740416298855</v>
      </c>
      <c r="K47" s="356">
        <f t="shared" si="11"/>
        <v>-190.41228613946845</v>
      </c>
      <c r="L47" s="356">
        <f t="shared" si="2"/>
        <v>190221.873853329</v>
      </c>
      <c r="N47" s="356">
        <f t="shared" si="12"/>
        <v>24</v>
      </c>
      <c r="O47" s="357">
        <f t="shared" si="20"/>
        <v>1</v>
      </c>
      <c r="P47" s="357">
        <f t="shared" si="21"/>
        <v>12</v>
      </c>
      <c r="Q47" s="357">
        <f t="shared" si="22"/>
        <v>1</v>
      </c>
      <c r="R47" s="356">
        <f t="shared" si="14"/>
        <v>50652.882148201046</v>
      </c>
      <c r="S47" s="356">
        <f>IF($G$4="mensual",G36,0)</f>
        <v>10000</v>
      </c>
      <c r="U47" s="356">
        <f t="shared" si="23"/>
        <v>483.65459966750535</v>
      </c>
      <c r="V47" s="356">
        <f>V46</f>
        <v>-79.248</v>
      </c>
      <c r="X47" s="356">
        <f t="shared" si="4"/>
        <v>-61.136536747868554</v>
      </c>
      <c r="Y47" s="356">
        <f t="shared" si="5"/>
        <v>60996.15221112068</v>
      </c>
      <c r="AA47" s="357">
        <f>+Bono!J47</f>
        <v>126860.09888486241</v>
      </c>
      <c r="AC47" s="378">
        <f t="shared" si="6"/>
        <v>2</v>
      </c>
      <c r="AD47" s="356">
        <f t="shared" si="7"/>
        <v>378078.12494931207</v>
      </c>
      <c r="AG47" s="356">
        <f t="shared" si="15"/>
        <v>23</v>
      </c>
      <c r="AH47" s="356">
        <f t="shared" si="16"/>
        <v>120000</v>
      </c>
    </row>
    <row r="48" spans="2:34" x14ac:dyDescent="0.25">
      <c r="B48" s="356">
        <f t="shared" si="8"/>
        <v>25</v>
      </c>
      <c r="C48" s="357">
        <f t="shared" si="17"/>
        <v>2</v>
      </c>
      <c r="D48" s="357">
        <f t="shared" si="18"/>
        <v>1</v>
      </c>
      <c r="E48" s="357">
        <f t="shared" si="19"/>
        <v>31</v>
      </c>
      <c r="F48" s="356">
        <f t="shared" si="10"/>
        <v>190221.873853329</v>
      </c>
      <c r="H48" s="356">
        <f t="shared" si="1"/>
        <v>1516.8559347556625</v>
      </c>
      <c r="I48" s="356">
        <v>0</v>
      </c>
      <c r="J48" s="356">
        <v>0</v>
      </c>
      <c r="K48" s="356">
        <f t="shared" si="11"/>
        <v>-191.73872978808467</v>
      </c>
      <c r="L48" s="356">
        <f t="shared" si="2"/>
        <v>191546.99105829658</v>
      </c>
      <c r="N48" s="356">
        <f t="shared" si="12"/>
        <v>25</v>
      </c>
      <c r="O48" s="357">
        <f t="shared" si="20"/>
        <v>2</v>
      </c>
      <c r="P48" s="357">
        <f t="shared" si="21"/>
        <v>1</v>
      </c>
      <c r="Q48" s="357">
        <f t="shared" si="22"/>
        <v>2</v>
      </c>
      <c r="R48" s="356">
        <f t="shared" si="14"/>
        <v>60996.15221112068</v>
      </c>
      <c r="S48" s="356">
        <f>IF(AND($G$17="si",$G$4="Anual"),G36*(1+$G$20)*2,IF(AND($G$17="no",$G$4="Anual"),G36*2,IF($G$17="si",G36*(1+$G$20),G36)))</f>
        <v>10000</v>
      </c>
      <c r="U48" s="356">
        <f t="shared" si="23"/>
        <v>566.1332876433028</v>
      </c>
      <c r="V48" s="356">
        <f>V47*(1+$G$18)</f>
        <v>-82.41792000000001</v>
      </c>
      <c r="X48" s="356">
        <f t="shared" si="4"/>
        <v>-71.56228549876397</v>
      </c>
      <c r="Y48" s="356">
        <f t="shared" si="5"/>
        <v>71408.3052932652</v>
      </c>
      <c r="AA48" s="357">
        <f>+Bono!J48</f>
        <v>127646.64621280924</v>
      </c>
      <c r="AC48" s="378">
        <f t="shared" si="6"/>
        <v>2.0833333333333335</v>
      </c>
      <c r="AD48" s="356">
        <f t="shared" si="7"/>
        <v>390601.94256437104</v>
      </c>
      <c r="AG48" s="356">
        <f t="shared" si="15"/>
        <v>24</v>
      </c>
      <c r="AH48" s="356">
        <f t="shared" si="16"/>
        <v>120000</v>
      </c>
    </row>
    <row r="49" spans="2:34" x14ac:dyDescent="0.25">
      <c r="B49" s="356">
        <f t="shared" si="8"/>
        <v>26</v>
      </c>
      <c r="C49" s="357">
        <f t="shared" si="17"/>
        <v>2</v>
      </c>
      <c r="D49" s="357">
        <f t="shared" si="18"/>
        <v>2</v>
      </c>
      <c r="E49" s="357">
        <f t="shared" si="19"/>
        <v>31</v>
      </c>
      <c r="F49" s="356">
        <f t="shared" si="10"/>
        <v>191546.99105829658</v>
      </c>
      <c r="H49" s="356">
        <f t="shared" si="1"/>
        <v>1527.4226054328306</v>
      </c>
      <c r="I49" s="356">
        <v>0</v>
      </c>
      <c r="J49" s="356">
        <v>0</v>
      </c>
      <c r="K49" s="356">
        <f t="shared" si="11"/>
        <v>-193.07441366372942</v>
      </c>
      <c r="L49" s="356">
        <f t="shared" si="2"/>
        <v>192881.33925006568</v>
      </c>
      <c r="N49" s="356">
        <f t="shared" si="12"/>
        <v>26</v>
      </c>
      <c r="O49" s="357">
        <f t="shared" si="20"/>
        <v>2</v>
      </c>
      <c r="P49" s="357">
        <f t="shared" si="21"/>
        <v>2</v>
      </c>
      <c r="Q49" s="357">
        <f t="shared" si="22"/>
        <v>2</v>
      </c>
      <c r="R49" s="356">
        <f t="shared" si="14"/>
        <v>71408.3052932652</v>
      </c>
      <c r="S49" s="356">
        <f>IF($G$4="mensual",S48,0)</f>
        <v>10000</v>
      </c>
      <c r="U49" s="356">
        <f t="shared" si="23"/>
        <v>649.1612584875664</v>
      </c>
      <c r="V49" s="356">
        <f>V48</f>
        <v>-82.41792000000001</v>
      </c>
      <c r="X49" s="356">
        <f t="shared" si="4"/>
        <v>-82.05746655175278</v>
      </c>
      <c r="Y49" s="356">
        <f t="shared" si="5"/>
        <v>81892.99116520102</v>
      </c>
      <c r="AA49" s="357">
        <f>+Bono!J49</f>
        <v>128438.07022542319</v>
      </c>
      <c r="AC49" s="378">
        <f t="shared" si="6"/>
        <v>2.1666666666666665</v>
      </c>
      <c r="AD49" s="356">
        <f t="shared" si="7"/>
        <v>403212.4006406899</v>
      </c>
      <c r="AG49" s="356">
        <f t="shared" si="15"/>
        <v>25</v>
      </c>
      <c r="AH49" s="356">
        <f t="shared" si="16"/>
        <v>120000</v>
      </c>
    </row>
    <row r="50" spans="2:41" x14ac:dyDescent="0.25">
      <c r="B50" s="356">
        <f t="shared" si="8"/>
        <v>27</v>
      </c>
      <c r="C50" s="357">
        <f t="shared" si="17"/>
        <v>2</v>
      </c>
      <c r="D50" s="357">
        <f t="shared" si="18"/>
        <v>3</v>
      </c>
      <c r="E50" s="357">
        <f t="shared" si="19"/>
        <v>31</v>
      </c>
      <c r="F50" s="356">
        <f t="shared" si="10"/>
        <v>192881.33925006568</v>
      </c>
      <c r="H50" s="356">
        <f t="shared" si="1"/>
        <v>1538.0628852950513</v>
      </c>
      <c r="I50" s="356">
        <v>0</v>
      </c>
      <c r="J50" s="360">
        <f>-SUM(F50:H50)*$J$21</f>
        <v>-1749.7746192182467</v>
      </c>
      <c r="K50" s="356">
        <f t="shared" si="11"/>
        <v>-192.66962751614247</v>
      </c>
      <c r="L50" s="356">
        <f t="shared" si="2"/>
        <v>192476.95788862632</v>
      </c>
      <c r="N50" s="356">
        <f t="shared" si="12"/>
        <v>27</v>
      </c>
      <c r="O50" s="357">
        <f t="shared" si="20"/>
        <v>2</v>
      </c>
      <c r="P50" s="357">
        <f t="shared" si="21"/>
        <v>3</v>
      </c>
      <c r="Q50" s="357">
        <f t="shared" si="22"/>
        <v>2</v>
      </c>
      <c r="R50" s="356">
        <f t="shared" si="14"/>
        <v>81892.99116520102</v>
      </c>
      <c r="S50" s="356">
        <f>IF($G$4="mensual",S49,0)</f>
        <v>10000</v>
      </c>
      <c r="U50" s="356">
        <f t="shared" si="23"/>
        <v>732.7676159833259</v>
      </c>
      <c r="V50" s="356">
        <f t="shared" ref="V50:V59" si="24">V49</f>
        <v>-82.41792000000001</v>
      </c>
      <c r="X50" s="356">
        <f t="shared" si="4"/>
        <v>-92.62575878118435</v>
      </c>
      <c r="Y50" s="356">
        <f t="shared" si="5"/>
        <v>92450.71510240315</v>
      </c>
      <c r="AA50" s="357">
        <f>+Bono!J50</f>
        <v>128070.12727440211</v>
      </c>
      <c r="AC50" s="378">
        <f t="shared" si="6"/>
        <v>2.25</v>
      </c>
      <c r="AD50" s="356">
        <f t="shared" si="7"/>
        <v>412997.8002654316</v>
      </c>
      <c r="AN50" s="388" t="s">
        <v>77</v>
      </c>
      <c r="AO50" s="388" t="s">
        <v>78</v>
      </c>
    </row>
    <row r="51" spans="2:41" x14ac:dyDescent="0.25">
      <c r="B51" s="356">
        <f t="shared" si="8"/>
        <v>28</v>
      </c>
      <c r="C51" s="357">
        <f t="shared" si="17"/>
        <v>2</v>
      </c>
      <c r="D51" s="357">
        <f t="shared" si="18"/>
        <v>4</v>
      </c>
      <c r="E51" s="357">
        <f t="shared" si="19"/>
        <v>31</v>
      </c>
      <c r="F51" s="356">
        <f t="shared" si="10"/>
        <v>192476.95788862632</v>
      </c>
      <c r="H51" s="356">
        <f t="shared" si="1"/>
        <v>1534.8382915321024</v>
      </c>
      <c r="I51" s="356">
        <v>0</v>
      </c>
      <c r="J51" s="356">
        <v>0</v>
      </c>
      <c r="K51" s="356">
        <f t="shared" si="11"/>
        <v>-194.01179618015843</v>
      </c>
      <c r="L51" s="356">
        <f t="shared" si="2"/>
        <v>193817.78438397826</v>
      </c>
      <c r="N51" s="356">
        <f t="shared" si="12"/>
        <v>28</v>
      </c>
      <c r="O51" s="357">
        <f t="shared" si="20"/>
        <v>2</v>
      </c>
      <c r="P51" s="357">
        <f t="shared" si="21"/>
        <v>4</v>
      </c>
      <c r="Q51" s="357">
        <f t="shared" si="22"/>
        <v>2</v>
      </c>
      <c r="R51" s="356">
        <f t="shared" si="14"/>
        <v>92450.71510240315</v>
      </c>
      <c r="S51" s="356">
        <f>IF($G$4="mensual",S48,IF($G$4="trimestral",S48,0))</f>
        <v>10000</v>
      </c>
      <c r="U51" s="356">
        <f t="shared" si="23"/>
        <v>816.9563892681743</v>
      </c>
      <c r="V51" s="356">
        <f t="shared" si="24"/>
        <v>-82.41792000000001</v>
      </c>
      <c r="X51" s="356">
        <f t="shared" si="4"/>
        <v>-103.26767149167132</v>
      </c>
      <c r="Y51" s="356">
        <f t="shared" si="5"/>
        <v>103081.98590017964</v>
      </c>
      <c r="AA51" s="357">
        <f>+Bono!J51</f>
        <v>128864.1769187187</v>
      </c>
      <c r="AC51" s="378">
        <f t="shared" si="6"/>
        <v>2.3333333333333335</v>
      </c>
      <c r="AD51" s="356">
        <f t="shared" si="7"/>
        <v>425763.94720287656</v>
      </c>
      <c r="AN51" s="389" t="s">
        <v>79</v>
      </c>
      <c r="AO51" s="390">
        <v>0.06</v>
      </c>
    </row>
    <row r="52" spans="2:41" x14ac:dyDescent="0.25">
      <c r="B52" s="356">
        <f t="shared" si="8"/>
        <v>29</v>
      </c>
      <c r="C52" s="357">
        <f t="shared" si="17"/>
        <v>2</v>
      </c>
      <c r="D52" s="357">
        <f t="shared" si="18"/>
        <v>5</v>
      </c>
      <c r="E52" s="357">
        <f t="shared" si="19"/>
        <v>31</v>
      </c>
      <c r="F52" s="356">
        <f t="shared" si="10"/>
        <v>193817.78438397826</v>
      </c>
      <c r="H52" s="356">
        <f t="shared" si="1"/>
        <v>1545.5302302968337</v>
      </c>
      <c r="I52" s="356">
        <v>0</v>
      </c>
      <c r="J52" s="356">
        <v>0</v>
      </c>
      <c r="K52" s="356">
        <f t="shared" si="11"/>
        <v>-195.36331461427508</v>
      </c>
      <c r="L52" s="356">
        <f t="shared" si="2"/>
        <v>195167.9512996608</v>
      </c>
      <c r="N52" s="356">
        <f t="shared" si="12"/>
        <v>29</v>
      </c>
      <c r="O52" s="357">
        <f t="shared" si="20"/>
        <v>2</v>
      </c>
      <c r="P52" s="357">
        <f t="shared" si="21"/>
        <v>5</v>
      </c>
      <c r="Q52" s="357">
        <f t="shared" si="22"/>
        <v>2</v>
      </c>
      <c r="R52" s="356">
        <f t="shared" si="14"/>
        <v>103081.98590017964</v>
      </c>
      <c r="S52" s="356">
        <f>IF($G$4="mensual",S51,0)</f>
        <v>10000</v>
      </c>
      <c r="U52" s="356">
        <f t="shared" si="23"/>
        <v>901.7316355473479</v>
      </c>
      <c r="V52" s="356">
        <f t="shared" si="24"/>
        <v>-82.41792000000001</v>
      </c>
      <c r="X52" s="356">
        <f t="shared" si="4"/>
        <v>-113.983717535727</v>
      </c>
      <c r="Y52" s="356">
        <f t="shared" si="5"/>
        <v>113787.31589819126</v>
      </c>
      <c r="AA52" s="357">
        <f>+Bono!J52</f>
        <v>129663.14976293412</v>
      </c>
      <c r="AC52" s="378">
        <f t="shared" si="6"/>
        <v>2.4166666666666665</v>
      </c>
      <c r="AD52" s="356">
        <f t="shared" si="7"/>
        <v>438618.4169607862</v>
      </c>
      <c r="AN52" s="389" t="s">
        <v>80</v>
      </c>
      <c r="AO52" s="390">
        <v>0.09</v>
      </c>
    </row>
    <row r="53" spans="2:41" x14ac:dyDescent="0.25">
      <c r="B53" s="356">
        <f t="shared" si="8"/>
        <v>30</v>
      </c>
      <c r="C53" s="357">
        <f t="shared" si="17"/>
        <v>2</v>
      </c>
      <c r="D53" s="357">
        <f t="shared" si="18"/>
        <v>6</v>
      </c>
      <c r="E53" s="357">
        <f t="shared" si="19"/>
        <v>31</v>
      </c>
      <c r="F53" s="356">
        <f t="shared" si="10"/>
        <v>195167.9512996608</v>
      </c>
      <c r="H53" s="356">
        <f t="shared" si="1"/>
        <v>1556.2966508849463</v>
      </c>
      <c r="I53" s="356">
        <v>0</v>
      </c>
      <c r="J53" s="360">
        <f>-SUM(F53:H53)*$J$21</f>
        <v>-1770.5182315549118</v>
      </c>
      <c r="K53" s="356">
        <f t="shared" si="11"/>
        <v>-194.95372971899084</v>
      </c>
      <c r="L53" s="356">
        <f t="shared" si="2"/>
        <v>194758.77598927185</v>
      </c>
      <c r="N53" s="356">
        <f t="shared" si="12"/>
        <v>30</v>
      </c>
      <c r="O53" s="357">
        <f t="shared" si="20"/>
        <v>2</v>
      </c>
      <c r="P53" s="357">
        <f t="shared" si="21"/>
        <v>6</v>
      </c>
      <c r="Q53" s="357">
        <f t="shared" si="22"/>
        <v>2</v>
      </c>
      <c r="R53" s="356">
        <f t="shared" si="14"/>
        <v>113787.31589819126</v>
      </c>
      <c r="S53" s="356">
        <f>IF($G$4="mensual",S52,0)</f>
        <v>10000</v>
      </c>
      <c r="U53" s="356">
        <f t="shared" si="23"/>
        <v>987.0974402892485</v>
      </c>
      <c r="V53" s="356">
        <f t="shared" si="24"/>
        <v>-82.41792000000001</v>
      </c>
      <c r="X53" s="356">
        <f t="shared" si="4"/>
        <v>-124.7744133384805</v>
      </c>
      <c r="Y53" s="356">
        <f t="shared" si="5"/>
        <v>124567.22100514201</v>
      </c>
      <c r="AA53" s="357">
        <f>+Bono!J53</f>
        <v>129291.6972654096</v>
      </c>
      <c r="AC53" s="378">
        <f t="shared" si="6"/>
        <v>2.5</v>
      </c>
      <c r="AD53" s="356">
        <f t="shared" si="7"/>
        <v>448617.6942598234</v>
      </c>
      <c r="AN53" s="389" t="s">
        <v>81</v>
      </c>
      <c r="AO53" s="390">
        <v>0.12</v>
      </c>
    </row>
    <row r="54" spans="2:41" x14ac:dyDescent="0.25">
      <c r="B54" s="356">
        <f t="shared" si="8"/>
        <v>31</v>
      </c>
      <c r="C54" s="357">
        <f t="shared" si="17"/>
        <v>2</v>
      </c>
      <c r="D54" s="357">
        <f t="shared" si="18"/>
        <v>7</v>
      </c>
      <c r="E54" s="357">
        <f t="shared" si="19"/>
        <v>31</v>
      </c>
      <c r="F54" s="356">
        <f t="shared" si="10"/>
        <v>194758.77598927185</v>
      </c>
      <c r="H54" s="356">
        <f t="shared" si="1"/>
        <v>1553.0338294998644</v>
      </c>
      <c r="I54" s="356">
        <v>0</v>
      </c>
      <c r="J54" s="356">
        <v>0</v>
      </c>
      <c r="K54" s="356">
        <f t="shared" si="11"/>
        <v>-196.3118098187717</v>
      </c>
      <c r="L54" s="356">
        <f t="shared" si="2"/>
        <v>196115.4980089529</v>
      </c>
      <c r="N54" s="356">
        <f t="shared" si="12"/>
        <v>31</v>
      </c>
      <c r="O54" s="357">
        <f t="shared" si="20"/>
        <v>2</v>
      </c>
      <c r="P54" s="357">
        <f t="shared" si="21"/>
        <v>7</v>
      </c>
      <c r="Q54" s="357">
        <f t="shared" si="22"/>
        <v>2</v>
      </c>
      <c r="R54" s="356">
        <f t="shared" si="14"/>
        <v>124567.22100514201</v>
      </c>
      <c r="S54" s="356">
        <f>+IF($G$4="mensual",S48,IF($G$4="trimestral",S48,IF($G$4="semestral",S48,0)))</f>
        <v>10000</v>
      </c>
      <c r="U54" s="356">
        <f t="shared" si="23"/>
        <v>1073.0579174223308</v>
      </c>
      <c r="V54" s="356">
        <f t="shared" si="24"/>
        <v>-82.41792000000001</v>
      </c>
      <c r="X54" s="356">
        <f t="shared" si="4"/>
        <v>-135.64027892256436</v>
      </c>
      <c r="Y54" s="356">
        <f t="shared" si="5"/>
        <v>135422.22072364177</v>
      </c>
      <c r="AA54" s="357">
        <f>+Bono!J54</f>
        <v>130093.32078536379</v>
      </c>
      <c r="AC54" s="378">
        <f t="shared" si="6"/>
        <v>2.5833333333333335</v>
      </c>
      <c r="AD54" s="356">
        <f t="shared" si="7"/>
        <v>461631.03951795853</v>
      </c>
      <c r="AN54" s="389" t="s">
        <v>82</v>
      </c>
      <c r="AO54" s="390">
        <v>0.03</v>
      </c>
    </row>
    <row r="55" spans="2:41" x14ac:dyDescent="0.25">
      <c r="B55" s="356">
        <f t="shared" si="8"/>
        <v>32</v>
      </c>
      <c r="C55" s="357">
        <f t="shared" si="17"/>
        <v>2</v>
      </c>
      <c r="D55" s="357">
        <f t="shared" si="18"/>
        <v>8</v>
      </c>
      <c r="E55" s="357">
        <f t="shared" si="19"/>
        <v>31</v>
      </c>
      <c r="F55" s="356">
        <f t="shared" si="10"/>
        <v>196115.4980089529</v>
      </c>
      <c r="H55" s="356">
        <f t="shared" si="1"/>
        <v>1563.8525214077872</v>
      </c>
      <c r="I55" s="356">
        <v>0</v>
      </c>
      <c r="J55" s="356">
        <v>0</v>
      </c>
      <c r="K55" s="356">
        <f t="shared" si="11"/>
        <v>-197.67935053036072</v>
      </c>
      <c r="L55" s="356">
        <f t="shared" si="2"/>
        <v>197481.67117983036</v>
      </c>
      <c r="N55" s="356">
        <f t="shared" si="12"/>
        <v>32</v>
      </c>
      <c r="O55" s="357">
        <f t="shared" si="20"/>
        <v>2</v>
      </c>
      <c r="P55" s="357">
        <f t="shared" si="21"/>
        <v>8</v>
      </c>
      <c r="Q55" s="357">
        <f t="shared" si="22"/>
        <v>2</v>
      </c>
      <c r="R55" s="356">
        <f t="shared" si="14"/>
        <v>135422.22072364177</v>
      </c>
      <c r="S55" s="356">
        <f>IF($G$4="mensual",S54,0)</f>
        <v>10000</v>
      </c>
      <c r="U55" s="356">
        <f t="shared" si="23"/>
        <v>1159.6172095333586</v>
      </c>
      <c r="V55" s="356">
        <f t="shared" si="24"/>
        <v>-82.41792000000001</v>
      </c>
      <c r="X55" s="356">
        <f t="shared" si="4"/>
        <v>-146.58183793317514</v>
      </c>
      <c r="Y55" s="356">
        <f t="shared" si="5"/>
        <v>146352.83817524195</v>
      </c>
      <c r="AA55" s="357">
        <f>+Bono!J55</f>
        <v>130899.91446412425</v>
      </c>
      <c r="AC55" s="378">
        <f t="shared" si="6"/>
        <v>2.6666666666666665</v>
      </c>
      <c r="AD55" s="356">
        <f t="shared" si="7"/>
        <v>474734.4238191965</v>
      </c>
      <c r="AN55" s="389" t="s">
        <v>84</v>
      </c>
      <c r="AO55" s="390">
        <v>0.06</v>
      </c>
    </row>
    <row r="56" spans="2:41" x14ac:dyDescent="0.25">
      <c r="B56" s="356">
        <f t="shared" si="8"/>
        <v>33</v>
      </c>
      <c r="C56" s="357">
        <f t="shared" si="17"/>
        <v>2</v>
      </c>
      <c r="D56" s="357">
        <f t="shared" si="18"/>
        <v>9</v>
      </c>
      <c r="E56" s="357">
        <f t="shared" si="19"/>
        <v>31</v>
      </c>
      <c r="F56" s="356">
        <f t="shared" si="10"/>
        <v>197481.67117983036</v>
      </c>
      <c r="H56" s="356">
        <f t="shared" si="1"/>
        <v>1574.7465781225646</v>
      </c>
      <c r="I56" s="356">
        <v>0</v>
      </c>
      <c r="J56" s="360">
        <f>-SUM(F56:H56)*$J$21</f>
        <v>-1791.5077598215767</v>
      </c>
      <c r="K56" s="356">
        <f t="shared" si="11"/>
        <v>-197.26490999813137</v>
      </c>
      <c r="L56" s="356">
        <f t="shared" si="2"/>
        <v>197067.64508813323</v>
      </c>
      <c r="N56" s="356">
        <f t="shared" si="12"/>
        <v>33</v>
      </c>
      <c r="O56" s="357">
        <f t="shared" si="20"/>
        <v>2</v>
      </c>
      <c r="P56" s="357">
        <f t="shared" si="21"/>
        <v>9</v>
      </c>
      <c r="Q56" s="357">
        <f t="shared" si="22"/>
        <v>2</v>
      </c>
      <c r="R56" s="356">
        <f t="shared" si="14"/>
        <v>146352.83817524195</v>
      </c>
      <c r="S56" s="356">
        <f>IF($G$4="mensual",S55,0)</f>
        <v>10000</v>
      </c>
      <c r="U56" s="356">
        <f t="shared" si="23"/>
        <v>1246.7794880670447</v>
      </c>
      <c r="V56" s="356">
        <f t="shared" si="24"/>
        <v>-82.41792000000001</v>
      </c>
      <c r="X56" s="356">
        <f t="shared" si="4"/>
        <v>-157.599617663309</v>
      </c>
      <c r="Y56" s="356">
        <f t="shared" si="5"/>
        <v>157359.6001256457</v>
      </c>
      <c r="AA56" s="357">
        <f>+Bono!J56</f>
        <v>130524.91894502462</v>
      </c>
      <c r="AC56" s="378">
        <f t="shared" si="6"/>
        <v>2.75</v>
      </c>
      <c r="AD56" s="356">
        <f t="shared" si="7"/>
        <v>484952.1641588035</v>
      </c>
      <c r="AN56" s="389" t="s">
        <v>86</v>
      </c>
      <c r="AO56" s="390">
        <v>0.1</v>
      </c>
    </row>
    <row r="57" spans="2:41" x14ac:dyDescent="0.25">
      <c r="B57" s="356">
        <f t="shared" si="8"/>
        <v>34</v>
      </c>
      <c r="C57" s="357">
        <f t="shared" si="17"/>
        <v>2</v>
      </c>
      <c r="D57" s="357">
        <f t="shared" si="18"/>
        <v>10</v>
      </c>
      <c r="E57" s="357">
        <f t="shared" si="19"/>
        <v>31</v>
      </c>
      <c r="F57" s="356">
        <f t="shared" si="10"/>
        <v>197067.64508813323</v>
      </c>
      <c r="H57" s="356">
        <f t="shared" si="1"/>
        <v>1571.4450759261415</v>
      </c>
      <c r="I57" s="356">
        <v>0</v>
      </c>
      <c r="J57" s="356">
        <v>0</v>
      </c>
      <c r="K57" s="356">
        <f t="shared" si="11"/>
        <v>-198.63909016405938</v>
      </c>
      <c r="L57" s="356">
        <f t="shared" si="2"/>
        <v>198440.4510738953</v>
      </c>
      <c r="N57" s="356">
        <f t="shared" si="12"/>
        <v>34</v>
      </c>
      <c r="O57" s="357">
        <f t="shared" si="20"/>
        <v>2</v>
      </c>
      <c r="P57" s="357">
        <f t="shared" si="21"/>
        <v>10</v>
      </c>
      <c r="Q57" s="357">
        <f t="shared" si="22"/>
        <v>2</v>
      </c>
      <c r="R57" s="356">
        <f t="shared" si="14"/>
        <v>157359.6001256457</v>
      </c>
      <c r="S57" s="356">
        <f>IF($G$4="mensual",S48,IF($G$4="trimestral",S48,0))</f>
        <v>10000</v>
      </c>
      <c r="U57" s="356">
        <f t="shared" si="23"/>
        <v>1334.5489535270788</v>
      </c>
      <c r="V57" s="356">
        <f t="shared" si="24"/>
        <v>-82.41792000000001</v>
      </c>
      <c r="X57" s="356">
        <f t="shared" si="4"/>
        <v>-168.69414907917277</v>
      </c>
      <c r="Y57" s="356">
        <f t="shared" si="5"/>
        <v>168443.0370100936</v>
      </c>
      <c r="AA57" s="357">
        <f>+Bono!J57</f>
        <v>131334.1885824373</v>
      </c>
      <c r="AC57" s="378">
        <f t="shared" si="6"/>
        <v>2.8333333333333335</v>
      </c>
      <c r="AD57" s="356">
        <f t="shared" si="7"/>
        <v>498217.67666642624</v>
      </c>
      <c r="AN57" s="389" t="s">
        <v>88</v>
      </c>
      <c r="AO57" s="390">
        <v>0.03</v>
      </c>
    </row>
    <row r="58" spans="2:41" x14ac:dyDescent="0.25">
      <c r="B58" s="356">
        <f t="shared" si="8"/>
        <v>35</v>
      </c>
      <c r="C58" s="357">
        <f t="shared" si="17"/>
        <v>2</v>
      </c>
      <c r="D58" s="357">
        <f t="shared" si="18"/>
        <v>11</v>
      </c>
      <c r="E58" s="357">
        <f t="shared" si="19"/>
        <v>31</v>
      </c>
      <c r="F58" s="356">
        <f t="shared" si="10"/>
        <v>198440.4510738953</v>
      </c>
      <c r="H58" s="356">
        <f t="shared" si="1"/>
        <v>1582.3920236382478</v>
      </c>
      <c r="I58" s="356">
        <v>0</v>
      </c>
      <c r="J58" s="356">
        <v>0</v>
      </c>
      <c r="K58" s="356">
        <f t="shared" si="11"/>
        <v>-200.02284309753355</v>
      </c>
      <c r="L58" s="356">
        <f t="shared" si="2"/>
        <v>199822.820254436</v>
      </c>
      <c r="N58" s="356">
        <f t="shared" si="12"/>
        <v>35</v>
      </c>
      <c r="O58" s="357">
        <f t="shared" si="20"/>
        <v>2</v>
      </c>
      <c r="P58" s="357">
        <f t="shared" si="21"/>
        <v>11</v>
      </c>
      <c r="Q58" s="357">
        <f t="shared" si="22"/>
        <v>2</v>
      </c>
      <c r="R58" s="356">
        <f t="shared" si="14"/>
        <v>168443.0370100936</v>
      </c>
      <c r="S58" s="356">
        <f>IF($G$4="mensual",S57,0)</f>
        <v>10000</v>
      </c>
      <c r="U58" s="356">
        <f t="shared" si="23"/>
        <v>1422.929835678558</v>
      </c>
      <c r="V58" s="356">
        <f t="shared" si="24"/>
        <v>-82.41792000000001</v>
      </c>
      <c r="X58" s="356">
        <f t="shared" si="4"/>
        <v>-179.86596684577214</v>
      </c>
      <c r="Y58" s="356">
        <f t="shared" si="5"/>
        <v>179603.68295892637</v>
      </c>
      <c r="AA58" s="357">
        <f>+Bono!J58</f>
        <v>132148.47578547135</v>
      </c>
      <c r="AC58" s="378">
        <f t="shared" si="6"/>
        <v>2.9166666666666665</v>
      </c>
      <c r="AD58" s="356">
        <f t="shared" si="7"/>
        <v>511574.9789988337</v>
      </c>
      <c r="AN58" s="389" t="s">
        <v>89</v>
      </c>
      <c r="AO58" s="390">
        <v>0.06</v>
      </c>
    </row>
    <row r="59" spans="2:41" x14ac:dyDescent="0.25">
      <c r="B59" s="356">
        <f t="shared" si="8"/>
        <v>36</v>
      </c>
      <c r="C59" s="357">
        <f t="shared" si="17"/>
        <v>2</v>
      </c>
      <c r="D59" s="357">
        <f t="shared" si="18"/>
        <v>12</v>
      </c>
      <c r="E59" s="357">
        <f t="shared" si="19"/>
        <v>31</v>
      </c>
      <c r="F59" s="356">
        <f t="shared" si="10"/>
        <v>199822.820254436</v>
      </c>
      <c r="H59" s="356">
        <f t="shared" si="1"/>
        <v>1593.415229608468</v>
      </c>
      <c r="I59" s="356">
        <v>0</v>
      </c>
      <c r="J59" s="360">
        <f>-SUM(F59:H59)*$J$21</f>
        <v>-1812.7461193564004</v>
      </c>
      <c r="K59" s="356">
        <f t="shared" si="11"/>
        <v>-199.60348936468807</v>
      </c>
      <c r="L59" s="356">
        <f t="shared" si="2"/>
        <v>199403.88587532338</v>
      </c>
      <c r="N59" s="356">
        <f t="shared" si="12"/>
        <v>36</v>
      </c>
      <c r="O59" s="357">
        <f t="shared" si="20"/>
        <v>2</v>
      </c>
      <c r="P59" s="357">
        <f t="shared" si="21"/>
        <v>12</v>
      </c>
      <c r="Q59" s="357">
        <f t="shared" si="22"/>
        <v>2</v>
      </c>
      <c r="R59" s="356">
        <f t="shared" si="14"/>
        <v>179603.68295892637</v>
      </c>
      <c r="S59" s="356">
        <f>IF($G$4="mensual",S58,0)</f>
        <v>10000</v>
      </c>
      <c r="U59" s="356">
        <f t="shared" si="23"/>
        <v>1511.9263937518265</v>
      </c>
      <c r="V59" s="356">
        <f t="shared" si="24"/>
        <v>-82.41792000000001</v>
      </c>
      <c r="X59" s="356">
        <f t="shared" si="4"/>
        <v>-191.1156093526782</v>
      </c>
      <c r="Y59" s="356">
        <f t="shared" si="5"/>
        <v>190842.07582332552</v>
      </c>
      <c r="AA59" s="357">
        <f>+Bono!J59</f>
        <v>131769.90345043</v>
      </c>
      <c r="AC59" s="378">
        <f t="shared" si="6"/>
        <v>3</v>
      </c>
      <c r="AD59" s="356">
        <f t="shared" si="7"/>
        <v>522015.8651490789</v>
      </c>
      <c r="AN59" s="389" t="s">
        <v>90</v>
      </c>
      <c r="AO59" s="390">
        <v>0.09</v>
      </c>
    </row>
    <row r="60" spans="2:41" x14ac:dyDescent="0.25">
      <c r="B60" s="356">
        <f t="shared" si="8"/>
        <v>37</v>
      </c>
      <c r="C60" s="357">
        <f t="shared" si="17"/>
        <v>3</v>
      </c>
      <c r="D60" s="357">
        <f t="shared" si="18"/>
        <v>1</v>
      </c>
      <c r="E60" s="357">
        <f t="shared" si="19"/>
        <v>32</v>
      </c>
      <c r="F60" s="356">
        <f t="shared" si="10"/>
        <v>199403.88587532338</v>
      </c>
      <c r="H60" s="356">
        <f t="shared" si="1"/>
        <v>1590.0745880389284</v>
      </c>
      <c r="I60" s="356">
        <v>0</v>
      </c>
      <c r="J60" s="356">
        <v>0</v>
      </c>
      <c r="K60" s="356">
        <f t="shared" si="11"/>
        <v>-200.99396046336233</v>
      </c>
      <c r="L60" s="356">
        <f t="shared" si="2"/>
        <v>200792.96650289895</v>
      </c>
      <c r="N60" s="356">
        <f t="shared" si="12"/>
        <v>37</v>
      </c>
      <c r="O60" s="357">
        <f t="shared" si="20"/>
        <v>3</v>
      </c>
      <c r="P60" s="357">
        <f t="shared" si="21"/>
        <v>1</v>
      </c>
      <c r="Q60" s="357">
        <f t="shared" si="22"/>
        <v>3</v>
      </c>
      <c r="R60" s="356">
        <f t="shared" si="14"/>
        <v>190842.07582332552</v>
      </c>
      <c r="S60" s="356">
        <f>IF($G$17="si",S48*(1+$G$20),S48)</f>
        <v>10000</v>
      </c>
      <c r="U60" s="356">
        <f t="shared" si="23"/>
        <v>1601.5429166477352</v>
      </c>
      <c r="V60" s="356">
        <f>V59*(1+$G$18)</f>
        <v>-85.71463680000001</v>
      </c>
      <c r="X60" s="356">
        <f t="shared" si="4"/>
        <v>-202.44361873997326</v>
      </c>
      <c r="Y60" s="356">
        <f t="shared" si="5"/>
        <v>202155.46048443328</v>
      </c>
      <c r="AA60" s="357">
        <f>+Bono!J60</f>
        <v>132586.8921361854</v>
      </c>
      <c r="AC60" s="378">
        <f t="shared" si="6"/>
        <v>3.0833333333333335</v>
      </c>
      <c r="AD60" s="356">
        <f t="shared" si="7"/>
        <v>535535.3191235176</v>
      </c>
      <c r="AN60" s="389" t="s">
        <v>91</v>
      </c>
      <c r="AO60" s="390">
        <v>0.08</v>
      </c>
    </row>
    <row r="61" spans="2:41" x14ac:dyDescent="0.25">
      <c r="B61" s="356">
        <f t="shared" si="8"/>
        <v>38</v>
      </c>
      <c r="C61" s="357">
        <f t="shared" si="17"/>
        <v>3</v>
      </c>
      <c r="D61" s="357">
        <f t="shared" si="18"/>
        <v>2</v>
      </c>
      <c r="E61" s="357">
        <f t="shared" si="19"/>
        <v>32</v>
      </c>
      <c r="F61" s="356">
        <f t="shared" si="10"/>
        <v>200792.96650289895</v>
      </c>
      <c r="H61" s="356">
        <f t="shared" si="1"/>
        <v>1601.151312030286</v>
      </c>
      <c r="I61" s="356">
        <v>0</v>
      </c>
      <c r="J61" s="356">
        <v>0</v>
      </c>
      <c r="K61" s="356">
        <f t="shared" si="11"/>
        <v>-202.39411781492925</v>
      </c>
      <c r="L61" s="356">
        <f t="shared" si="2"/>
        <v>202191.72369711433</v>
      </c>
      <c r="N61" s="356">
        <f t="shared" si="12"/>
        <v>38</v>
      </c>
      <c r="O61" s="357">
        <f t="shared" si="20"/>
        <v>3</v>
      </c>
      <c r="P61" s="357">
        <f t="shared" si="21"/>
        <v>2</v>
      </c>
      <c r="Q61" s="357">
        <f t="shared" si="22"/>
        <v>3</v>
      </c>
      <c r="R61" s="356">
        <f t="shared" si="14"/>
        <v>202155.46048443328</v>
      </c>
      <c r="S61" s="356">
        <f>IF($G$4="mensual",S60,0)</f>
        <v>10000</v>
      </c>
      <c r="U61" s="356">
        <f t="shared" si="23"/>
        <v>1691.7574346616143</v>
      </c>
      <c r="V61" s="356">
        <f t="shared" ref="V61:V124" si="25">V60</f>
        <v>-85.71463680000001</v>
      </c>
      <c r="X61" s="356">
        <f t="shared" si="4"/>
        <v>-213.8472179190949</v>
      </c>
      <c r="Y61" s="356">
        <f t="shared" si="5"/>
        <v>213547.6560643758</v>
      </c>
      <c r="AA61" s="357">
        <f>+Bono!J61</f>
        <v>133408.94624655735</v>
      </c>
      <c r="AC61" s="378">
        <f t="shared" si="6"/>
        <v>3.1666666666666665</v>
      </c>
      <c r="AD61" s="356">
        <f t="shared" si="7"/>
        <v>549148.3260080474</v>
      </c>
      <c r="AN61" s="389" t="s">
        <v>52</v>
      </c>
      <c r="AO61" s="390">
        <v>0.12</v>
      </c>
    </row>
    <row r="62" spans="2:41" x14ac:dyDescent="0.25">
      <c r="B62" s="356">
        <f t="shared" si="8"/>
        <v>39</v>
      </c>
      <c r="C62" s="357">
        <f t="shared" si="17"/>
        <v>3</v>
      </c>
      <c r="D62" s="357">
        <f t="shared" si="18"/>
        <v>3</v>
      </c>
      <c r="E62" s="357">
        <f t="shared" si="19"/>
        <v>32</v>
      </c>
      <c r="F62" s="356">
        <f t="shared" si="10"/>
        <v>202191.72369711433</v>
      </c>
      <c r="H62" s="356">
        <f t="shared" si="1"/>
        <v>1612.3051983228986</v>
      </c>
      <c r="I62" s="356">
        <v>0</v>
      </c>
      <c r="J62" s="360">
        <f>-SUM(F62:H62)*$J$21</f>
        <v>-1834.2362600589352</v>
      </c>
      <c r="K62" s="356">
        <f t="shared" si="11"/>
        <v>-201.9697926353783</v>
      </c>
      <c r="L62" s="356">
        <f t="shared" si="2"/>
        <v>201767.8228427429</v>
      </c>
      <c r="N62" s="356">
        <f t="shared" si="12"/>
        <v>39</v>
      </c>
      <c r="O62" s="357">
        <f t="shared" si="20"/>
        <v>3</v>
      </c>
      <c r="P62" s="357">
        <f t="shared" si="21"/>
        <v>3</v>
      </c>
      <c r="Q62" s="357">
        <f t="shared" si="22"/>
        <v>3</v>
      </c>
      <c r="R62" s="356">
        <f t="shared" si="14"/>
        <v>213547.6560643758</v>
      </c>
      <c r="S62" s="356">
        <f>IF($G$4="mensual",S61,0)</f>
        <v>10000</v>
      </c>
      <c r="U62" s="356">
        <f t="shared" si="23"/>
        <v>1782.6004020096127</v>
      </c>
      <c r="V62" s="356">
        <f t="shared" si="25"/>
        <v>-85.71463680000001</v>
      </c>
      <c r="X62" s="356">
        <f t="shared" si="4"/>
        <v>-225.3302564663854</v>
      </c>
      <c r="Y62" s="356">
        <f t="shared" si="5"/>
        <v>225019.21157311904</v>
      </c>
      <c r="AA62" s="357">
        <f>+Bono!J62</f>
        <v>133026.76297886716</v>
      </c>
      <c r="AC62" s="378">
        <f t="shared" si="6"/>
        <v>3.25</v>
      </c>
      <c r="AD62" s="356">
        <f t="shared" si="7"/>
        <v>559813.7973947291</v>
      </c>
      <c r="AN62" s="389" t="s">
        <v>45</v>
      </c>
      <c r="AO62" s="390">
        <v>0.12</v>
      </c>
    </row>
    <row r="63" spans="2:41" x14ac:dyDescent="0.25">
      <c r="B63" s="356">
        <f t="shared" si="8"/>
        <v>40</v>
      </c>
      <c r="C63" s="357">
        <f t="shared" si="17"/>
        <v>3</v>
      </c>
      <c r="D63" s="357">
        <f t="shared" si="18"/>
        <v>4</v>
      </c>
      <c r="E63" s="357">
        <f t="shared" si="19"/>
        <v>32</v>
      </c>
      <c r="F63" s="356">
        <f t="shared" si="10"/>
        <v>201767.8228427429</v>
      </c>
      <c r="H63" s="356">
        <f t="shared" si="1"/>
        <v>1608.9249533822085</v>
      </c>
      <c r="I63" s="356">
        <v>0</v>
      </c>
      <c r="J63" s="356">
        <v>0</v>
      </c>
      <c r="K63" s="356">
        <f t="shared" si="11"/>
        <v>-203.3767477961251</v>
      </c>
      <c r="L63" s="356">
        <f t="shared" si="2"/>
        <v>203173.37104832896</v>
      </c>
      <c r="N63" s="356">
        <f t="shared" si="12"/>
        <v>40</v>
      </c>
      <c r="O63" s="357">
        <f t="shared" si="20"/>
        <v>3</v>
      </c>
      <c r="P63" s="357">
        <f t="shared" si="21"/>
        <v>4</v>
      </c>
      <c r="Q63" s="357">
        <f t="shared" si="22"/>
        <v>3</v>
      </c>
      <c r="R63" s="356">
        <f t="shared" si="14"/>
        <v>225019.21157311904</v>
      </c>
      <c r="S63" s="356">
        <f>IF($G$4="mensual",S60,IF($G$4="trimestral",S60,0))</f>
        <v>10000</v>
      </c>
      <c r="U63" s="356">
        <f t="shared" si="23"/>
        <v>1874.076196574296</v>
      </c>
      <c r="V63" s="356">
        <f t="shared" si="25"/>
        <v>-85.71463680000001</v>
      </c>
      <c r="X63" s="356">
        <f t="shared" si="4"/>
        <v>-236.89328776969333</v>
      </c>
      <c r="Y63" s="356">
        <f t="shared" si="5"/>
        <v>236570.67984512364</v>
      </c>
      <c r="AA63" s="357">
        <f>+Bono!J63</f>
        <v>133851.54433948558</v>
      </c>
      <c r="AC63" s="378">
        <f t="shared" si="6"/>
        <v>3.3333333333333335</v>
      </c>
      <c r="AD63" s="356">
        <f t="shared" si="7"/>
        <v>573595.5952329382</v>
      </c>
      <c r="AN63" s="389" t="s">
        <v>49</v>
      </c>
      <c r="AO63" s="390">
        <v>0.12</v>
      </c>
    </row>
    <row r="64" spans="2:41" x14ac:dyDescent="0.25">
      <c r="B64" s="356">
        <f t="shared" si="8"/>
        <v>41</v>
      </c>
      <c r="C64" s="357">
        <f t="shared" si="17"/>
        <v>3</v>
      </c>
      <c r="D64" s="357">
        <f t="shared" si="18"/>
        <v>5</v>
      </c>
      <c r="E64" s="357">
        <f t="shared" si="19"/>
        <v>32</v>
      </c>
      <c r="F64" s="356">
        <f t="shared" si="10"/>
        <v>203173.37104832896</v>
      </c>
      <c r="H64" s="356">
        <f t="shared" si="1"/>
        <v>1620.1329921531456</v>
      </c>
      <c r="I64" s="356">
        <v>0</v>
      </c>
      <c r="J64" s="356">
        <v>0</v>
      </c>
      <c r="K64" s="356">
        <f t="shared" si="11"/>
        <v>-204.7935040404821</v>
      </c>
      <c r="L64" s="356">
        <f t="shared" si="2"/>
        <v>204588.71053644162</v>
      </c>
      <c r="N64" s="356">
        <f t="shared" si="12"/>
        <v>41</v>
      </c>
      <c r="O64" s="357">
        <f t="shared" si="20"/>
        <v>3</v>
      </c>
      <c r="P64" s="357">
        <f t="shared" si="21"/>
        <v>5</v>
      </c>
      <c r="Q64" s="357">
        <f t="shared" si="22"/>
        <v>3</v>
      </c>
      <c r="R64" s="356">
        <f t="shared" si="14"/>
        <v>236570.67984512364</v>
      </c>
      <c r="S64" s="356">
        <f>IF($G$4="mensual",S63,0)</f>
        <v>10000</v>
      </c>
      <c r="U64" s="356">
        <f t="shared" si="23"/>
        <v>1966.1892267352869</v>
      </c>
      <c r="V64" s="356">
        <f t="shared" si="25"/>
        <v>-85.71463680000001</v>
      </c>
      <c r="X64" s="356">
        <f t="shared" si="4"/>
        <v>-248.53686907185894</v>
      </c>
      <c r="Y64" s="356">
        <f t="shared" si="5"/>
        <v>248202.61756598708</v>
      </c>
      <c r="AA64" s="357">
        <f>+Bono!J64</f>
        <v>134681.43944020855</v>
      </c>
      <c r="AC64" s="378">
        <f t="shared" si="6"/>
        <v>3.4166666666666665</v>
      </c>
      <c r="AD64" s="356">
        <f t="shared" si="7"/>
        <v>587472.7675426373</v>
      </c>
      <c r="AN64" s="389" t="s">
        <v>53</v>
      </c>
      <c r="AO64" s="390">
        <v>0.05</v>
      </c>
    </row>
    <row r="65" spans="2:41" x14ac:dyDescent="0.25">
      <c r="B65" s="356">
        <f t="shared" si="8"/>
        <v>42</v>
      </c>
      <c r="C65" s="357">
        <f t="shared" si="17"/>
        <v>3</v>
      </c>
      <c r="D65" s="357">
        <f t="shared" si="18"/>
        <v>6</v>
      </c>
      <c r="E65" s="357">
        <f t="shared" si="19"/>
        <v>32</v>
      </c>
      <c r="F65" s="356">
        <f t="shared" si="10"/>
        <v>204588.71053644162</v>
      </c>
      <c r="H65" s="356">
        <f t="shared" si="1"/>
        <v>1631.4191079859286</v>
      </c>
      <c r="I65" s="356">
        <v>0</v>
      </c>
      <c r="J65" s="360">
        <f>-SUM(F65:H65)*$J$21</f>
        <v>-1855.981166799848</v>
      </c>
      <c r="K65" s="356">
        <f t="shared" si="11"/>
        <v>-204.3641484776277</v>
      </c>
      <c r="L65" s="356">
        <f t="shared" si="2"/>
        <v>204159.78432915008</v>
      </c>
      <c r="N65" s="356">
        <f t="shared" si="12"/>
        <v>42</v>
      </c>
      <c r="O65" s="357">
        <f t="shared" si="20"/>
        <v>3</v>
      </c>
      <c r="P65" s="357">
        <f t="shared" si="21"/>
        <v>6</v>
      </c>
      <c r="Q65" s="357">
        <f t="shared" si="22"/>
        <v>3</v>
      </c>
      <c r="R65" s="356">
        <f t="shared" si="14"/>
        <v>248202.61756598708</v>
      </c>
      <c r="S65" s="356">
        <f>IF($G$4="mensual",S64,0)</f>
        <v>10000</v>
      </c>
      <c r="U65" s="356">
        <f t="shared" si="23"/>
        <v>2058.943931581715</v>
      </c>
      <c r="V65" s="356">
        <f t="shared" si="25"/>
        <v>-85.71463680000001</v>
      </c>
      <c r="X65" s="356">
        <f t="shared" si="4"/>
        <v>-260.2615614975688</v>
      </c>
      <c r="Y65" s="356">
        <f t="shared" si="5"/>
        <v>259915.58529927122</v>
      </c>
      <c r="AA65" s="357">
        <f>+Bono!J65</f>
        <v>134295.61079774745</v>
      </c>
      <c r="AC65" s="378">
        <f t="shared" si="6"/>
        <v>3.5</v>
      </c>
      <c r="AD65" s="356">
        <f t="shared" si="7"/>
        <v>598370.9804261688</v>
      </c>
      <c r="AN65" s="389" t="s">
        <v>93</v>
      </c>
      <c r="AO65" s="390">
        <v>0.12</v>
      </c>
    </row>
    <row r="66" spans="2:30" x14ac:dyDescent="0.25">
      <c r="B66" s="356">
        <f t="shared" si="8"/>
        <v>43</v>
      </c>
      <c r="C66" s="357">
        <f t="shared" si="17"/>
        <v>3</v>
      </c>
      <c r="D66" s="357">
        <f t="shared" si="18"/>
        <v>7</v>
      </c>
      <c r="E66" s="357">
        <f t="shared" si="19"/>
        <v>32</v>
      </c>
      <c r="F66" s="356">
        <f t="shared" si="10"/>
        <v>204159.78432915008</v>
      </c>
      <c r="H66" s="356">
        <f t="shared" si="1"/>
        <v>1627.9987901753489</v>
      </c>
      <c r="I66" s="356">
        <v>0</v>
      </c>
      <c r="J66" s="356">
        <v>0</v>
      </c>
      <c r="K66" s="356">
        <f t="shared" si="11"/>
        <v>-205.78778311932544</v>
      </c>
      <c r="L66" s="356">
        <f t="shared" si="2"/>
        <v>205581.9953362061</v>
      </c>
      <c r="N66" s="356">
        <f t="shared" si="12"/>
        <v>43</v>
      </c>
      <c r="O66" s="357">
        <f t="shared" si="20"/>
        <v>3</v>
      </c>
      <c r="P66" s="357">
        <f t="shared" si="21"/>
        <v>7</v>
      </c>
      <c r="Q66" s="357">
        <f t="shared" si="22"/>
        <v>3</v>
      </c>
      <c r="R66" s="356">
        <f t="shared" si="14"/>
        <v>259915.58529927122</v>
      </c>
      <c r="S66" s="356">
        <f>+IF($G$4="mensual",S60,IF($G$4="trimestral",S60,IF($G$4="semestral",S60,0)))</f>
        <v>10000</v>
      </c>
      <c r="U66" s="356">
        <f t="shared" si="23"/>
        <v>2152.3447811261412</v>
      </c>
      <c r="V66" s="356">
        <f t="shared" si="25"/>
        <v>-85.71463680000001</v>
      </c>
      <c r="X66" s="356">
        <f t="shared" si="4"/>
        <v>-272.06793008039733</v>
      </c>
      <c r="Y66" s="356">
        <f t="shared" si="5"/>
        <v>271710.14751351695</v>
      </c>
      <c r="AA66" s="357">
        <f>+Bono!J66</f>
        <v>135128.25916202017</v>
      </c>
      <c r="AC66" s="378">
        <f t="shared" si="6"/>
        <v>3.5833333333333335</v>
      </c>
      <c r="AD66" s="356">
        <f t="shared" si="7"/>
        <v>612420.4020117433</v>
      </c>
    </row>
    <row r="67" spans="2:30" x14ac:dyDescent="0.25">
      <c r="B67" s="356">
        <f t="shared" si="8"/>
        <v>44</v>
      </c>
      <c r="C67" s="357">
        <f t="shared" si="17"/>
        <v>3</v>
      </c>
      <c r="D67" s="357">
        <f t="shared" si="18"/>
        <v>8</v>
      </c>
      <c r="E67" s="357">
        <f t="shared" si="19"/>
        <v>32</v>
      </c>
      <c r="F67" s="356">
        <f t="shared" si="10"/>
        <v>205581.9953362061</v>
      </c>
      <c r="H67" s="356">
        <f t="shared" si="1"/>
        <v>1639.3397004651463</v>
      </c>
      <c r="I67" s="356">
        <v>0</v>
      </c>
      <c r="J67" s="356">
        <v>0</v>
      </c>
      <c r="K67" s="356">
        <f t="shared" si="11"/>
        <v>-207.22133503667126</v>
      </c>
      <c r="L67" s="356">
        <f t="shared" si="2"/>
        <v>207014.11370163457</v>
      </c>
      <c r="N67" s="356">
        <f t="shared" si="12"/>
        <v>44</v>
      </c>
      <c r="O67" s="357">
        <f t="shared" si="20"/>
        <v>3</v>
      </c>
      <c r="P67" s="357">
        <f t="shared" si="21"/>
        <v>8</v>
      </c>
      <c r="Q67" s="357">
        <f t="shared" si="22"/>
        <v>3</v>
      </c>
      <c r="R67" s="356">
        <f t="shared" si="14"/>
        <v>271710.14751351695</v>
      </c>
      <c r="S67" s="356">
        <f>IF($G$4="mensual",S66,0)</f>
        <v>10000</v>
      </c>
      <c r="U67" s="356">
        <f t="shared" si="23"/>
        <v>2246.3962765199785</v>
      </c>
      <c r="V67" s="356">
        <f t="shared" si="25"/>
        <v>-85.71463680000001</v>
      </c>
      <c r="X67" s="356">
        <f t="shared" si="4"/>
        <v>-283.95654379003696</v>
      </c>
      <c r="Y67" s="356">
        <f t="shared" si="5"/>
        <v>283586.8726094469</v>
      </c>
      <c r="AA67" s="357">
        <f>+Bono!J67</f>
        <v>135966.0700427326</v>
      </c>
      <c r="AC67" s="378">
        <f t="shared" si="6"/>
        <v>3.6666666666666665</v>
      </c>
      <c r="AD67" s="356">
        <f t="shared" si="7"/>
        <v>626567.0563538141</v>
      </c>
    </row>
    <row r="68" spans="2:30" x14ac:dyDescent="0.25">
      <c r="B68" s="356">
        <f t="shared" si="8"/>
        <v>45</v>
      </c>
      <c r="C68" s="357">
        <f t="shared" si="17"/>
        <v>3</v>
      </c>
      <c r="D68" s="357">
        <f t="shared" si="18"/>
        <v>9</v>
      </c>
      <c r="E68" s="357">
        <f t="shared" si="19"/>
        <v>32</v>
      </c>
      <c r="F68" s="356">
        <f t="shared" si="10"/>
        <v>207014.11370163457</v>
      </c>
      <c r="H68" s="356">
        <f t="shared" si="1"/>
        <v>1650.759613421885</v>
      </c>
      <c r="I68" s="356">
        <v>0</v>
      </c>
      <c r="J68" s="360">
        <f>-SUM(F68:H68)*$J$21</f>
        <v>-1877.9838598355084</v>
      </c>
      <c r="K68" s="356">
        <f t="shared" si="11"/>
        <v>-206.78688945522094</v>
      </c>
      <c r="L68" s="356">
        <f t="shared" si="2"/>
        <v>206580.10256576573</v>
      </c>
      <c r="N68" s="356">
        <f t="shared" si="12"/>
        <v>45</v>
      </c>
      <c r="O68" s="357">
        <f t="shared" si="20"/>
        <v>3</v>
      </c>
      <c r="P68" s="357">
        <f t="shared" si="21"/>
        <v>9</v>
      </c>
      <c r="Q68" s="357">
        <f t="shared" si="22"/>
        <v>3</v>
      </c>
      <c r="R68" s="356">
        <f t="shared" si="14"/>
        <v>283586.8726094469</v>
      </c>
      <c r="S68" s="356">
        <f>IF($G$4="mensual",S67,0)</f>
        <v>10000</v>
      </c>
      <c r="U68" s="356">
        <f t="shared" si="23"/>
        <v>2341.1029502704096</v>
      </c>
      <c r="V68" s="356">
        <f t="shared" si="25"/>
        <v>-85.71463680000001</v>
      </c>
      <c r="X68" s="356">
        <f t="shared" si="4"/>
        <v>-295.9279755597173</v>
      </c>
      <c r="Y68" s="356">
        <f t="shared" si="5"/>
        <v>295546.33294735756</v>
      </c>
      <c r="AA68" s="357">
        <f>+Bono!J68</f>
        <v>135576.56125485952</v>
      </c>
      <c r="AC68" s="378">
        <f t="shared" si="6"/>
        <v>3.75</v>
      </c>
      <c r="AD68" s="356">
        <f t="shared" si="7"/>
        <v>637702.9967679828</v>
      </c>
    </row>
    <row r="69" spans="2:30" x14ac:dyDescent="0.25">
      <c r="B69" s="356">
        <f t="shared" si="8"/>
        <v>46</v>
      </c>
      <c r="C69" s="357">
        <f t="shared" si="17"/>
        <v>3</v>
      </c>
      <c r="D69" s="357">
        <f t="shared" si="18"/>
        <v>10</v>
      </c>
      <c r="E69" s="357">
        <f t="shared" si="19"/>
        <v>32</v>
      </c>
      <c r="F69" s="356">
        <f t="shared" si="10"/>
        <v>206580.10256576573</v>
      </c>
      <c r="H69" s="356">
        <f t="shared" si="1"/>
        <v>1647.2987476767587</v>
      </c>
      <c r="I69" s="356">
        <v>0</v>
      </c>
      <c r="J69" s="356">
        <v>0</v>
      </c>
      <c r="K69" s="356">
        <f t="shared" si="11"/>
        <v>-208.22740131344247</v>
      </c>
      <c r="L69" s="356">
        <f t="shared" si="2"/>
        <v>208019.17391212904</v>
      </c>
      <c r="N69" s="356">
        <f t="shared" si="12"/>
        <v>46</v>
      </c>
      <c r="O69" s="357">
        <f t="shared" si="20"/>
        <v>3</v>
      </c>
      <c r="P69" s="357">
        <f t="shared" si="21"/>
        <v>10</v>
      </c>
      <c r="Q69" s="357">
        <f t="shared" si="22"/>
        <v>3</v>
      </c>
      <c r="R69" s="356">
        <f t="shared" si="14"/>
        <v>295546.33294735756</v>
      </c>
      <c r="S69" s="356">
        <f>IF($G$4="mensual",S60,IF($G$4="trimestral",S60,0))</f>
        <v>10000</v>
      </c>
      <c r="U69" s="356">
        <f t="shared" si="23"/>
        <v>2436.469366458814</v>
      </c>
      <c r="V69" s="356">
        <f t="shared" si="25"/>
        <v>-85.71463680000001</v>
      </c>
      <c r="X69" s="356">
        <f t="shared" si="4"/>
        <v>-307.98280231381636</v>
      </c>
      <c r="Y69" s="356">
        <f t="shared" si="5"/>
        <v>307589.1048747026</v>
      </c>
      <c r="AA69" s="357">
        <f>+Bono!J69</f>
        <v>136417.1516605474</v>
      </c>
      <c r="AC69" s="378">
        <f t="shared" si="6"/>
        <v>3.8333333333333335</v>
      </c>
      <c r="AD69" s="356">
        <f t="shared" si="7"/>
        <v>652025.430447379</v>
      </c>
    </row>
    <row r="70" spans="2:30" x14ac:dyDescent="0.25">
      <c r="B70" s="356">
        <f t="shared" si="8"/>
        <v>47</v>
      </c>
      <c r="C70" s="357">
        <f t="shared" si="17"/>
        <v>3</v>
      </c>
      <c r="D70" s="357">
        <f t="shared" si="18"/>
        <v>11</v>
      </c>
      <c r="E70" s="357">
        <f t="shared" si="19"/>
        <v>32</v>
      </c>
      <c r="F70" s="356">
        <f t="shared" si="10"/>
        <v>208019.17391212904</v>
      </c>
      <c r="H70" s="356">
        <f t="shared" si="1"/>
        <v>1658.7741046798715</v>
      </c>
      <c r="I70" s="356">
        <v>0</v>
      </c>
      <c r="J70" s="356">
        <v>0</v>
      </c>
      <c r="K70" s="356">
        <f t="shared" si="11"/>
        <v>-209.67794801680893</v>
      </c>
      <c r="L70" s="356">
        <f t="shared" si="2"/>
        <v>209468.2700687921</v>
      </c>
      <c r="N70" s="356">
        <f t="shared" si="12"/>
        <v>47</v>
      </c>
      <c r="O70" s="357">
        <f t="shared" si="20"/>
        <v>3</v>
      </c>
      <c r="P70" s="357">
        <f t="shared" si="21"/>
        <v>11</v>
      </c>
      <c r="Q70" s="357">
        <f t="shared" si="22"/>
        <v>3</v>
      </c>
      <c r="R70" s="356">
        <f t="shared" si="14"/>
        <v>307589.1048747026</v>
      </c>
      <c r="S70" s="356">
        <f>IF($G$17="si",S58*(1+$G$20),S58)</f>
        <v>10000</v>
      </c>
      <c r="U70" s="356">
        <f t="shared" si="23"/>
        <v>2532.5001209607235</v>
      </c>
      <c r="V70" s="356">
        <f t="shared" si="25"/>
        <v>-85.71463680000001</v>
      </c>
      <c r="X70" s="356">
        <f t="shared" si="4"/>
        <v>-320.1216049956633</v>
      </c>
      <c r="Y70" s="356">
        <f t="shared" si="5"/>
        <v>319715.7687538676</v>
      </c>
      <c r="AA70" s="357">
        <f>+Bono!J70</f>
        <v>137262.953824253</v>
      </c>
      <c r="AC70" s="378">
        <f t="shared" si="6"/>
        <v>3.9166666666666665</v>
      </c>
      <c r="AD70" s="356">
        <f t="shared" si="7"/>
        <v>666446.9926469127</v>
      </c>
    </row>
    <row r="71" spans="2:30" x14ac:dyDescent="0.25">
      <c r="B71" s="356">
        <f t="shared" si="8"/>
        <v>48</v>
      </c>
      <c r="C71" s="357">
        <f t="shared" si="17"/>
        <v>3</v>
      </c>
      <c r="D71" s="357">
        <f t="shared" si="18"/>
        <v>12</v>
      </c>
      <c r="E71" s="357">
        <f t="shared" si="19"/>
        <v>32</v>
      </c>
      <c r="F71" s="356">
        <f t="shared" si="10"/>
        <v>209468.2700687921</v>
      </c>
      <c r="H71" s="356">
        <f t="shared" si="1"/>
        <v>1670.3294009280874</v>
      </c>
      <c r="I71" s="356">
        <v>0</v>
      </c>
      <c r="J71" s="360">
        <f>-SUM(F71:H71)*$J$21</f>
        <v>-1900.2473952274818</v>
      </c>
      <c r="K71" s="356">
        <f t="shared" si="11"/>
        <v>-209.2383520744927</v>
      </c>
      <c r="L71" s="356">
        <f t="shared" si="2"/>
        <v>209029.1137224182</v>
      </c>
      <c r="N71" s="356">
        <f t="shared" si="12"/>
        <v>48</v>
      </c>
      <c r="O71" s="357">
        <f t="shared" si="20"/>
        <v>3</v>
      </c>
      <c r="P71" s="357">
        <f t="shared" si="21"/>
        <v>12</v>
      </c>
      <c r="Q71" s="357">
        <f t="shared" si="22"/>
        <v>3</v>
      </c>
      <c r="R71" s="356">
        <f t="shared" si="14"/>
        <v>319715.7687538676</v>
      </c>
      <c r="S71" s="356">
        <f>IF($G$4="mensual",S70,0)</f>
        <v>10000</v>
      </c>
      <c r="U71" s="356">
        <f t="shared" si="23"/>
        <v>2629.1998416673</v>
      </c>
      <c r="V71" s="356">
        <f t="shared" si="25"/>
        <v>-85.71463680000001</v>
      </c>
      <c r="X71" s="356">
        <f t="shared" si="4"/>
        <v>-332.3449685955349</v>
      </c>
      <c r="Y71" s="356">
        <f t="shared" si="5"/>
        <v>331926.9089901394</v>
      </c>
      <c r="AA71" s="357">
        <f>+Bono!J71</f>
        <v>136869.72978867442</v>
      </c>
      <c r="AC71" s="378">
        <f t="shared" si="6"/>
        <v>4</v>
      </c>
      <c r="AD71" s="356">
        <f t="shared" si="7"/>
        <v>677825.752501232</v>
      </c>
    </row>
    <row r="72" spans="2:30" x14ac:dyDescent="0.25">
      <c r="B72" s="356">
        <f t="shared" si="8"/>
        <v>49</v>
      </c>
      <c r="C72" s="357">
        <f t="shared" si="17"/>
        <v>4</v>
      </c>
      <c r="D72" s="357">
        <f t="shared" si="18"/>
        <v>1</v>
      </c>
      <c r="E72" s="357">
        <f t="shared" si="19"/>
        <v>33</v>
      </c>
      <c r="F72" s="356">
        <f t="shared" si="10"/>
        <v>209029.1137224182</v>
      </c>
      <c r="H72" s="356">
        <f t="shared" si="1"/>
        <v>1666.8275065518576</v>
      </c>
      <c r="I72" s="356">
        <v>0</v>
      </c>
      <c r="J72" s="356">
        <v>0</v>
      </c>
      <c r="K72" s="356">
        <f t="shared" si="11"/>
        <v>-210.69594122897007</v>
      </c>
      <c r="L72" s="356">
        <f t="shared" si="2"/>
        <v>210485.2452877411</v>
      </c>
      <c r="N72" s="356">
        <f t="shared" si="12"/>
        <v>49</v>
      </c>
      <c r="O72" s="357">
        <f t="shared" si="20"/>
        <v>4</v>
      </c>
      <c r="P72" s="357">
        <f t="shared" si="21"/>
        <v>1</v>
      </c>
      <c r="Q72" s="357">
        <f t="shared" si="22"/>
        <v>4</v>
      </c>
      <c r="R72" s="356">
        <f t="shared" si="14"/>
        <v>331926.9089901394</v>
      </c>
      <c r="S72" s="356">
        <f>IF($G$17="si",S60*(1+$G$20),S60)</f>
        <v>10000</v>
      </c>
      <c r="U72" s="356">
        <f t="shared" si="23"/>
        <v>2726.5731887083684</v>
      </c>
      <c r="V72" s="356">
        <f>V71*(1+$G$18)</f>
        <v>-89.14322227200002</v>
      </c>
      <c r="X72" s="356">
        <f t="shared" si="4"/>
        <v>-344.65348217884775</v>
      </c>
      <c r="Y72" s="356">
        <f t="shared" si="5"/>
        <v>344219.6854743969</v>
      </c>
      <c r="AA72" s="357">
        <f>+Bono!J72</f>
        <v>137718.3379892702</v>
      </c>
      <c r="AC72" s="378">
        <f t="shared" si="6"/>
        <v>4.083333333333333</v>
      </c>
      <c r="AD72" s="356">
        <f t="shared" si="7"/>
        <v>692423.2687514082</v>
      </c>
    </row>
    <row r="73" spans="2:30" x14ac:dyDescent="0.25">
      <c r="B73" s="356">
        <f t="shared" si="8"/>
        <v>50</v>
      </c>
      <c r="C73" s="357">
        <f t="shared" si="17"/>
        <v>4</v>
      </c>
      <c r="D73" s="357">
        <f t="shared" si="18"/>
        <v>2</v>
      </c>
      <c r="E73" s="357">
        <f t="shared" si="19"/>
        <v>33</v>
      </c>
      <c r="F73" s="356">
        <f t="shared" si="10"/>
        <v>210485.2452877411</v>
      </c>
      <c r="H73" s="356">
        <f t="shared" si="1"/>
        <v>1678.438904136702</v>
      </c>
      <c r="I73" s="356">
        <v>0</v>
      </c>
      <c r="J73" s="356">
        <v>0</v>
      </c>
      <c r="K73" s="356">
        <f t="shared" si="11"/>
        <v>-212.16368419187782</v>
      </c>
      <c r="L73" s="356">
        <f t="shared" si="2"/>
        <v>211951.52050768593</v>
      </c>
      <c r="N73" s="356">
        <f t="shared" si="12"/>
        <v>50</v>
      </c>
      <c r="O73" s="357">
        <f t="shared" si="20"/>
        <v>4</v>
      </c>
      <c r="P73" s="357">
        <f t="shared" si="21"/>
        <v>2</v>
      </c>
      <c r="Q73" s="357">
        <f t="shared" si="22"/>
        <v>4</v>
      </c>
      <c r="R73" s="356">
        <f t="shared" si="14"/>
        <v>344219.6854743969</v>
      </c>
      <c r="S73" s="356">
        <f>IF($G$4="mensual",S72,0)</f>
        <v>10000</v>
      </c>
      <c r="U73" s="356">
        <f t="shared" si="23"/>
        <v>2824.597514654964</v>
      </c>
      <c r="V73" s="356">
        <f>V72</f>
        <v>-89.14322227200002</v>
      </c>
      <c r="X73" s="356">
        <f t="shared" si="4"/>
        <v>-357.0442829890519</v>
      </c>
      <c r="Y73" s="356">
        <f t="shared" si="5"/>
        <v>356598.09548379085</v>
      </c>
      <c r="AA73" s="357">
        <f>+Bono!J73</f>
        <v>138572.20765914215</v>
      </c>
      <c r="AC73" s="378">
        <f t="shared" si="6"/>
        <v>4.166666666666667</v>
      </c>
      <c r="AD73" s="356">
        <f t="shared" si="7"/>
        <v>707121.8236506189</v>
      </c>
    </row>
    <row r="74" spans="2:30" x14ac:dyDescent="0.25">
      <c r="B74" s="356">
        <f t="shared" si="8"/>
        <v>51</v>
      </c>
      <c r="C74" s="357">
        <f t="shared" si="17"/>
        <v>4</v>
      </c>
      <c r="D74" s="357">
        <f t="shared" si="18"/>
        <v>3</v>
      </c>
      <c r="E74" s="357">
        <f t="shared" si="19"/>
        <v>33</v>
      </c>
      <c r="F74" s="356">
        <f t="shared" si="10"/>
        <v>211951.52050768593</v>
      </c>
      <c r="H74" s="356">
        <f t="shared" si="1"/>
        <v>1690.1311886479637</v>
      </c>
      <c r="I74" s="356">
        <v>0</v>
      </c>
      <c r="J74" s="360">
        <f>-SUM(F74:H74)*$J$21</f>
        <v>-1922.7748652670052</v>
      </c>
      <c r="K74" s="356">
        <f t="shared" si="11"/>
        <v>-211.7188768310669</v>
      </c>
      <c r="L74" s="356">
        <f t="shared" si="2"/>
        <v>211507.15795423582</v>
      </c>
      <c r="N74" s="356">
        <f t="shared" si="12"/>
        <v>51</v>
      </c>
      <c r="O74" s="357">
        <f t="shared" si="20"/>
        <v>4</v>
      </c>
      <c r="P74" s="357">
        <f t="shared" si="21"/>
        <v>3</v>
      </c>
      <c r="Q74" s="357">
        <f t="shared" si="22"/>
        <v>4</v>
      </c>
      <c r="R74" s="356">
        <f t="shared" si="14"/>
        <v>356598.09548379085</v>
      </c>
      <c r="S74" s="356">
        <f>IF($G$4="mensual",S73,0)</f>
        <v>10000</v>
      </c>
      <c r="U74" s="356">
        <f t="shared" si="23"/>
        <v>2923.304694356419</v>
      </c>
      <c r="V74" s="356">
        <f t="shared" si="25"/>
        <v>-89.14322227200002</v>
      </c>
      <c r="X74" s="356">
        <f t="shared" si="4"/>
        <v>-369.52140017814725</v>
      </c>
      <c r="Y74" s="356">
        <f t="shared" si="5"/>
        <v>369062.7355556971</v>
      </c>
      <c r="AA74" s="357">
        <f>+Bono!J74</f>
        <v>138175.2329387487</v>
      </c>
      <c r="AC74" s="378">
        <f t="shared" si="6"/>
        <v>4.25</v>
      </c>
      <c r="AD74" s="356">
        <f t="shared" si="7"/>
        <v>718745.1264486816</v>
      </c>
    </row>
    <row r="75" spans="2:30" x14ac:dyDescent="0.25">
      <c r="B75" s="356">
        <f t="shared" si="8"/>
        <v>52</v>
      </c>
      <c r="C75" s="357">
        <f t="shared" si="17"/>
        <v>4</v>
      </c>
      <c r="D75" s="357">
        <f t="shared" si="18"/>
        <v>4</v>
      </c>
      <c r="E75" s="357">
        <f t="shared" si="19"/>
        <v>33</v>
      </c>
      <c r="F75" s="356">
        <f t="shared" si="10"/>
        <v>211507.15795423582</v>
      </c>
      <c r="H75" s="356">
        <f t="shared" si="1"/>
        <v>1686.5877792454062</v>
      </c>
      <c r="I75" s="356">
        <v>0</v>
      </c>
      <c r="J75" s="356">
        <v>0</v>
      </c>
      <c r="K75" s="356">
        <f t="shared" si="11"/>
        <v>-213.19374573348122</v>
      </c>
      <c r="L75" s="356">
        <f t="shared" si="2"/>
        <v>212980.55198774775</v>
      </c>
      <c r="N75" s="356">
        <f t="shared" si="12"/>
        <v>52</v>
      </c>
      <c r="O75" s="357">
        <f t="shared" si="20"/>
        <v>4</v>
      </c>
      <c r="P75" s="357">
        <f t="shared" si="21"/>
        <v>4</v>
      </c>
      <c r="Q75" s="357">
        <f t="shared" si="22"/>
        <v>4</v>
      </c>
      <c r="R75" s="356">
        <f t="shared" si="14"/>
        <v>369062.7355556971</v>
      </c>
      <c r="S75" s="356">
        <f>IF($G$4="mensual",S72,IF($G$4="trimestral",S72,0))</f>
        <v>10000</v>
      </c>
      <c r="U75" s="356">
        <f t="shared" si="23"/>
        <v>3022.699484685541</v>
      </c>
      <c r="V75" s="356">
        <f t="shared" si="25"/>
        <v>-89.14322227200002</v>
      </c>
      <c r="X75" s="356">
        <f t="shared" si="4"/>
        <v>-382.08543504038266</v>
      </c>
      <c r="Y75" s="356">
        <f t="shared" si="5"/>
        <v>381614.20638307027</v>
      </c>
      <c r="AA75" s="357">
        <f>+Bono!J75</f>
        <v>139031.93541030394</v>
      </c>
      <c r="AC75" s="378">
        <f t="shared" si="6"/>
        <v>4.333333333333333</v>
      </c>
      <c r="AD75" s="356">
        <f t="shared" si="7"/>
        <v>733626.693781122</v>
      </c>
    </row>
    <row r="76" spans="2:30" x14ac:dyDescent="0.25">
      <c r="B76" s="356">
        <f t="shared" si="8"/>
        <v>53</v>
      </c>
      <c r="C76" s="357">
        <f t="shared" si="17"/>
        <v>4</v>
      </c>
      <c r="D76" s="357">
        <f t="shared" si="18"/>
        <v>5</v>
      </c>
      <c r="E76" s="357">
        <f t="shared" si="19"/>
        <v>33</v>
      </c>
      <c r="F76" s="356">
        <f t="shared" si="10"/>
        <v>212980.55198774775</v>
      </c>
      <c r="H76" s="356">
        <f t="shared" si="1"/>
        <v>1698.3368301757394</v>
      </c>
      <c r="I76" s="356">
        <v>0</v>
      </c>
      <c r="J76" s="356">
        <v>0</v>
      </c>
      <c r="K76" s="356">
        <f t="shared" si="11"/>
        <v>-214.6788888179235</v>
      </c>
      <c r="L76" s="356">
        <f t="shared" si="2"/>
        <v>214464.20992910556</v>
      </c>
      <c r="N76" s="356">
        <f t="shared" si="12"/>
        <v>53</v>
      </c>
      <c r="O76" s="357">
        <f t="shared" si="20"/>
        <v>4</v>
      </c>
      <c r="P76" s="357">
        <f t="shared" si="21"/>
        <v>5</v>
      </c>
      <c r="Q76" s="357">
        <f t="shared" si="22"/>
        <v>4</v>
      </c>
      <c r="R76" s="356">
        <f t="shared" si="14"/>
        <v>381614.20638307027</v>
      </c>
      <c r="S76" s="356">
        <f>IF($G$4="mensual",S75,0)</f>
        <v>10000</v>
      </c>
      <c r="U76" s="356">
        <f t="shared" si="23"/>
        <v>3122.786675652303</v>
      </c>
      <c r="V76" s="356">
        <f t="shared" si="25"/>
        <v>-89.14322227200002</v>
      </c>
      <c r="X76" s="356">
        <f t="shared" si="4"/>
        <v>-394.7369930587226</v>
      </c>
      <c r="Y76" s="356">
        <f t="shared" si="5"/>
        <v>394253.1128433919</v>
      </c>
      <c r="AA76" s="357">
        <f>+Bono!J76</f>
        <v>139893.94953655414</v>
      </c>
      <c r="AC76" s="378">
        <f t="shared" si="6"/>
        <v>4.416666666666667</v>
      </c>
      <c r="AD76" s="356">
        <f t="shared" si="7"/>
        <v>748611.2723090516</v>
      </c>
    </row>
    <row r="77" spans="2:30" x14ac:dyDescent="0.25">
      <c r="B77" s="356">
        <f t="shared" si="8"/>
        <v>54</v>
      </c>
      <c r="C77" s="357">
        <f t="shared" si="17"/>
        <v>4</v>
      </c>
      <c r="D77" s="357">
        <f t="shared" si="18"/>
        <v>6</v>
      </c>
      <c r="E77" s="357">
        <f t="shared" si="19"/>
        <v>33</v>
      </c>
      <c r="F77" s="356">
        <f t="shared" si="10"/>
        <v>214464.20992910556</v>
      </c>
      <c r="H77" s="356">
        <f t="shared" si="1"/>
        <v>1710.1677269485847</v>
      </c>
      <c r="I77" s="356">
        <v>0</v>
      </c>
      <c r="J77" s="360">
        <f>-SUM(F77:H77)*$J$21</f>
        <v>-1945.5693989044876</v>
      </c>
      <c r="K77" s="356">
        <f t="shared" si="11"/>
        <v>-214.2288082571497</v>
      </c>
      <c r="L77" s="356">
        <f t="shared" si="2"/>
        <v>214014.57944889253</v>
      </c>
      <c r="N77" s="356">
        <f t="shared" si="12"/>
        <v>54</v>
      </c>
      <c r="O77" s="357">
        <f t="shared" si="20"/>
        <v>4</v>
      </c>
      <c r="P77" s="357">
        <f t="shared" si="21"/>
        <v>6</v>
      </c>
      <c r="Q77" s="357">
        <f t="shared" si="22"/>
        <v>4</v>
      </c>
      <c r="R77" s="356">
        <f t="shared" si="14"/>
        <v>394253.1128433919</v>
      </c>
      <c r="S77" s="356">
        <f>IF($G$4="mensual",S76,0)</f>
        <v>10000</v>
      </c>
      <c r="U77" s="356">
        <f t="shared" si="23"/>
        <v>3223.5710906346867</v>
      </c>
      <c r="V77" s="356">
        <f t="shared" si="25"/>
        <v>-89.14322227200002</v>
      </c>
      <c r="X77" s="356">
        <f t="shared" si="4"/>
        <v>-407.4766839340266</v>
      </c>
      <c r="Y77" s="356">
        <f t="shared" si="5"/>
        <v>406980.06402782054</v>
      </c>
      <c r="AA77" s="357">
        <f>+Bono!J77</f>
        <v>139493.18835622704</v>
      </c>
      <c r="AC77" s="378">
        <f t="shared" si="6"/>
        <v>4.5</v>
      </c>
      <c r="AD77" s="356">
        <f t="shared" si="7"/>
        <v>760487.8318329401</v>
      </c>
    </row>
    <row r="78" spans="2:30" x14ac:dyDescent="0.25">
      <c r="B78" s="356">
        <f t="shared" si="8"/>
        <v>55</v>
      </c>
      <c r="C78" s="357">
        <f t="shared" si="17"/>
        <v>4</v>
      </c>
      <c r="D78" s="357">
        <f t="shared" si="18"/>
        <v>7</v>
      </c>
      <c r="E78" s="357">
        <f t="shared" si="19"/>
        <v>33</v>
      </c>
      <c r="F78" s="356">
        <f t="shared" si="10"/>
        <v>214014.57944889253</v>
      </c>
      <c r="H78" s="356">
        <f t="shared" si="1"/>
        <v>1706.5823103582507</v>
      </c>
      <c r="I78" s="356">
        <v>0</v>
      </c>
      <c r="J78" s="356">
        <v>0</v>
      </c>
      <c r="K78" s="356">
        <f t="shared" si="11"/>
        <v>-215.72116175925078</v>
      </c>
      <c r="L78" s="356">
        <f t="shared" si="2"/>
        <v>215505.4405974915</v>
      </c>
      <c r="N78" s="356">
        <f t="shared" si="12"/>
        <v>55</v>
      </c>
      <c r="O78" s="357">
        <f t="shared" si="20"/>
        <v>4</v>
      </c>
      <c r="P78" s="357">
        <f t="shared" si="21"/>
        <v>7</v>
      </c>
      <c r="Q78" s="357">
        <f t="shared" si="22"/>
        <v>4</v>
      </c>
      <c r="R78" s="356">
        <f t="shared" si="14"/>
        <v>406980.06402782054</v>
      </c>
      <c r="S78" s="356">
        <f>+IF($G$4="mensual",S72,IF($G$4="trimestral",S72,IF($G$4="semestral",S72,0)))</f>
        <v>10000</v>
      </c>
      <c r="U78" s="356">
        <f t="shared" si="23"/>
        <v>3325.057586611124</v>
      </c>
      <c r="V78" s="356">
        <f t="shared" si="25"/>
        <v>-89.14322227200002</v>
      </c>
      <c r="X78" s="356">
        <f t="shared" si="4"/>
        <v>-420.3051216144317</v>
      </c>
      <c r="Y78" s="356">
        <f t="shared" si="5"/>
        <v>419795.67327054526</v>
      </c>
      <c r="AA78" s="357">
        <f>+Bono!J78</f>
        <v>140358.062304244</v>
      </c>
      <c r="AC78" s="378">
        <f t="shared" si="6"/>
        <v>4.583333333333333</v>
      </c>
      <c r="AD78" s="356">
        <f t="shared" si="7"/>
        <v>775659.1761722807</v>
      </c>
    </row>
    <row r="79" spans="2:30" x14ac:dyDescent="0.25">
      <c r="B79" s="356">
        <f t="shared" si="8"/>
        <v>56</v>
      </c>
      <c r="C79" s="357">
        <f t="shared" si="17"/>
        <v>4</v>
      </c>
      <c r="D79" s="357">
        <f t="shared" si="18"/>
        <v>8</v>
      </c>
      <c r="E79" s="357">
        <f t="shared" si="19"/>
        <v>33</v>
      </c>
      <c r="F79" s="356">
        <f t="shared" si="10"/>
        <v>215505.4405974915</v>
      </c>
      <c r="H79" s="356">
        <f t="shared" si="1"/>
        <v>1718.4706465171757</v>
      </c>
      <c r="I79" s="356">
        <v>0</v>
      </c>
      <c r="J79" s="356">
        <v>0</v>
      </c>
      <c r="K79" s="356">
        <f t="shared" si="11"/>
        <v>-217.2239112440087</v>
      </c>
      <c r="L79" s="356">
        <f t="shared" si="2"/>
        <v>217006.68733276468</v>
      </c>
      <c r="N79" s="356">
        <f t="shared" si="12"/>
        <v>56</v>
      </c>
      <c r="O79" s="357">
        <f t="shared" si="20"/>
        <v>4</v>
      </c>
      <c r="P79" s="357">
        <f t="shared" si="21"/>
        <v>8</v>
      </c>
      <c r="Q79" s="357">
        <f t="shared" si="22"/>
        <v>4</v>
      </c>
      <c r="R79" s="356">
        <f t="shared" si="14"/>
        <v>419795.67327054526</v>
      </c>
      <c r="S79" s="356">
        <f>IF($G$4="mensual",S78,0)</f>
        <v>10000</v>
      </c>
      <c r="U79" s="356">
        <f t="shared" si="23"/>
        <v>3427.2510543945677</v>
      </c>
      <c r="V79" s="356">
        <f t="shared" si="25"/>
        <v>-89.14322227200002</v>
      </c>
      <c r="X79" s="356">
        <f t="shared" si="4"/>
        <v>-433.22292432493987</v>
      </c>
      <c r="Y79" s="356">
        <f t="shared" si="5"/>
        <v>432700.55817834294</v>
      </c>
      <c r="AA79" s="357">
        <f>+Bono!J79</f>
        <v>141228.29857105785</v>
      </c>
      <c r="AC79" s="378">
        <f t="shared" si="6"/>
        <v>4.666666666666667</v>
      </c>
      <c r="AD79" s="356">
        <f t="shared" si="7"/>
        <v>790935.5440821655</v>
      </c>
    </row>
    <row r="80" spans="2:30" x14ac:dyDescent="0.25">
      <c r="B80" s="356">
        <f t="shared" si="8"/>
        <v>57</v>
      </c>
      <c r="C80" s="357">
        <f t="shared" si="17"/>
        <v>4</v>
      </c>
      <c r="D80" s="357">
        <f t="shared" si="18"/>
        <v>9</v>
      </c>
      <c r="E80" s="357">
        <f t="shared" si="19"/>
        <v>33</v>
      </c>
      <c r="F80" s="356">
        <f t="shared" si="10"/>
        <v>217006.68733276468</v>
      </c>
      <c r="H80" s="356">
        <f t="shared" si="1"/>
        <v>1730.441798802677</v>
      </c>
      <c r="I80" s="356">
        <v>0</v>
      </c>
      <c r="J80" s="360">
        <f>-SUM(F80:H80)*$J$21</f>
        <v>-1968.6341621841063</v>
      </c>
      <c r="K80" s="356">
        <f t="shared" si="11"/>
        <v>-216.76849496938323</v>
      </c>
      <c r="L80" s="356">
        <f t="shared" si="2"/>
        <v>216551.72647441385</v>
      </c>
      <c r="N80" s="356">
        <f t="shared" si="12"/>
        <v>57</v>
      </c>
      <c r="O80" s="357">
        <f t="shared" si="20"/>
        <v>4</v>
      </c>
      <c r="P80" s="357">
        <f t="shared" si="21"/>
        <v>9</v>
      </c>
      <c r="Q80" s="357">
        <f t="shared" si="22"/>
        <v>4</v>
      </c>
      <c r="R80" s="356">
        <f t="shared" si="14"/>
        <v>432700.55817834294</v>
      </c>
      <c r="S80" s="356">
        <f>IF($G$4="mensual",S79,0)</f>
        <v>10000</v>
      </c>
      <c r="U80" s="356">
        <f t="shared" si="23"/>
        <v>3530.1564188681873</v>
      </c>
      <c r="V80" s="356">
        <f t="shared" si="25"/>
        <v>-89.14322227200002</v>
      </c>
      <c r="X80" s="356">
        <f t="shared" si="4"/>
        <v>-446.2307145972111</v>
      </c>
      <c r="Y80" s="356">
        <f t="shared" si="5"/>
        <v>445695.3406603419</v>
      </c>
      <c r="AA80" s="357">
        <f>+Bono!J80</f>
        <v>140823.71481444486</v>
      </c>
      <c r="AC80" s="378">
        <f t="shared" si="6"/>
        <v>4.75</v>
      </c>
      <c r="AD80" s="356">
        <f t="shared" si="7"/>
        <v>803070.7819492007</v>
      </c>
    </row>
    <row r="81" spans="2:30" x14ac:dyDescent="0.25">
      <c r="B81" s="356">
        <f t="shared" si="8"/>
        <v>58</v>
      </c>
      <c r="C81" s="357">
        <f t="shared" si="17"/>
        <v>4</v>
      </c>
      <c r="D81" s="357">
        <f t="shared" si="18"/>
        <v>10</v>
      </c>
      <c r="E81" s="357">
        <f t="shared" si="19"/>
        <v>33</v>
      </c>
      <c r="F81" s="356">
        <f t="shared" si="10"/>
        <v>216551.72647441385</v>
      </c>
      <c r="H81" s="356">
        <f t="shared" si="1"/>
        <v>1726.8138770285332</v>
      </c>
      <c r="I81" s="356">
        <v>0</v>
      </c>
      <c r="J81" s="356">
        <v>0</v>
      </c>
      <c r="K81" s="356">
        <f t="shared" si="11"/>
        <v>-218.2785403514424</v>
      </c>
      <c r="L81" s="356">
        <f t="shared" si="2"/>
        <v>218060.26181109095</v>
      </c>
      <c r="N81" s="356">
        <f t="shared" si="12"/>
        <v>58</v>
      </c>
      <c r="O81" s="357">
        <f t="shared" si="20"/>
        <v>4</v>
      </c>
      <c r="P81" s="357">
        <f t="shared" si="21"/>
        <v>10</v>
      </c>
      <c r="Q81" s="357">
        <f t="shared" si="22"/>
        <v>4</v>
      </c>
      <c r="R81" s="356">
        <f t="shared" si="14"/>
        <v>445695.3406603419</v>
      </c>
      <c r="S81" s="356">
        <f>IF($G$4="mensual",S72,IF($G$4="trimestral",S72,0))</f>
        <v>10000</v>
      </c>
      <c r="U81" s="356">
        <f t="shared" si="23"/>
        <v>3633.778639222706</v>
      </c>
      <c r="V81" s="356">
        <f t="shared" si="25"/>
        <v>-89.14322227200002</v>
      </c>
      <c r="X81" s="356">
        <f t="shared" si="4"/>
        <v>-459.32911929956464</v>
      </c>
      <c r="Y81" s="356">
        <f t="shared" si="5"/>
        <v>458780.6469579931</v>
      </c>
      <c r="AA81" s="357">
        <f>+Bono!J81</f>
        <v>141696.83818083428</v>
      </c>
      <c r="AC81" s="378">
        <f t="shared" si="6"/>
        <v>4.833333333333333</v>
      </c>
      <c r="AD81" s="356">
        <f t="shared" si="7"/>
        <v>818537.7469499183</v>
      </c>
    </row>
    <row r="82" spans="2:30" x14ac:dyDescent="0.25">
      <c r="B82" s="356">
        <f t="shared" si="8"/>
        <v>59</v>
      </c>
      <c r="C82" s="357">
        <f t="shared" si="17"/>
        <v>4</v>
      </c>
      <c r="D82" s="357">
        <f t="shared" si="18"/>
        <v>11</v>
      </c>
      <c r="E82" s="357">
        <f t="shared" si="19"/>
        <v>33</v>
      </c>
      <c r="F82" s="356">
        <f t="shared" si="10"/>
        <v>218060.26181109095</v>
      </c>
      <c r="H82" s="356">
        <f t="shared" si="1"/>
        <v>1738.8431496451599</v>
      </c>
      <c r="I82" s="356">
        <v>0</v>
      </c>
      <c r="J82" s="356">
        <v>0</v>
      </c>
      <c r="K82" s="356">
        <f t="shared" si="11"/>
        <v>-219.79910496073612</v>
      </c>
      <c r="L82" s="356">
        <f t="shared" si="2"/>
        <v>219579.3058557754</v>
      </c>
      <c r="N82" s="356">
        <f t="shared" si="12"/>
        <v>59</v>
      </c>
      <c r="O82" s="357">
        <f t="shared" si="20"/>
        <v>4</v>
      </c>
      <c r="P82" s="357">
        <f t="shared" si="21"/>
        <v>11</v>
      </c>
      <c r="Q82" s="357">
        <f t="shared" si="22"/>
        <v>4</v>
      </c>
      <c r="R82" s="356">
        <f t="shared" si="14"/>
        <v>458780.6469579931</v>
      </c>
      <c r="S82" s="356">
        <f>IF($G$17="si",S70*(1+$G$20),S70)</f>
        <v>10000</v>
      </c>
      <c r="U82" s="356">
        <f t="shared" si="23"/>
        <v>3738.122709195395</v>
      </c>
      <c r="V82" s="356">
        <f t="shared" si="25"/>
        <v>-89.14322227200002</v>
      </c>
      <c r="X82" s="356">
        <f t="shared" si="4"/>
        <v>-472.5187696671885</v>
      </c>
      <c r="Y82" s="356">
        <f t="shared" si="5"/>
        <v>471957.10767524934</v>
      </c>
      <c r="AA82" s="357">
        <f>+Bono!J82</f>
        <v>142575.3750133714</v>
      </c>
      <c r="AC82" s="378">
        <f t="shared" si="6"/>
        <v>4.916666666666667</v>
      </c>
      <c r="AD82" s="356">
        <f t="shared" si="7"/>
        <v>834111.788544396</v>
      </c>
    </row>
    <row r="83" spans="2:30" x14ac:dyDescent="0.25">
      <c r="B83" s="356">
        <f t="shared" si="8"/>
        <v>60</v>
      </c>
      <c r="C83" s="357">
        <f t="shared" si="17"/>
        <v>4</v>
      </c>
      <c r="D83" s="357">
        <f t="shared" si="18"/>
        <v>12</v>
      </c>
      <c r="E83" s="357">
        <f t="shared" si="19"/>
        <v>33</v>
      </c>
      <c r="F83" s="356">
        <f t="shared" si="10"/>
        <v>219579.3058557754</v>
      </c>
      <c r="H83" s="356">
        <f t="shared" si="1"/>
        <v>1750.9562201751637</v>
      </c>
      <c r="I83" s="356">
        <v>0</v>
      </c>
      <c r="J83" s="360">
        <f>-SUM(F83:H83)*$J$21</f>
        <v>-1991.9723586835553</v>
      </c>
      <c r="K83" s="356">
        <f t="shared" si="11"/>
        <v>-219.338289717267</v>
      </c>
      <c r="L83" s="356">
        <f t="shared" si="2"/>
        <v>219118.95142754973</v>
      </c>
      <c r="N83" s="356">
        <f t="shared" si="12"/>
        <v>60</v>
      </c>
      <c r="O83" s="357">
        <f t="shared" si="20"/>
        <v>4</v>
      </c>
      <c r="P83" s="357">
        <f t="shared" si="21"/>
        <v>12</v>
      </c>
      <c r="Q83" s="357">
        <f t="shared" si="22"/>
        <v>4</v>
      </c>
      <c r="R83" s="356">
        <f t="shared" si="14"/>
        <v>471957.10767524934</v>
      </c>
      <c r="S83" s="356">
        <f>IF($G$4="mensual",S82,0)</f>
        <v>10000</v>
      </c>
      <c r="U83" s="356">
        <f t="shared" si="23"/>
        <v>3843.1936573107305</v>
      </c>
      <c r="V83" s="356">
        <f t="shared" si="25"/>
        <v>-89.14322227200002</v>
      </c>
      <c r="X83" s="356">
        <f t="shared" si="4"/>
        <v>-485.8003013325601</v>
      </c>
      <c r="Y83" s="356">
        <f t="shared" si="5"/>
        <v>485225.35780895554</v>
      </c>
      <c r="AA83" s="357">
        <f>+Bono!J83</f>
        <v>142166.9322196321</v>
      </c>
      <c r="AC83" s="378">
        <f t="shared" si="6"/>
        <v>5</v>
      </c>
      <c r="AD83" s="356">
        <f t="shared" si="7"/>
        <v>846511.2414561374</v>
      </c>
    </row>
    <row r="84" spans="2:30" x14ac:dyDescent="0.25">
      <c r="B84" s="356">
        <f t="shared" si="8"/>
        <v>61</v>
      </c>
      <c r="C84" s="357">
        <f t="shared" si="17"/>
        <v>5</v>
      </c>
      <c r="D84" s="357">
        <f t="shared" si="18"/>
        <v>1</v>
      </c>
      <c r="E84" s="357">
        <f t="shared" si="19"/>
        <v>34</v>
      </c>
      <c r="F84" s="356">
        <f t="shared" si="10"/>
        <v>219118.95142754973</v>
      </c>
      <c r="H84" s="356">
        <f t="shared" si="1"/>
        <v>1747.2852893174245</v>
      </c>
      <c r="I84" s="356">
        <v>0</v>
      </c>
      <c r="J84" s="356">
        <v>0</v>
      </c>
      <c r="K84" s="356">
        <f t="shared" si="11"/>
        <v>-220.86623671686718</v>
      </c>
      <c r="L84" s="356">
        <f t="shared" si="2"/>
        <v>220645.3704801503</v>
      </c>
      <c r="N84" s="356">
        <f t="shared" si="12"/>
        <v>61</v>
      </c>
      <c r="O84" s="357">
        <f t="shared" si="20"/>
        <v>5</v>
      </c>
      <c r="P84" s="357">
        <f t="shared" si="21"/>
        <v>1</v>
      </c>
      <c r="Q84" s="357">
        <f t="shared" si="22"/>
        <v>5</v>
      </c>
      <c r="R84" s="356">
        <f t="shared" si="14"/>
        <v>485225.35780895554</v>
      </c>
      <c r="S84" s="356">
        <f>IF($G$17="si",S72*(1+$G$20),S72)</f>
        <v>10000</v>
      </c>
      <c r="U84" s="356">
        <f t="shared" si="23"/>
        <v>3948.9965471227247</v>
      </c>
      <c r="V84" s="356">
        <f>V83*(1+$G$18)</f>
        <v>-92.70895116288003</v>
      </c>
      <c r="X84" s="356">
        <f t="shared" si="4"/>
        <v>-499.17435435607825</v>
      </c>
      <c r="Y84" s="356">
        <f t="shared" si="5"/>
        <v>498582.4710505593</v>
      </c>
      <c r="AA84" s="357">
        <f>+Bono!J84</f>
        <v>143048.38368973727</v>
      </c>
      <c r="AC84" s="378">
        <f t="shared" si="6"/>
        <v>5.083333333333333</v>
      </c>
      <c r="AD84" s="356">
        <f t="shared" si="7"/>
        <v>862276.2252204469</v>
      </c>
    </row>
    <row r="85" spans="2:30" x14ac:dyDescent="0.25">
      <c r="B85" s="356">
        <f t="shared" si="8"/>
        <v>62</v>
      </c>
      <c r="C85" s="357">
        <f t="shared" si="17"/>
        <v>5</v>
      </c>
      <c r="D85" s="357">
        <f t="shared" si="18"/>
        <v>2</v>
      </c>
      <c r="E85" s="357">
        <f t="shared" si="19"/>
        <v>34</v>
      </c>
      <c r="F85" s="356">
        <f t="shared" si="10"/>
        <v>220645.3704801503</v>
      </c>
      <c r="H85" s="356">
        <f t="shared" si="1"/>
        <v>1759.4571691962158</v>
      </c>
      <c r="I85" s="356">
        <v>0</v>
      </c>
      <c r="J85" s="356">
        <v>0</v>
      </c>
      <c r="K85" s="356">
        <f t="shared" si="11"/>
        <v>-222.40482764934652</v>
      </c>
      <c r="L85" s="356">
        <f t="shared" si="2"/>
        <v>222182.42282169717</v>
      </c>
      <c r="N85" s="356">
        <f t="shared" si="12"/>
        <v>62</v>
      </c>
      <c r="O85" s="357">
        <f t="shared" si="20"/>
        <v>5</v>
      </c>
      <c r="P85" s="357">
        <f t="shared" si="21"/>
        <v>2</v>
      </c>
      <c r="Q85" s="357">
        <f t="shared" si="22"/>
        <v>5</v>
      </c>
      <c r="R85" s="356">
        <f t="shared" si="14"/>
        <v>498582.4710505593</v>
      </c>
      <c r="S85" s="356">
        <f>IF($G$4="mensual",S84,0)</f>
        <v>10000</v>
      </c>
      <c r="U85" s="356">
        <f t="shared" si="23"/>
        <v>4055.5080438360433</v>
      </c>
      <c r="V85" s="356">
        <f>V84</f>
        <v>-92.70895116288003</v>
      </c>
      <c r="X85" s="356">
        <f t="shared" si="4"/>
        <v>-512.6379790943954</v>
      </c>
      <c r="Y85" s="356">
        <f t="shared" si="5"/>
        <v>512032.6321641381</v>
      </c>
      <c r="AA85" s="357">
        <f>+Bono!J85</f>
        <v>143935.30026119915</v>
      </c>
      <c r="AC85" s="378">
        <f t="shared" si="6"/>
        <v>5.166666666666667</v>
      </c>
      <c r="AD85" s="356">
        <f t="shared" si="7"/>
        <v>878150.3552470345</v>
      </c>
    </row>
    <row r="86" spans="2:30" x14ac:dyDescent="0.25">
      <c r="B86" s="356">
        <f t="shared" si="8"/>
        <v>63</v>
      </c>
      <c r="C86" s="357">
        <f t="shared" si="17"/>
        <v>5</v>
      </c>
      <c r="D86" s="357">
        <f t="shared" si="18"/>
        <v>3</v>
      </c>
      <c r="E86" s="357">
        <f t="shared" si="19"/>
        <v>34</v>
      </c>
      <c r="F86" s="356">
        <f t="shared" si="10"/>
        <v>222182.42282169717</v>
      </c>
      <c r="H86" s="356">
        <f t="shared" si="1"/>
        <v>1771.7138404142859</v>
      </c>
      <c r="I86" s="356">
        <v>0</v>
      </c>
      <c r="J86" s="360">
        <f>-SUM(F86:H86)*$J$21</f>
        <v>-2015.5872299590033</v>
      </c>
      <c r="K86" s="356">
        <f t="shared" si="11"/>
        <v>-221.93854943215246</v>
      </c>
      <c r="L86" s="356">
        <f t="shared" si="2"/>
        <v>221716.6108827203</v>
      </c>
      <c r="N86" s="356">
        <f t="shared" si="12"/>
        <v>63</v>
      </c>
      <c r="O86" s="357">
        <f t="shared" si="20"/>
        <v>5</v>
      </c>
      <c r="P86" s="357">
        <f t="shared" si="21"/>
        <v>3</v>
      </c>
      <c r="Q86" s="357">
        <f t="shared" si="22"/>
        <v>5</v>
      </c>
      <c r="R86" s="356">
        <f t="shared" si="14"/>
        <v>512032.6321641381</v>
      </c>
      <c r="S86" s="356">
        <f>IF($G$4="mensual",S85,0)</f>
        <v>10000</v>
      </c>
      <c r="U86" s="356">
        <f t="shared" si="23"/>
        <v>4162.761517347101</v>
      </c>
      <c r="V86" s="356">
        <f t="shared" si="25"/>
        <v>-92.70895116288003</v>
      </c>
      <c r="X86" s="356">
        <f t="shared" si="4"/>
        <v>-526.1953936814853</v>
      </c>
      <c r="Y86" s="356">
        <f t="shared" si="5"/>
        <v>525576.4893366408</v>
      </c>
      <c r="AA86" s="357">
        <f>+Bono!J86</f>
        <v>143522.96162171895</v>
      </c>
      <c r="AC86" s="378">
        <f t="shared" si="6"/>
        <v>5.25</v>
      </c>
      <c r="AD86" s="356">
        <f t="shared" si="7"/>
        <v>890816.0618410801</v>
      </c>
    </row>
    <row r="87" spans="2:30" x14ac:dyDescent="0.25">
      <c r="B87" s="356">
        <f t="shared" si="8"/>
        <v>64</v>
      </c>
      <c r="C87" s="357">
        <f t="shared" si="17"/>
        <v>5</v>
      </c>
      <c r="D87" s="357">
        <f t="shared" si="18"/>
        <v>4</v>
      </c>
      <c r="E87" s="357">
        <f t="shared" si="19"/>
        <v>34</v>
      </c>
      <c r="F87" s="356">
        <f t="shared" si="10"/>
        <v>221716.6108827203</v>
      </c>
      <c r="H87" s="356">
        <f t="shared" si="1"/>
        <v>1767.9993905994243</v>
      </c>
      <c r="I87" s="356">
        <v>0</v>
      </c>
      <c r="J87" s="356">
        <v>0</v>
      </c>
      <c r="K87" s="356">
        <f t="shared" si="11"/>
        <v>-223.48461027331973</v>
      </c>
      <c r="L87" s="356">
        <f t="shared" si="2"/>
        <v>223261.1256630464</v>
      </c>
      <c r="N87" s="356">
        <f t="shared" si="12"/>
        <v>64</v>
      </c>
      <c r="O87" s="357">
        <f t="shared" si="20"/>
        <v>5</v>
      </c>
      <c r="P87" s="357">
        <f t="shared" si="21"/>
        <v>4</v>
      </c>
      <c r="Q87" s="357">
        <f t="shared" si="22"/>
        <v>5</v>
      </c>
      <c r="R87" s="356">
        <f t="shared" si="14"/>
        <v>525576.4893366408</v>
      </c>
      <c r="S87" s="356">
        <f>IF($G$4="mensual",S84,IF($G$4="trimestral",S84,0))</f>
        <v>10000</v>
      </c>
      <c r="U87" s="356">
        <f t="shared" si="23"/>
        <v>4270.762136389653</v>
      </c>
      <c r="V87" s="356">
        <f t="shared" si="25"/>
        <v>-92.70895116288003</v>
      </c>
      <c r="X87" s="356">
        <f t="shared" si="4"/>
        <v>-539.8472514730304</v>
      </c>
      <c r="Y87" s="356">
        <f t="shared" si="5"/>
        <v>539214.6952703946</v>
      </c>
      <c r="AA87" s="357">
        <f>+Bono!J87</f>
        <v>144412.82063140674</v>
      </c>
      <c r="AC87" s="378">
        <f t="shared" si="6"/>
        <v>5.333333333333333</v>
      </c>
      <c r="AD87" s="356">
        <f t="shared" si="7"/>
        <v>906888.6415648477</v>
      </c>
    </row>
    <row r="88" spans="2:30" x14ac:dyDescent="0.25">
      <c r="B88" s="356">
        <f t="shared" si="8"/>
        <v>65</v>
      </c>
      <c r="C88" s="357">
        <f t="shared" si="17"/>
        <v>5</v>
      </c>
      <c r="D88" s="357">
        <f t="shared" si="18"/>
        <v>5</v>
      </c>
      <c r="E88" s="357">
        <f t="shared" si="19"/>
        <v>34</v>
      </c>
      <c r="F88" s="356">
        <f t="shared" si="10"/>
        <v>223261.1256630464</v>
      </c>
      <c r="H88" s="356">
        <f t="shared" ref="H88:H151" si="26">SUM(F88:G88)*$G$8</f>
        <v>1780.315568352262</v>
      </c>
      <c r="I88" s="356">
        <v>0</v>
      </c>
      <c r="J88" s="356">
        <v>0</v>
      </c>
      <c r="K88" s="356">
        <f t="shared" si="11"/>
        <v>-225.04144123139866</v>
      </c>
      <c r="L88" s="356">
        <f t="shared" ref="L88:L151" si="27">SUM(F88:K88)</f>
        <v>224816.39979016726</v>
      </c>
      <c r="N88" s="356">
        <f t="shared" si="12"/>
        <v>65</v>
      </c>
      <c r="O88" s="357">
        <f t="shared" si="20"/>
        <v>5</v>
      </c>
      <c r="P88" s="357">
        <f t="shared" si="21"/>
        <v>5</v>
      </c>
      <c r="Q88" s="357">
        <f t="shared" si="22"/>
        <v>5</v>
      </c>
      <c r="R88" s="356">
        <f t="shared" si="14"/>
        <v>539214.6952703946</v>
      </c>
      <c r="S88" s="356">
        <f>IF($G$4="mensual",S87,0)</f>
        <v>10000</v>
      </c>
      <c r="U88" s="356">
        <f t="shared" si="23"/>
        <v>4379.515105703715</v>
      </c>
      <c r="V88" s="356">
        <f t="shared" si="25"/>
        <v>-92.70895116288003</v>
      </c>
      <c r="X88" s="356">
        <f t="shared" ref="X88:X151" si="28">-SUM(R88:U88)*0.1%</f>
        <v>-553.5942103760983</v>
      </c>
      <c r="Y88" s="356">
        <f t="shared" ref="Y88:Y151" si="29">SUM(R88:X88)</f>
        <v>552947.9072145593</v>
      </c>
      <c r="AA88" s="357">
        <f>+Bono!J88</f>
        <v>145308.19687017184</v>
      </c>
      <c r="AC88" s="378">
        <f t="shared" ref="AC88:AC151" si="30">+B88/12</f>
        <v>5.416666666666667</v>
      </c>
      <c r="AD88" s="356">
        <f t="shared" ref="AD88:AD151" si="31">+AA88+Y88+L88</f>
        <v>923072.5038748983</v>
      </c>
    </row>
    <row r="89" spans="2:30" x14ac:dyDescent="0.25">
      <c r="B89" s="356">
        <f t="shared" ref="B89:B152" si="32">+B88+1</f>
        <v>66</v>
      </c>
      <c r="C89" s="357">
        <f t="shared" si="17"/>
        <v>5</v>
      </c>
      <c r="D89" s="357">
        <f t="shared" si="18"/>
        <v>6</v>
      </c>
      <c r="E89" s="357">
        <f t="shared" si="19"/>
        <v>34</v>
      </c>
      <c r="F89" s="356">
        <f t="shared" ref="F89:F152" si="33">L88</f>
        <v>224816.39979016726</v>
      </c>
      <c r="H89" s="356">
        <f t="shared" si="26"/>
        <v>1792.7175426473646</v>
      </c>
      <c r="I89" s="356">
        <v>0</v>
      </c>
      <c r="J89" s="360">
        <f>-SUM(F89:H89)*$J$21</f>
        <v>-2039.4820559953316</v>
      </c>
      <c r="K89" s="356">
        <f t="shared" ref="K89:K152" si="34">-SUM(F89:J89)*0.1%</f>
        <v>-224.5696352768193</v>
      </c>
      <c r="L89" s="356">
        <f t="shared" si="27"/>
        <v>224345.06564154246</v>
      </c>
      <c r="N89" s="356">
        <f t="shared" ref="N89:N152" si="35">+N88+1</f>
        <v>66</v>
      </c>
      <c r="O89" s="357">
        <f t="shared" si="20"/>
        <v>5</v>
      </c>
      <c r="P89" s="357">
        <f t="shared" si="21"/>
        <v>6</v>
      </c>
      <c r="Q89" s="357">
        <f t="shared" si="22"/>
        <v>5</v>
      </c>
      <c r="R89" s="356">
        <f t="shared" ref="R89:R152" si="36">Y88</f>
        <v>552947.9072145593</v>
      </c>
      <c r="S89" s="356">
        <f>IF($G$4="mensual",S88,0)</f>
        <v>10000</v>
      </c>
      <c r="U89" s="356">
        <f t="shared" si="23"/>
        <v>4489.025666286382</v>
      </c>
      <c r="V89" s="356">
        <f t="shared" si="25"/>
        <v>-92.70895116288003</v>
      </c>
      <c r="X89" s="356">
        <f t="shared" si="28"/>
        <v>-567.4369328808456</v>
      </c>
      <c r="Y89" s="356">
        <f t="shared" si="29"/>
        <v>566776.7869968018</v>
      </c>
      <c r="AA89" s="357">
        <f>+Bono!J89</f>
        <v>144891.92522524504</v>
      </c>
      <c r="AC89" s="378">
        <f t="shared" si="30"/>
        <v>5.5</v>
      </c>
      <c r="AD89" s="356">
        <f t="shared" si="31"/>
        <v>936013.7778635893</v>
      </c>
    </row>
    <row r="90" spans="2:30" x14ac:dyDescent="0.25">
      <c r="B90" s="356">
        <f t="shared" si="32"/>
        <v>67</v>
      </c>
      <c r="C90" s="357">
        <f t="shared" si="17"/>
        <v>5</v>
      </c>
      <c r="D90" s="357">
        <f t="shared" si="18"/>
        <v>7</v>
      </c>
      <c r="E90" s="357">
        <f t="shared" si="19"/>
        <v>34</v>
      </c>
      <c r="F90" s="356">
        <f t="shared" si="33"/>
        <v>224345.06564154246</v>
      </c>
      <c r="H90" s="356">
        <f t="shared" si="26"/>
        <v>1788.9590579572925</v>
      </c>
      <c r="I90" s="356">
        <v>0</v>
      </c>
      <c r="J90" s="356">
        <v>0</v>
      </c>
      <c r="K90" s="356">
        <f t="shared" si="34"/>
        <v>-226.13402469949975</v>
      </c>
      <c r="L90" s="356">
        <f t="shared" si="27"/>
        <v>225907.89067480023</v>
      </c>
      <c r="N90" s="356">
        <f t="shared" si="35"/>
        <v>67</v>
      </c>
      <c r="O90" s="357">
        <f t="shared" si="20"/>
        <v>5</v>
      </c>
      <c r="P90" s="357">
        <f t="shared" si="21"/>
        <v>7</v>
      </c>
      <c r="Q90" s="357">
        <f t="shared" si="22"/>
        <v>5</v>
      </c>
      <c r="R90" s="356">
        <f t="shared" si="36"/>
        <v>566776.7869968018</v>
      </c>
      <c r="S90" s="356">
        <f>+IF($G$4="mensual",S84,IF($G$4="trimestral",S84,IF($G$4="semestral",S84,0)))</f>
        <v>10000</v>
      </c>
      <c r="U90" s="356">
        <f t="shared" si="23"/>
        <v>4599.299095644413</v>
      </c>
      <c r="V90" s="356">
        <f t="shared" si="25"/>
        <v>-92.70895116288003</v>
      </c>
      <c r="X90" s="356">
        <f t="shared" si="28"/>
        <v>-581.3760860924463</v>
      </c>
      <c r="Y90" s="356">
        <f t="shared" si="29"/>
        <v>580702.0010551909</v>
      </c>
      <c r="AA90" s="357">
        <f>+Bono!J90</f>
        <v>145790.27196806463</v>
      </c>
      <c r="AC90" s="378">
        <f t="shared" si="30"/>
        <v>5.583333333333333</v>
      </c>
      <c r="AD90" s="356">
        <f t="shared" si="31"/>
        <v>952400.1636980558</v>
      </c>
    </row>
    <row r="91" spans="2:30" x14ac:dyDescent="0.25">
      <c r="B91" s="356">
        <f t="shared" si="32"/>
        <v>68</v>
      </c>
      <c r="C91" s="357">
        <f t="shared" si="17"/>
        <v>5</v>
      </c>
      <c r="D91" s="357">
        <f t="shared" si="18"/>
        <v>8</v>
      </c>
      <c r="E91" s="357">
        <f t="shared" si="19"/>
        <v>34</v>
      </c>
      <c r="F91" s="356">
        <f t="shared" si="33"/>
        <v>225907.89067480023</v>
      </c>
      <c r="H91" s="356">
        <f t="shared" si="26"/>
        <v>1801.4212442382961</v>
      </c>
      <c r="I91" s="356">
        <v>0</v>
      </c>
      <c r="J91" s="356">
        <v>0</v>
      </c>
      <c r="K91" s="356">
        <f t="shared" si="34"/>
        <v>-227.70931191903853</v>
      </c>
      <c r="L91" s="356">
        <f t="shared" si="27"/>
        <v>227481.6026071195</v>
      </c>
      <c r="N91" s="356">
        <f t="shared" si="35"/>
        <v>68</v>
      </c>
      <c r="O91" s="357">
        <f t="shared" si="20"/>
        <v>5</v>
      </c>
      <c r="P91" s="357">
        <f t="shared" si="21"/>
        <v>8</v>
      </c>
      <c r="Q91" s="357">
        <f t="shared" si="22"/>
        <v>5</v>
      </c>
      <c r="R91" s="356">
        <f t="shared" si="36"/>
        <v>580702.0010551909</v>
      </c>
      <c r="S91" s="356">
        <f>IF($G$4="mensual",S90,0)</f>
        <v>10000</v>
      </c>
      <c r="U91" s="356">
        <f t="shared" si="23"/>
        <v>4710.340708048552</v>
      </c>
      <c r="V91" s="356">
        <f t="shared" si="25"/>
        <v>-92.70895116288003</v>
      </c>
      <c r="X91" s="356">
        <f t="shared" si="28"/>
        <v>-595.4123417632395</v>
      </c>
      <c r="Y91" s="356">
        <f t="shared" si="29"/>
        <v>594724.2204703133</v>
      </c>
      <c r="AA91" s="357">
        <f>+Bono!J91</f>
        <v>146694.1885648915</v>
      </c>
      <c r="AC91" s="378">
        <f t="shared" si="30"/>
        <v>5.666666666666667</v>
      </c>
      <c r="AD91" s="356">
        <f t="shared" si="31"/>
        <v>968900.0116423243</v>
      </c>
    </row>
    <row r="92" spans="2:30" x14ac:dyDescent="0.25">
      <c r="B92" s="356">
        <f t="shared" si="32"/>
        <v>69</v>
      </c>
      <c r="C92" s="357">
        <f t="shared" si="17"/>
        <v>5</v>
      </c>
      <c r="D92" s="357">
        <f t="shared" si="18"/>
        <v>9</v>
      </c>
      <c r="E92" s="357">
        <f t="shared" si="19"/>
        <v>34</v>
      </c>
      <c r="F92" s="356">
        <f t="shared" si="33"/>
        <v>227481.6026071195</v>
      </c>
      <c r="H92" s="356">
        <f t="shared" si="26"/>
        <v>1813.9702441812517</v>
      </c>
      <c r="I92" s="356">
        <v>0</v>
      </c>
      <c r="J92" s="360">
        <f>-SUM(F92:H92)*$J$21</f>
        <v>-2063.660155661707</v>
      </c>
      <c r="K92" s="356">
        <f t="shared" si="34"/>
        <v>-227.23191269563907</v>
      </c>
      <c r="L92" s="356">
        <f t="shared" si="27"/>
        <v>227004.68078294344</v>
      </c>
      <c r="N92" s="356">
        <f t="shared" si="35"/>
        <v>69</v>
      </c>
      <c r="O92" s="357">
        <f t="shared" si="20"/>
        <v>5</v>
      </c>
      <c r="P92" s="357">
        <f t="shared" si="21"/>
        <v>9</v>
      </c>
      <c r="Q92" s="357">
        <f t="shared" si="22"/>
        <v>5</v>
      </c>
      <c r="R92" s="356">
        <f t="shared" si="36"/>
        <v>594724.2204703133</v>
      </c>
      <c r="S92" s="356">
        <f>IF($G$4="mensual",S91,0)</f>
        <v>10000</v>
      </c>
      <c r="U92" s="356">
        <f t="shared" si="23"/>
        <v>4822.155854789639</v>
      </c>
      <c r="V92" s="356">
        <f t="shared" si="25"/>
        <v>-92.70895116288003</v>
      </c>
      <c r="X92" s="356">
        <f t="shared" si="28"/>
        <v>-609.546376325103</v>
      </c>
      <c r="Y92" s="356">
        <f t="shared" si="29"/>
        <v>608844.120997615</v>
      </c>
      <c r="AA92" s="357">
        <f>+Bono!J92</f>
        <v>146273.9464003722</v>
      </c>
      <c r="AC92" s="378">
        <f t="shared" si="30"/>
        <v>5.75</v>
      </c>
      <c r="AD92" s="356">
        <f t="shared" si="31"/>
        <v>982122.7481809307</v>
      </c>
    </row>
    <row r="93" spans="2:30" x14ac:dyDescent="0.25">
      <c r="B93" s="356">
        <f t="shared" si="32"/>
        <v>70</v>
      </c>
      <c r="C93" s="357">
        <f t="shared" si="17"/>
        <v>5</v>
      </c>
      <c r="D93" s="357">
        <f t="shared" si="18"/>
        <v>10</v>
      </c>
      <c r="E93" s="357">
        <f t="shared" si="19"/>
        <v>34</v>
      </c>
      <c r="F93" s="356">
        <f t="shared" si="33"/>
        <v>227004.68078294344</v>
      </c>
      <c r="H93" s="356">
        <f t="shared" si="26"/>
        <v>1810.1672025816627</v>
      </c>
      <c r="I93" s="356">
        <v>0</v>
      </c>
      <c r="J93" s="356">
        <v>0</v>
      </c>
      <c r="K93" s="356">
        <f t="shared" si="34"/>
        <v>-228.8148479855251</v>
      </c>
      <c r="L93" s="356">
        <f t="shared" si="27"/>
        <v>228586.03313753958</v>
      </c>
      <c r="N93" s="356">
        <f t="shared" si="35"/>
        <v>70</v>
      </c>
      <c r="O93" s="357">
        <f t="shared" si="20"/>
        <v>5</v>
      </c>
      <c r="P93" s="357">
        <f t="shared" si="21"/>
        <v>10</v>
      </c>
      <c r="Q93" s="357">
        <f t="shared" si="22"/>
        <v>5</v>
      </c>
      <c r="R93" s="356">
        <f t="shared" si="36"/>
        <v>608844.120997615</v>
      </c>
      <c r="S93" s="356">
        <f>IF($G$4="mensual",S84,IF($G$4="trimestral",S84,0))</f>
        <v>10000</v>
      </c>
      <c r="U93" s="356">
        <f t="shared" si="23"/>
        <v>4934.749924436495</v>
      </c>
      <c r="V93" s="356">
        <f t="shared" si="25"/>
        <v>-92.70895116288003</v>
      </c>
      <c r="X93" s="356">
        <f t="shared" si="28"/>
        <v>-623.7788709220515</v>
      </c>
      <c r="Y93" s="356">
        <f t="shared" si="29"/>
        <v>623062.3830999666</v>
      </c>
      <c r="AA93" s="357">
        <f>+Bono!J93</f>
        <v>147180.86183478215</v>
      </c>
      <c r="AC93" s="378">
        <f t="shared" si="30"/>
        <v>5.833333333333333</v>
      </c>
      <c r="AD93" s="356">
        <f t="shared" si="31"/>
        <v>998829.2780722883</v>
      </c>
    </row>
    <row r="94" spans="2:30" x14ac:dyDescent="0.25">
      <c r="B94" s="356">
        <f t="shared" si="32"/>
        <v>71</v>
      </c>
      <c r="C94" s="357">
        <f t="shared" si="17"/>
        <v>5</v>
      </c>
      <c r="D94" s="357">
        <f t="shared" si="18"/>
        <v>11</v>
      </c>
      <c r="E94" s="357">
        <f t="shared" si="19"/>
        <v>34</v>
      </c>
      <c r="F94" s="356">
        <f t="shared" si="33"/>
        <v>228586.03313753958</v>
      </c>
      <c r="H94" s="356">
        <f t="shared" si="26"/>
        <v>1822.7771283247898</v>
      </c>
      <c r="I94" s="356">
        <v>0</v>
      </c>
      <c r="J94" s="356">
        <v>0</v>
      </c>
      <c r="K94" s="356">
        <f t="shared" si="34"/>
        <v>-230.40881026586436</v>
      </c>
      <c r="L94" s="356">
        <f t="shared" si="27"/>
        <v>230178.4014555985</v>
      </c>
      <c r="N94" s="356">
        <f t="shared" si="35"/>
        <v>71</v>
      </c>
      <c r="O94" s="357">
        <f t="shared" si="20"/>
        <v>5</v>
      </c>
      <c r="P94" s="357">
        <f t="shared" si="21"/>
        <v>11</v>
      </c>
      <c r="Q94" s="357">
        <f t="shared" si="22"/>
        <v>5</v>
      </c>
      <c r="R94" s="356">
        <f t="shared" si="36"/>
        <v>623062.3830999666</v>
      </c>
      <c r="S94" s="356">
        <f>IF($G$17="si",S82*(1+$G$20),S82)</f>
        <v>10000</v>
      </c>
      <c r="U94" s="356">
        <f t="shared" si="23"/>
        <v>5048.128343095606</v>
      </c>
      <c r="V94" s="356">
        <f t="shared" si="25"/>
        <v>-92.70895116288003</v>
      </c>
      <c r="X94" s="356">
        <f t="shared" si="28"/>
        <v>-638.1105114430623</v>
      </c>
      <c r="Y94" s="356">
        <f t="shared" si="29"/>
        <v>637379.6919804562</v>
      </c>
      <c r="AA94" s="357">
        <f>+Bono!J94</f>
        <v>148093.4002500811</v>
      </c>
      <c r="AC94" s="378">
        <f t="shared" si="30"/>
        <v>5.916666666666667</v>
      </c>
      <c r="AD94" s="356">
        <f t="shared" si="31"/>
        <v>1015651.4936861359</v>
      </c>
    </row>
    <row r="95" spans="2:30" x14ac:dyDescent="0.25">
      <c r="B95" s="356">
        <f t="shared" si="32"/>
        <v>72</v>
      </c>
      <c r="C95" s="357">
        <f t="shared" si="17"/>
        <v>5</v>
      </c>
      <c r="D95" s="357">
        <f t="shared" si="18"/>
        <v>12</v>
      </c>
      <c r="E95" s="357">
        <f t="shared" si="19"/>
        <v>34</v>
      </c>
      <c r="F95" s="356">
        <f t="shared" si="33"/>
        <v>230178.4014555985</v>
      </c>
      <c r="H95" s="356">
        <f t="shared" si="26"/>
        <v>1835.474896907529</v>
      </c>
      <c r="I95" s="356">
        <v>0</v>
      </c>
      <c r="J95" s="360">
        <f>-SUM(F95:H95)*$J$21</f>
        <v>-2088.1248871725543</v>
      </c>
      <c r="K95" s="356">
        <f t="shared" si="34"/>
        <v>-229.9257514653335</v>
      </c>
      <c r="L95" s="356">
        <f t="shared" si="27"/>
        <v>229695.82571386814</v>
      </c>
      <c r="N95" s="356">
        <f t="shared" si="35"/>
        <v>72</v>
      </c>
      <c r="O95" s="357">
        <f t="shared" si="20"/>
        <v>5</v>
      </c>
      <c r="P95" s="357">
        <f t="shared" si="21"/>
        <v>12</v>
      </c>
      <c r="Q95" s="357">
        <f t="shared" si="22"/>
        <v>5</v>
      </c>
      <c r="R95" s="356">
        <f t="shared" si="36"/>
        <v>637379.6919804562</v>
      </c>
      <c r="S95" s="356">
        <f>IF($G$4="mensual",S94,0)</f>
        <v>10000</v>
      </c>
      <c r="U95" s="356">
        <f t="shared" si="23"/>
        <v>5162.296574672622</v>
      </c>
      <c r="V95" s="356">
        <f t="shared" si="25"/>
        <v>-92.70895116288003</v>
      </c>
      <c r="X95" s="356">
        <f t="shared" si="28"/>
        <v>-652.5419885551288</v>
      </c>
      <c r="Y95" s="356">
        <f t="shared" si="29"/>
        <v>651796.7376154108</v>
      </c>
      <c r="AA95" s="357">
        <f>+Bono!J95</f>
        <v>147669.14969400276</v>
      </c>
      <c r="AC95" s="378">
        <f t="shared" si="30"/>
        <v>6</v>
      </c>
      <c r="AD95" s="356">
        <f t="shared" si="31"/>
        <v>1029161.7130232818</v>
      </c>
    </row>
    <row r="96" spans="2:30" x14ac:dyDescent="0.25">
      <c r="B96" s="356">
        <f t="shared" si="32"/>
        <v>73</v>
      </c>
      <c r="C96" s="357">
        <f t="shared" si="17"/>
        <v>6</v>
      </c>
      <c r="D96" s="357">
        <f t="shared" si="18"/>
        <v>1</v>
      </c>
      <c r="E96" s="357">
        <f t="shared" si="19"/>
        <v>35</v>
      </c>
      <c r="F96" s="356">
        <f t="shared" si="33"/>
        <v>229695.82571386814</v>
      </c>
      <c r="H96" s="356">
        <f t="shared" si="26"/>
        <v>1831.6267701753889</v>
      </c>
      <c r="I96" s="356">
        <v>0</v>
      </c>
      <c r="J96" s="356">
        <v>0</v>
      </c>
      <c r="K96" s="356">
        <f t="shared" si="34"/>
        <v>-231.52745248404352</v>
      </c>
      <c r="L96" s="356">
        <f t="shared" si="27"/>
        <v>231295.92503155948</v>
      </c>
      <c r="N96" s="356">
        <f t="shared" si="35"/>
        <v>73</v>
      </c>
      <c r="O96" s="357">
        <f t="shared" si="20"/>
        <v>6</v>
      </c>
      <c r="P96" s="357">
        <f t="shared" si="21"/>
        <v>1</v>
      </c>
      <c r="Q96" s="357">
        <f t="shared" si="22"/>
        <v>6</v>
      </c>
      <c r="R96" s="356">
        <f t="shared" si="36"/>
        <v>651796.7376154108</v>
      </c>
      <c r="S96" s="356">
        <f>IF($G$17="si",S84*(1+$G$20),S84)</f>
        <v>10000</v>
      </c>
      <c r="U96" s="356">
        <f t="shared" si="23"/>
        <v>5277.260121135664</v>
      </c>
      <c r="V96" s="356">
        <f>V95*(1+$G$18)</f>
        <v>-96.41730920939523</v>
      </c>
      <c r="X96" s="356">
        <f t="shared" si="28"/>
        <v>-667.0739977365464</v>
      </c>
      <c r="Y96" s="356">
        <f t="shared" si="29"/>
        <v>666310.5064296005</v>
      </c>
      <c r="AA96" s="357">
        <f>+Bono!J96</f>
        <v>148584.71555066676</v>
      </c>
      <c r="AC96" s="378">
        <f t="shared" si="30"/>
        <v>6.083333333333333</v>
      </c>
      <c r="AD96" s="356">
        <f t="shared" si="31"/>
        <v>1046191.1470118267</v>
      </c>
    </row>
    <row r="97" spans="2:30" x14ac:dyDescent="0.25">
      <c r="B97" s="356">
        <f t="shared" si="32"/>
        <v>74</v>
      </c>
      <c r="C97" s="357">
        <f t="shared" si="17"/>
        <v>6</v>
      </c>
      <c r="D97" s="357">
        <f t="shared" si="18"/>
        <v>2</v>
      </c>
      <c r="E97" s="357">
        <f t="shared" si="19"/>
        <v>35</v>
      </c>
      <c r="F97" s="356">
        <f t="shared" si="33"/>
        <v>231295.92503155948</v>
      </c>
      <c r="H97" s="356">
        <f t="shared" si="26"/>
        <v>1844.3861868348527</v>
      </c>
      <c r="I97" s="356">
        <v>0</v>
      </c>
      <c r="J97" s="356">
        <v>0</v>
      </c>
      <c r="K97" s="356">
        <f t="shared" si="34"/>
        <v>-233.14031121839434</v>
      </c>
      <c r="L97" s="356">
        <f t="shared" si="27"/>
        <v>232907.17090717595</v>
      </c>
      <c r="N97" s="356">
        <f t="shared" si="35"/>
        <v>74</v>
      </c>
      <c r="O97" s="357">
        <f t="shared" si="20"/>
        <v>6</v>
      </c>
      <c r="P97" s="357">
        <f t="shared" si="21"/>
        <v>2</v>
      </c>
      <c r="Q97" s="357">
        <f t="shared" si="22"/>
        <v>6</v>
      </c>
      <c r="R97" s="356">
        <f t="shared" si="36"/>
        <v>666310.5064296005</v>
      </c>
      <c r="S97" s="356">
        <f>IF($G$4="mensual",S96,0)</f>
        <v>10000</v>
      </c>
      <c r="U97" s="356">
        <f t="shared" si="23"/>
        <v>5392.994951812657</v>
      </c>
      <c r="V97" s="356">
        <f>V96</f>
        <v>-96.41730920939523</v>
      </c>
      <c r="X97" s="356">
        <f t="shared" si="28"/>
        <v>-681.7035013814132</v>
      </c>
      <c r="Y97" s="356">
        <f t="shared" si="29"/>
        <v>680925.3805708224</v>
      </c>
      <c r="AA97" s="357">
        <f>+Bono!J97</f>
        <v>149505.95802184116</v>
      </c>
      <c r="AC97" s="378">
        <f t="shared" si="30"/>
        <v>6.166666666666667</v>
      </c>
      <c r="AD97" s="356">
        <f t="shared" si="31"/>
        <v>1063338.5094998395</v>
      </c>
    </row>
    <row r="98" spans="2:30" x14ac:dyDescent="0.25">
      <c r="B98" s="356">
        <f t="shared" si="32"/>
        <v>75</v>
      </c>
      <c r="C98" s="357">
        <f t="shared" si="17"/>
        <v>6</v>
      </c>
      <c r="D98" s="357">
        <f t="shared" si="18"/>
        <v>3</v>
      </c>
      <c r="E98" s="357">
        <f t="shared" si="19"/>
        <v>35</v>
      </c>
      <c r="F98" s="356">
        <f t="shared" si="33"/>
        <v>232907.17090717595</v>
      </c>
      <c r="H98" s="356">
        <f t="shared" si="26"/>
        <v>1857.2344877125104</v>
      </c>
      <c r="I98" s="356">
        <v>0</v>
      </c>
      <c r="J98" s="360">
        <f>-SUM(F98:H98)*$J$21</f>
        <v>-2112.8796485539965</v>
      </c>
      <c r="K98" s="356">
        <f t="shared" si="34"/>
        <v>-232.65152574633447</v>
      </c>
      <c r="L98" s="356">
        <f t="shared" si="27"/>
        <v>232418.87422058813</v>
      </c>
      <c r="N98" s="356">
        <f t="shared" si="35"/>
        <v>75</v>
      </c>
      <c r="O98" s="357">
        <f t="shared" si="20"/>
        <v>6</v>
      </c>
      <c r="P98" s="357">
        <f t="shared" si="21"/>
        <v>3</v>
      </c>
      <c r="Q98" s="357">
        <f t="shared" si="22"/>
        <v>6</v>
      </c>
      <c r="R98" s="356">
        <f t="shared" si="36"/>
        <v>680925.3805708224</v>
      </c>
      <c r="S98" s="356">
        <f>IF($G$4="mensual",S97,0)</f>
        <v>10000</v>
      </c>
      <c r="U98" s="356">
        <f t="shared" si="23"/>
        <v>5509.5360105655145</v>
      </c>
      <c r="V98" s="356">
        <f t="shared" si="25"/>
        <v>-96.41730920939523</v>
      </c>
      <c r="X98" s="356">
        <f t="shared" si="28"/>
        <v>-696.4349165813878</v>
      </c>
      <c r="Y98" s="356">
        <f t="shared" si="29"/>
        <v>695642.0643555971</v>
      </c>
      <c r="AA98" s="357">
        <f>+Bono!J98</f>
        <v>149077.6608410034</v>
      </c>
      <c r="AC98" s="378">
        <f t="shared" si="30"/>
        <v>6.25</v>
      </c>
      <c r="AD98" s="356">
        <f t="shared" si="31"/>
        <v>1077138.5994171887</v>
      </c>
    </row>
    <row r="99" spans="2:30" x14ac:dyDescent="0.25">
      <c r="B99" s="356">
        <f t="shared" si="32"/>
        <v>76</v>
      </c>
      <c r="C99" s="357">
        <f t="shared" si="17"/>
        <v>6</v>
      </c>
      <c r="D99" s="357">
        <f t="shared" si="18"/>
        <v>4</v>
      </c>
      <c r="E99" s="357">
        <f t="shared" si="19"/>
        <v>35</v>
      </c>
      <c r="F99" s="356">
        <f t="shared" si="33"/>
        <v>232418.87422058813</v>
      </c>
      <c r="H99" s="356">
        <f t="shared" si="26"/>
        <v>1853.3407413626906</v>
      </c>
      <c r="I99" s="356">
        <v>0</v>
      </c>
      <c r="J99" s="356">
        <v>0</v>
      </c>
      <c r="K99" s="356">
        <f t="shared" si="34"/>
        <v>-234.27221496195082</v>
      </c>
      <c r="L99" s="356">
        <f t="shared" si="27"/>
        <v>234037.94274698888</v>
      </c>
      <c r="N99" s="356">
        <f t="shared" si="35"/>
        <v>76</v>
      </c>
      <c r="O99" s="357">
        <f t="shared" si="20"/>
        <v>6</v>
      </c>
      <c r="P99" s="357">
        <f t="shared" si="21"/>
        <v>4</v>
      </c>
      <c r="Q99" s="357">
        <f t="shared" si="22"/>
        <v>6</v>
      </c>
      <c r="R99" s="356">
        <f t="shared" si="36"/>
        <v>695642.0643555971</v>
      </c>
      <c r="S99" s="356">
        <f>IF($G$4="mensual",S96,IF($G$4="trimestral",S96,0))</f>
        <v>10000</v>
      </c>
      <c r="U99" s="356">
        <f t="shared" si="23"/>
        <v>5626.888913713079</v>
      </c>
      <c r="V99" s="356">
        <f t="shared" si="25"/>
        <v>-96.41730920939523</v>
      </c>
      <c r="X99" s="356">
        <f t="shared" si="28"/>
        <v>-711.2689532693101</v>
      </c>
      <c r="Y99" s="356">
        <f t="shared" si="29"/>
        <v>710461.2670068315</v>
      </c>
      <c r="AA99" s="357">
        <f>+Bono!J99</f>
        <v>150001.959630156</v>
      </c>
      <c r="AC99" s="378">
        <f t="shared" si="30"/>
        <v>6.333333333333333</v>
      </c>
      <c r="AD99" s="356">
        <f t="shared" si="31"/>
        <v>1094501.1693839764</v>
      </c>
    </row>
    <row r="100" spans="2:30" x14ac:dyDescent="0.25">
      <c r="B100" s="356">
        <f t="shared" si="32"/>
        <v>77</v>
      </c>
      <c r="C100" s="357">
        <f t="shared" ref="C100:C163" si="37">C88+1</f>
        <v>6</v>
      </c>
      <c r="D100" s="357">
        <f t="shared" ref="D100:D163" si="38">D88</f>
        <v>5</v>
      </c>
      <c r="E100" s="357">
        <f t="shared" ref="E100:E163" si="39">E88+1</f>
        <v>35</v>
      </c>
      <c r="F100" s="356">
        <f t="shared" si="33"/>
        <v>234037.94274698888</v>
      </c>
      <c r="H100" s="356">
        <f t="shared" si="26"/>
        <v>1866.2514211562286</v>
      </c>
      <c r="I100" s="356">
        <v>0</v>
      </c>
      <c r="J100" s="356">
        <v>0</v>
      </c>
      <c r="K100" s="356">
        <f t="shared" si="34"/>
        <v>-235.9041941681451</v>
      </c>
      <c r="L100" s="356">
        <f t="shared" si="27"/>
        <v>235668.28997397696</v>
      </c>
      <c r="N100" s="356">
        <f t="shared" si="35"/>
        <v>77</v>
      </c>
      <c r="O100" s="357">
        <f t="shared" ref="O100:O163" si="40">O88+1</f>
        <v>6</v>
      </c>
      <c r="P100" s="357">
        <f t="shared" ref="P100:P163" si="41">P88</f>
        <v>5</v>
      </c>
      <c r="Q100" s="357">
        <f t="shared" ref="Q100:Q163" si="42">Q88+1</f>
        <v>6</v>
      </c>
      <c r="R100" s="356">
        <f t="shared" si="36"/>
        <v>710461.2670068315</v>
      </c>
      <c r="S100" s="356">
        <f>IF($G$4="mensual",S99,0)</f>
        <v>10000</v>
      </c>
      <c r="U100" s="356">
        <f t="shared" ref="U100:U163" si="43">SUM(R100:T100)*$G$8</f>
        <v>5745.0593166984045</v>
      </c>
      <c r="V100" s="356">
        <f t="shared" si="25"/>
        <v>-96.41730920939523</v>
      </c>
      <c r="X100" s="356">
        <f t="shared" si="28"/>
        <v>-726.20632632353</v>
      </c>
      <c r="Y100" s="356">
        <f t="shared" si="29"/>
        <v>725383.702687997</v>
      </c>
      <c r="AA100" s="357">
        <f>+Bono!J100</f>
        <v>150931.98917901336</v>
      </c>
      <c r="AC100" s="378">
        <f t="shared" si="30"/>
        <v>6.416666666666667</v>
      </c>
      <c r="AD100" s="356">
        <f t="shared" si="31"/>
        <v>1111983.9818409875</v>
      </c>
    </row>
    <row r="101" spans="2:30" x14ac:dyDescent="0.25">
      <c r="B101" s="356">
        <f t="shared" si="32"/>
        <v>78</v>
      </c>
      <c r="C101" s="357">
        <f t="shared" si="37"/>
        <v>6</v>
      </c>
      <c r="D101" s="357">
        <f t="shared" si="38"/>
        <v>6</v>
      </c>
      <c r="E101" s="357">
        <f t="shared" si="39"/>
        <v>35</v>
      </c>
      <c r="F101" s="356">
        <f t="shared" si="33"/>
        <v>235668.28997397696</v>
      </c>
      <c r="H101" s="356">
        <f t="shared" si="26"/>
        <v>1879.2520388921052</v>
      </c>
      <c r="I101" s="356">
        <v>0</v>
      </c>
      <c r="J101" s="360">
        <f>-SUM(F101:H101)*$J$21</f>
        <v>-2137.927878115822</v>
      </c>
      <c r="K101" s="356">
        <f t="shared" si="34"/>
        <v>-235.40961413475324</v>
      </c>
      <c r="L101" s="356">
        <f t="shared" si="27"/>
        <v>235174.20452061848</v>
      </c>
      <c r="N101" s="356">
        <f t="shared" si="35"/>
        <v>78</v>
      </c>
      <c r="O101" s="357">
        <f t="shared" si="40"/>
        <v>6</v>
      </c>
      <c r="P101" s="357">
        <f t="shared" si="41"/>
        <v>6</v>
      </c>
      <c r="Q101" s="357">
        <f t="shared" si="42"/>
        <v>6</v>
      </c>
      <c r="R101" s="356">
        <f t="shared" si="36"/>
        <v>725383.702687997</v>
      </c>
      <c r="S101" s="356">
        <f>IF($G$4="mensual",S100,0)</f>
        <v>10000</v>
      </c>
      <c r="U101" s="356">
        <f t="shared" si="43"/>
        <v>5864.052914361303</v>
      </c>
      <c r="V101" s="356">
        <f t="shared" si="25"/>
        <v>-96.41730920939523</v>
      </c>
      <c r="X101" s="356">
        <f t="shared" si="28"/>
        <v>-741.2477556023584</v>
      </c>
      <c r="Y101" s="356">
        <f t="shared" si="29"/>
        <v>740410.0905375467</v>
      </c>
      <c r="AA101" s="357">
        <f>+Bono!J101</f>
        <v>150499.6067755364</v>
      </c>
      <c r="AC101" s="378">
        <f t="shared" si="30"/>
        <v>6.5</v>
      </c>
      <c r="AD101" s="356">
        <f t="shared" si="31"/>
        <v>1126083.9018337016</v>
      </c>
    </row>
    <row r="102" spans="2:30" x14ac:dyDescent="0.25">
      <c r="B102" s="356">
        <f t="shared" si="32"/>
        <v>79</v>
      </c>
      <c r="C102" s="357">
        <f t="shared" si="37"/>
        <v>6</v>
      </c>
      <c r="D102" s="357">
        <f t="shared" si="38"/>
        <v>7</v>
      </c>
      <c r="E102" s="357">
        <f t="shared" si="39"/>
        <v>35</v>
      </c>
      <c r="F102" s="356">
        <f t="shared" si="33"/>
        <v>235174.20452061848</v>
      </c>
      <c r="H102" s="356">
        <f t="shared" si="26"/>
        <v>1875.3121321031463</v>
      </c>
      <c r="I102" s="356">
        <v>0</v>
      </c>
      <c r="J102" s="356">
        <v>0</v>
      </c>
      <c r="K102" s="356">
        <f t="shared" si="34"/>
        <v>-237.04951665272162</v>
      </c>
      <c r="L102" s="356">
        <f t="shared" si="27"/>
        <v>236812.4671360689</v>
      </c>
      <c r="N102" s="356">
        <f t="shared" si="35"/>
        <v>79</v>
      </c>
      <c r="O102" s="357">
        <f t="shared" si="40"/>
        <v>6</v>
      </c>
      <c r="P102" s="357">
        <f t="shared" si="41"/>
        <v>7</v>
      </c>
      <c r="Q102" s="357">
        <f t="shared" si="42"/>
        <v>6</v>
      </c>
      <c r="R102" s="356">
        <f t="shared" si="36"/>
        <v>740410.0905375467</v>
      </c>
      <c r="S102" s="356">
        <f>+IF($G$4="mensual",S96,IF($G$4="trimestral",S96,IF($G$4="semestral",S96,0)))</f>
        <v>10000</v>
      </c>
      <c r="U102" s="356">
        <f t="shared" si="43"/>
        <v>5983.875441212785</v>
      </c>
      <c r="V102" s="356">
        <f t="shared" si="25"/>
        <v>-96.41730920939523</v>
      </c>
      <c r="X102" s="356">
        <f t="shared" si="28"/>
        <v>-756.3939659787595</v>
      </c>
      <c r="Y102" s="356">
        <f t="shared" si="29"/>
        <v>755541.1547035713</v>
      </c>
      <c r="AA102" s="357">
        <f>+Bono!J102</f>
        <v>151432.7217944186</v>
      </c>
      <c r="AC102" s="378">
        <f t="shared" si="30"/>
        <v>6.583333333333333</v>
      </c>
      <c r="AD102" s="356">
        <f t="shared" si="31"/>
        <v>1143786.343634059</v>
      </c>
    </row>
    <row r="103" spans="2:30" x14ac:dyDescent="0.25">
      <c r="B103" s="356">
        <f t="shared" si="32"/>
        <v>80</v>
      </c>
      <c r="C103" s="357">
        <f t="shared" si="37"/>
        <v>6</v>
      </c>
      <c r="D103" s="357">
        <f t="shared" si="38"/>
        <v>8</v>
      </c>
      <c r="E103" s="357">
        <f t="shared" si="39"/>
        <v>35</v>
      </c>
      <c r="F103" s="356">
        <f t="shared" si="33"/>
        <v>236812.4671360689</v>
      </c>
      <c r="H103" s="356">
        <f t="shared" si="26"/>
        <v>1888.375868258171</v>
      </c>
      <c r="I103" s="356">
        <v>0</v>
      </c>
      <c r="J103" s="356">
        <v>0</v>
      </c>
      <c r="K103" s="356">
        <f t="shared" si="34"/>
        <v>-238.7008430043271</v>
      </c>
      <c r="L103" s="356">
        <f t="shared" si="27"/>
        <v>238462.14216132276</v>
      </c>
      <c r="N103" s="356">
        <f t="shared" si="35"/>
        <v>80</v>
      </c>
      <c r="O103" s="357">
        <f t="shared" si="40"/>
        <v>6</v>
      </c>
      <c r="P103" s="357">
        <f t="shared" si="41"/>
        <v>8</v>
      </c>
      <c r="Q103" s="357">
        <f t="shared" si="42"/>
        <v>6</v>
      </c>
      <c r="R103" s="356">
        <f t="shared" si="36"/>
        <v>755541.1547035713</v>
      </c>
      <c r="S103" s="356">
        <f>IF($G$4="mensual",S102,0)</f>
        <v>10000</v>
      </c>
      <c r="U103" s="356">
        <f t="shared" si="43"/>
        <v>6104.532671711419</v>
      </c>
      <c r="V103" s="356">
        <f t="shared" si="25"/>
        <v>-96.41730920939523</v>
      </c>
      <c r="X103" s="356">
        <f t="shared" si="28"/>
        <v>-771.6456873752828</v>
      </c>
      <c r="Y103" s="356">
        <f t="shared" si="29"/>
        <v>770777.6243786981</v>
      </c>
      <c r="AA103" s="357">
        <f>+Bono!J103</f>
        <v>152371.62223465255</v>
      </c>
      <c r="AC103" s="378">
        <f t="shared" si="30"/>
        <v>6.666666666666667</v>
      </c>
      <c r="AD103" s="356">
        <f t="shared" si="31"/>
        <v>1161611.3887746735</v>
      </c>
    </row>
    <row r="104" spans="2:30" x14ac:dyDescent="0.25">
      <c r="B104" s="356">
        <f t="shared" si="32"/>
        <v>81</v>
      </c>
      <c r="C104" s="357">
        <f t="shared" si="37"/>
        <v>6</v>
      </c>
      <c r="D104" s="357">
        <f t="shared" si="38"/>
        <v>9</v>
      </c>
      <c r="E104" s="357">
        <f t="shared" si="39"/>
        <v>35</v>
      </c>
      <c r="F104" s="356">
        <f t="shared" si="33"/>
        <v>238462.14216132276</v>
      </c>
      <c r="H104" s="356">
        <f t="shared" si="26"/>
        <v>1901.5306085716006</v>
      </c>
      <c r="I104" s="356">
        <v>0</v>
      </c>
      <c r="J104" s="360">
        <f>-SUM(F104:H104)*$J$21</f>
        <v>-2163.2730549290495</v>
      </c>
      <c r="K104" s="356">
        <f t="shared" si="34"/>
        <v>-238.20039971496533</v>
      </c>
      <c r="L104" s="356">
        <f t="shared" si="27"/>
        <v>237962.19931525036</v>
      </c>
      <c r="N104" s="356">
        <f t="shared" si="35"/>
        <v>81</v>
      </c>
      <c r="O104" s="357">
        <f t="shared" si="40"/>
        <v>6</v>
      </c>
      <c r="P104" s="357">
        <f t="shared" si="41"/>
        <v>9</v>
      </c>
      <c r="Q104" s="357">
        <f t="shared" si="42"/>
        <v>6</v>
      </c>
      <c r="R104" s="356">
        <f t="shared" si="36"/>
        <v>770777.6243786981</v>
      </c>
      <c r="S104" s="356">
        <f>IF($G$4="mensual",S103,0)</f>
        <v>10000</v>
      </c>
      <c r="U104" s="356">
        <f t="shared" si="43"/>
        <v>6226.030420541613</v>
      </c>
      <c r="V104" s="356">
        <f t="shared" si="25"/>
        <v>-96.41730920939523</v>
      </c>
      <c r="X104" s="356">
        <f t="shared" si="28"/>
        <v>-787.0036547992397</v>
      </c>
      <c r="Y104" s="356">
        <f t="shared" si="29"/>
        <v>786120.2338352312</v>
      </c>
      <c r="AA104" s="357">
        <f>+Bono!J104</f>
        <v>151935.1156424989</v>
      </c>
      <c r="AC104" s="378">
        <f t="shared" si="30"/>
        <v>6.75</v>
      </c>
      <c r="AD104" s="356">
        <f t="shared" si="31"/>
        <v>1176017.5487929804</v>
      </c>
    </row>
    <row r="105" spans="2:30" x14ac:dyDescent="0.25">
      <c r="B105" s="356">
        <f t="shared" si="32"/>
        <v>82</v>
      </c>
      <c r="C105" s="357">
        <f t="shared" si="37"/>
        <v>6</v>
      </c>
      <c r="D105" s="357">
        <f t="shared" si="38"/>
        <v>10</v>
      </c>
      <c r="E105" s="357">
        <f t="shared" si="39"/>
        <v>35</v>
      </c>
      <c r="F105" s="356">
        <f t="shared" si="33"/>
        <v>237962.19931525036</v>
      </c>
      <c r="H105" s="356">
        <f t="shared" si="26"/>
        <v>1897.5439941105935</v>
      </c>
      <c r="I105" s="356">
        <v>0</v>
      </c>
      <c r="J105" s="356">
        <v>0</v>
      </c>
      <c r="K105" s="356">
        <f t="shared" si="34"/>
        <v>-239.85974330936097</v>
      </c>
      <c r="L105" s="356">
        <f t="shared" si="27"/>
        <v>239619.8835660516</v>
      </c>
      <c r="N105" s="356">
        <f t="shared" si="35"/>
        <v>82</v>
      </c>
      <c r="O105" s="357">
        <f t="shared" si="40"/>
        <v>6</v>
      </c>
      <c r="P105" s="357">
        <f t="shared" si="41"/>
        <v>10</v>
      </c>
      <c r="Q105" s="357">
        <f t="shared" si="42"/>
        <v>6</v>
      </c>
      <c r="R105" s="356">
        <f t="shared" si="36"/>
        <v>786120.2338352312</v>
      </c>
      <c r="S105" s="356">
        <f>IF($G$4="mensual",S96,IF($G$4="trimestral",S96,0))</f>
        <v>10000</v>
      </c>
      <c r="U105" s="356">
        <f t="shared" si="43"/>
        <v>6348.3745428938355</v>
      </c>
      <c r="V105" s="356">
        <f t="shared" si="25"/>
        <v>-96.41730920939523</v>
      </c>
      <c r="X105" s="356">
        <f t="shared" si="28"/>
        <v>-802.468608378125</v>
      </c>
      <c r="Y105" s="356">
        <f t="shared" si="29"/>
        <v>801569.7224605376</v>
      </c>
      <c r="AA105" s="357">
        <f>+Bono!J105</f>
        <v>152877.130982865</v>
      </c>
      <c r="AC105" s="378">
        <f t="shared" si="30"/>
        <v>6.833333333333333</v>
      </c>
      <c r="AD105" s="356">
        <f t="shared" si="31"/>
        <v>1194066.737009454</v>
      </c>
    </row>
    <row r="106" spans="2:30" x14ac:dyDescent="0.25">
      <c r="B106" s="356">
        <f t="shared" si="32"/>
        <v>83</v>
      </c>
      <c r="C106" s="357">
        <f t="shared" si="37"/>
        <v>6</v>
      </c>
      <c r="D106" s="357">
        <f t="shared" si="38"/>
        <v>11</v>
      </c>
      <c r="E106" s="357">
        <f t="shared" si="39"/>
        <v>35</v>
      </c>
      <c r="F106" s="356">
        <f t="shared" si="33"/>
        <v>239619.8835660516</v>
      </c>
      <c r="H106" s="356">
        <f t="shared" si="26"/>
        <v>1910.7626011132647</v>
      </c>
      <c r="I106" s="356">
        <v>0</v>
      </c>
      <c r="J106" s="356">
        <v>0</v>
      </c>
      <c r="K106" s="356">
        <f t="shared" si="34"/>
        <v>-241.5306461671649</v>
      </c>
      <c r="L106" s="356">
        <f t="shared" si="27"/>
        <v>241289.1155209977</v>
      </c>
      <c r="N106" s="356">
        <f t="shared" si="35"/>
        <v>83</v>
      </c>
      <c r="O106" s="357">
        <f t="shared" si="40"/>
        <v>6</v>
      </c>
      <c r="P106" s="357">
        <f t="shared" si="41"/>
        <v>11</v>
      </c>
      <c r="Q106" s="357">
        <f t="shared" si="42"/>
        <v>6</v>
      </c>
      <c r="R106" s="356">
        <f t="shared" si="36"/>
        <v>801569.7224605376</v>
      </c>
      <c r="S106" s="356">
        <f>IF($G$17="si",S94*(1+$G$20),S94)</f>
        <v>10000</v>
      </c>
      <c r="U106" s="356">
        <f t="shared" si="43"/>
        <v>6471.57093474678</v>
      </c>
      <c r="V106" s="356">
        <f t="shared" si="25"/>
        <v>-96.41730920939523</v>
      </c>
      <c r="X106" s="356">
        <f t="shared" si="28"/>
        <v>-818.0412933952844</v>
      </c>
      <c r="Y106" s="356">
        <f t="shared" si="29"/>
        <v>817126.8347926796</v>
      </c>
      <c r="AA106" s="357">
        <f>+Bono!J106</f>
        <v>153824.98692760838</v>
      </c>
      <c r="AC106" s="378">
        <f t="shared" si="30"/>
        <v>6.916666666666667</v>
      </c>
      <c r="AD106" s="356">
        <f t="shared" si="31"/>
        <v>1212240.9372412858</v>
      </c>
    </row>
    <row r="107" spans="2:30" x14ac:dyDescent="0.25">
      <c r="B107" s="356">
        <f t="shared" si="32"/>
        <v>84</v>
      </c>
      <c r="C107" s="357">
        <f t="shared" si="37"/>
        <v>6</v>
      </c>
      <c r="D107" s="357">
        <f t="shared" si="38"/>
        <v>12</v>
      </c>
      <c r="E107" s="357">
        <f t="shared" si="39"/>
        <v>35</v>
      </c>
      <c r="F107" s="356">
        <f t="shared" si="33"/>
        <v>241289.1155209977</v>
      </c>
      <c r="H107" s="356">
        <f t="shared" si="26"/>
        <v>1924.0732911304185</v>
      </c>
      <c r="I107" s="356">
        <v>0</v>
      </c>
      <c r="J107" s="360">
        <f>-SUM(F107:H107)*$J$21</f>
        <v>-2188.9186993091535</v>
      </c>
      <c r="K107" s="356">
        <f t="shared" si="34"/>
        <v>-241.02427011281898</v>
      </c>
      <c r="L107" s="356">
        <f t="shared" si="27"/>
        <v>240783.24584270615</v>
      </c>
      <c r="N107" s="356">
        <f t="shared" si="35"/>
        <v>84</v>
      </c>
      <c r="O107" s="357">
        <f t="shared" si="40"/>
        <v>6</v>
      </c>
      <c r="P107" s="357">
        <f t="shared" si="41"/>
        <v>12</v>
      </c>
      <c r="Q107" s="357">
        <f t="shared" si="42"/>
        <v>6</v>
      </c>
      <c r="R107" s="356">
        <f t="shared" si="36"/>
        <v>817126.8347926796</v>
      </c>
      <c r="S107" s="356">
        <f>IF($G$4="mensual",S106,0)</f>
        <v>10000</v>
      </c>
      <c r="U107" s="356">
        <f t="shared" si="43"/>
        <v>6595.625533151511</v>
      </c>
      <c r="V107" s="356">
        <f t="shared" si="25"/>
        <v>-96.41730920939523</v>
      </c>
      <c r="X107" s="356">
        <f t="shared" si="28"/>
        <v>-833.7224603258312</v>
      </c>
      <c r="Y107" s="356">
        <f t="shared" si="29"/>
        <v>832792.320556296</v>
      </c>
      <c r="AA107" s="357">
        <f>+Bono!J107</f>
        <v>153384.3168090712</v>
      </c>
      <c r="AC107" s="378">
        <f t="shared" si="30"/>
        <v>7</v>
      </c>
      <c r="AD107" s="356">
        <f t="shared" si="31"/>
        <v>1226959.8832080734</v>
      </c>
    </row>
    <row r="108" spans="2:30" x14ac:dyDescent="0.25">
      <c r="B108" s="356">
        <f t="shared" si="32"/>
        <v>85</v>
      </c>
      <c r="C108" s="357">
        <f t="shared" si="37"/>
        <v>7</v>
      </c>
      <c r="D108" s="357">
        <f t="shared" si="38"/>
        <v>1</v>
      </c>
      <c r="E108" s="357">
        <f t="shared" si="39"/>
        <v>36</v>
      </c>
      <c r="F108" s="356">
        <f t="shared" si="33"/>
        <v>240783.24584270615</v>
      </c>
      <c r="H108" s="356">
        <f t="shared" si="26"/>
        <v>1920.0394152769973</v>
      </c>
      <c r="I108" s="356">
        <v>0</v>
      </c>
      <c r="J108" s="356">
        <v>0</v>
      </c>
      <c r="K108" s="356">
        <f t="shared" si="34"/>
        <v>-242.70328525798314</v>
      </c>
      <c r="L108" s="356">
        <f t="shared" si="27"/>
        <v>242460.58197272517</v>
      </c>
      <c r="N108" s="356">
        <f t="shared" si="35"/>
        <v>85</v>
      </c>
      <c r="O108" s="357">
        <f t="shared" si="40"/>
        <v>7</v>
      </c>
      <c r="P108" s="357">
        <f t="shared" si="41"/>
        <v>1</v>
      </c>
      <c r="Q108" s="357">
        <f t="shared" si="42"/>
        <v>7</v>
      </c>
      <c r="R108" s="356">
        <f t="shared" si="36"/>
        <v>832792.320556296</v>
      </c>
      <c r="S108" s="356">
        <f>IF($G$17="si",S96*(1+$G$20),S96)</f>
        <v>10000</v>
      </c>
      <c r="U108" s="356">
        <f t="shared" si="43"/>
        <v>6720.544316517581</v>
      </c>
      <c r="V108" s="356">
        <f>V107*(1+$G$18)</f>
        <v>-100.27400157777105</v>
      </c>
      <c r="X108" s="356">
        <f t="shared" si="28"/>
        <v>-849.5128648728136</v>
      </c>
      <c r="Y108" s="356">
        <f t="shared" si="29"/>
        <v>848563.078006363</v>
      </c>
      <c r="AA108" s="357">
        <f>+Bono!J108</f>
        <v>154335.31736476696</v>
      </c>
      <c r="AC108" s="378">
        <f t="shared" si="30"/>
        <v>7.083333333333333</v>
      </c>
      <c r="AD108" s="356">
        <f t="shared" si="31"/>
        <v>1245358.9773438552</v>
      </c>
    </row>
    <row r="109" spans="2:30" x14ac:dyDescent="0.25">
      <c r="B109" s="356">
        <f t="shared" si="32"/>
        <v>86</v>
      </c>
      <c r="C109" s="357">
        <f t="shared" si="37"/>
        <v>7</v>
      </c>
      <c r="D109" s="357">
        <f t="shared" si="38"/>
        <v>2</v>
      </c>
      <c r="E109" s="357">
        <f t="shared" si="39"/>
        <v>36</v>
      </c>
      <c r="F109" s="356">
        <f t="shared" si="33"/>
        <v>242460.58197272517</v>
      </c>
      <c r="H109" s="356">
        <f t="shared" si="26"/>
        <v>1933.414729124243</v>
      </c>
      <c r="I109" s="356">
        <v>0</v>
      </c>
      <c r="J109" s="356">
        <v>0</v>
      </c>
      <c r="K109" s="356">
        <f t="shared" si="34"/>
        <v>-244.39399670184943</v>
      </c>
      <c r="L109" s="356">
        <f t="shared" si="27"/>
        <v>244149.60270514758</v>
      </c>
      <c r="N109" s="356">
        <f t="shared" si="35"/>
        <v>86</v>
      </c>
      <c r="O109" s="357">
        <f t="shared" si="40"/>
        <v>7</v>
      </c>
      <c r="P109" s="357">
        <f t="shared" si="41"/>
        <v>2</v>
      </c>
      <c r="Q109" s="357">
        <f t="shared" si="42"/>
        <v>7</v>
      </c>
      <c r="R109" s="356">
        <f t="shared" si="36"/>
        <v>848563.078006363</v>
      </c>
      <c r="S109" s="356">
        <f>IF($G$4="mensual",S108,0)</f>
        <v>10000</v>
      </c>
      <c r="U109" s="356">
        <f t="shared" si="43"/>
        <v>6846.302551094595</v>
      </c>
      <c r="V109" s="356">
        <f>V108</f>
        <v>-100.27400157777105</v>
      </c>
      <c r="X109" s="356">
        <f t="shared" si="28"/>
        <v>-865.4093805574576</v>
      </c>
      <c r="Y109" s="356">
        <f t="shared" si="29"/>
        <v>864443.6971753223</v>
      </c>
      <c r="AA109" s="357">
        <f>+Bono!J109</f>
        <v>155292.21423421727</v>
      </c>
      <c r="AC109" s="378">
        <f t="shared" si="30"/>
        <v>7.166666666666667</v>
      </c>
      <c r="AD109" s="356">
        <f t="shared" si="31"/>
        <v>1263885.5141146872</v>
      </c>
    </row>
    <row r="110" spans="2:30" x14ac:dyDescent="0.25">
      <c r="B110" s="356">
        <f t="shared" si="32"/>
        <v>87</v>
      </c>
      <c r="C110" s="357">
        <f t="shared" si="37"/>
        <v>7</v>
      </c>
      <c r="D110" s="357">
        <f t="shared" si="38"/>
        <v>3</v>
      </c>
      <c r="E110" s="357">
        <f t="shared" si="39"/>
        <v>36</v>
      </c>
      <c r="F110" s="356">
        <f t="shared" si="33"/>
        <v>244149.60270514758</v>
      </c>
      <c r="H110" s="356">
        <f t="shared" si="26"/>
        <v>1946.8832176319092</v>
      </c>
      <c r="I110" s="356">
        <v>0</v>
      </c>
      <c r="J110" s="360">
        <f>-SUM(F110:H110)*$J$21</f>
        <v>-2214.8683733050157</v>
      </c>
      <c r="K110" s="356">
        <f t="shared" si="34"/>
        <v>-243.88161754947447</v>
      </c>
      <c r="L110" s="356">
        <f t="shared" si="27"/>
        <v>243637.73593192498</v>
      </c>
      <c r="N110" s="356">
        <f t="shared" si="35"/>
        <v>87</v>
      </c>
      <c r="O110" s="357">
        <f t="shared" si="40"/>
        <v>7</v>
      </c>
      <c r="P110" s="357">
        <f t="shared" si="41"/>
        <v>3</v>
      </c>
      <c r="Q110" s="357">
        <f t="shared" si="42"/>
        <v>7</v>
      </c>
      <c r="R110" s="356">
        <f t="shared" si="36"/>
        <v>864443.6971753223</v>
      </c>
      <c r="S110" s="356">
        <f>IF($G$4="mensual",S109,0)</f>
        <v>10000</v>
      </c>
      <c r="U110" s="356">
        <f t="shared" si="43"/>
        <v>6972.9368384458185</v>
      </c>
      <c r="V110" s="356">
        <f t="shared" si="25"/>
        <v>-100.27400157777105</v>
      </c>
      <c r="X110" s="356">
        <f t="shared" si="28"/>
        <v>-881.4166340137682</v>
      </c>
      <c r="Y110" s="356">
        <f t="shared" si="29"/>
        <v>880434.9433781767</v>
      </c>
      <c r="AA110" s="357">
        <f>+Bono!J110</f>
        <v>154847.34087637524</v>
      </c>
      <c r="AC110" s="378">
        <f t="shared" si="30"/>
        <v>7.25</v>
      </c>
      <c r="AD110" s="356">
        <f t="shared" si="31"/>
        <v>1278920.0201864769</v>
      </c>
    </row>
    <row r="111" spans="2:30" x14ac:dyDescent="0.25">
      <c r="B111" s="356">
        <f t="shared" si="32"/>
        <v>88</v>
      </c>
      <c r="C111" s="357">
        <f t="shared" si="37"/>
        <v>7</v>
      </c>
      <c r="D111" s="357">
        <f t="shared" si="38"/>
        <v>4</v>
      </c>
      <c r="E111" s="357">
        <f t="shared" si="39"/>
        <v>36</v>
      </c>
      <c r="F111" s="356">
        <f t="shared" si="33"/>
        <v>243637.73593192498</v>
      </c>
      <c r="H111" s="356">
        <f t="shared" si="26"/>
        <v>1942.8015201013422</v>
      </c>
      <c r="I111" s="356">
        <v>0</v>
      </c>
      <c r="J111" s="356">
        <v>0</v>
      </c>
      <c r="K111" s="356">
        <f t="shared" si="34"/>
        <v>-245.58053745202633</v>
      </c>
      <c r="L111" s="356">
        <f t="shared" si="27"/>
        <v>245334.95691457432</v>
      </c>
      <c r="N111" s="356">
        <f t="shared" si="35"/>
        <v>88</v>
      </c>
      <c r="O111" s="357">
        <f t="shared" si="40"/>
        <v>7</v>
      </c>
      <c r="P111" s="357">
        <f t="shared" si="41"/>
        <v>4</v>
      </c>
      <c r="Q111" s="357">
        <f t="shared" si="42"/>
        <v>7</v>
      </c>
      <c r="R111" s="356">
        <f t="shared" si="36"/>
        <v>880434.9433781767</v>
      </c>
      <c r="S111" s="356">
        <f>IF($G$4="mensual",S108,IF($G$4="trimestral",S108,0))</f>
        <v>10000</v>
      </c>
      <c r="U111" s="356">
        <f t="shared" si="43"/>
        <v>7100.453281300553</v>
      </c>
      <c r="V111" s="356">
        <f t="shared" si="25"/>
        <v>-100.27400157777105</v>
      </c>
      <c r="X111" s="356">
        <f t="shared" si="28"/>
        <v>-897.5353966594773</v>
      </c>
      <c r="Y111" s="356">
        <f t="shared" si="29"/>
        <v>896537.58726124</v>
      </c>
      <c r="AA111" s="357">
        <f>+Bono!J111</f>
        <v>155807.4123509886</v>
      </c>
      <c r="AC111" s="378">
        <f t="shared" si="30"/>
        <v>7.333333333333333</v>
      </c>
      <c r="AD111" s="356">
        <f t="shared" si="31"/>
        <v>1297679.9565268029</v>
      </c>
    </row>
    <row r="112" spans="2:30" x14ac:dyDescent="0.25">
      <c r="B112" s="356">
        <f t="shared" si="32"/>
        <v>89</v>
      </c>
      <c r="C112" s="357">
        <f t="shared" si="37"/>
        <v>7</v>
      </c>
      <c r="D112" s="357">
        <f t="shared" si="38"/>
        <v>5</v>
      </c>
      <c r="E112" s="357">
        <f t="shared" si="39"/>
        <v>36</v>
      </c>
      <c r="F112" s="356">
        <f t="shared" si="33"/>
        <v>245334.95691457432</v>
      </c>
      <c r="H112" s="356">
        <f t="shared" si="26"/>
        <v>1956.3353985558701</v>
      </c>
      <c r="I112" s="356">
        <v>0</v>
      </c>
      <c r="J112" s="356">
        <v>0</v>
      </c>
      <c r="K112" s="356">
        <f t="shared" si="34"/>
        <v>-247.29129231313019</v>
      </c>
      <c r="L112" s="356">
        <f t="shared" si="27"/>
        <v>247044.00102081706</v>
      </c>
      <c r="N112" s="356">
        <f t="shared" si="35"/>
        <v>89</v>
      </c>
      <c r="O112" s="357">
        <f t="shared" si="40"/>
        <v>7</v>
      </c>
      <c r="P112" s="357">
        <f t="shared" si="41"/>
        <v>5</v>
      </c>
      <c r="Q112" s="357">
        <f t="shared" si="42"/>
        <v>7</v>
      </c>
      <c r="R112" s="356">
        <f t="shared" si="36"/>
        <v>896537.58726124</v>
      </c>
      <c r="S112" s="356">
        <f>IF($G$4="mensual",S111,0)</f>
        <v>10000</v>
      </c>
      <c r="U112" s="356">
        <f t="shared" si="43"/>
        <v>7228.858024900728</v>
      </c>
      <c r="V112" s="356">
        <f t="shared" si="25"/>
        <v>-100.27400157777105</v>
      </c>
      <c r="X112" s="356">
        <f t="shared" si="28"/>
        <v>-913.7664452861408</v>
      </c>
      <c r="Y112" s="356">
        <f t="shared" si="29"/>
        <v>912752.4048392769</v>
      </c>
      <c r="AA112" s="357">
        <f>+Bono!J112</f>
        <v>156773.43638010597</v>
      </c>
      <c r="AC112" s="378">
        <f t="shared" si="30"/>
        <v>7.416666666666667</v>
      </c>
      <c r="AD112" s="356">
        <f t="shared" si="31"/>
        <v>1316569.8422402</v>
      </c>
    </row>
    <row r="113" spans="2:30" x14ac:dyDescent="0.25">
      <c r="B113" s="356">
        <f t="shared" si="32"/>
        <v>90</v>
      </c>
      <c r="C113" s="357">
        <f t="shared" si="37"/>
        <v>7</v>
      </c>
      <c r="D113" s="357">
        <f t="shared" si="38"/>
        <v>6</v>
      </c>
      <c r="E113" s="357">
        <f t="shared" si="39"/>
        <v>36</v>
      </c>
      <c r="F113" s="356">
        <f t="shared" si="33"/>
        <v>247044.00102081706</v>
      </c>
      <c r="H113" s="356">
        <f t="shared" si="26"/>
        <v>1969.96355625824</v>
      </c>
      <c r="I113" s="356">
        <v>0</v>
      </c>
      <c r="J113" s="360">
        <f>-SUM(F113:H113)*$J$21</f>
        <v>-2241.125681193678</v>
      </c>
      <c r="K113" s="356">
        <f t="shared" si="34"/>
        <v>-246.77283889588162</v>
      </c>
      <c r="L113" s="356">
        <f t="shared" si="27"/>
        <v>246526.06605698573</v>
      </c>
      <c r="N113" s="356">
        <f t="shared" si="35"/>
        <v>90</v>
      </c>
      <c r="O113" s="357">
        <f t="shared" si="40"/>
        <v>7</v>
      </c>
      <c r="P113" s="357">
        <f t="shared" si="41"/>
        <v>6</v>
      </c>
      <c r="Q113" s="357">
        <f t="shared" si="42"/>
        <v>7</v>
      </c>
      <c r="R113" s="356">
        <f t="shared" si="36"/>
        <v>912752.4048392769</v>
      </c>
      <c r="S113" s="356">
        <f>IF($G$4="mensual",S112,0)</f>
        <v>10000</v>
      </c>
      <c r="U113" s="356">
        <f t="shared" si="43"/>
        <v>7358.157257297052</v>
      </c>
      <c r="V113" s="356">
        <f t="shared" si="25"/>
        <v>-100.27400157777105</v>
      </c>
      <c r="X113" s="356">
        <f t="shared" si="28"/>
        <v>-930.110562096574</v>
      </c>
      <c r="Y113" s="356">
        <f t="shared" si="29"/>
        <v>929080.1775328997</v>
      </c>
      <c r="AA113" s="357">
        <f>+Bono!J113</f>
        <v>156324.31969124437</v>
      </c>
      <c r="AC113" s="378">
        <f t="shared" si="30"/>
        <v>7.5</v>
      </c>
      <c r="AD113" s="356">
        <f t="shared" si="31"/>
        <v>1331930.5632811296</v>
      </c>
    </row>
    <row r="114" spans="2:30" x14ac:dyDescent="0.25">
      <c r="B114" s="356">
        <f t="shared" si="32"/>
        <v>91</v>
      </c>
      <c r="C114" s="357">
        <f t="shared" si="37"/>
        <v>7</v>
      </c>
      <c r="D114" s="357">
        <f t="shared" si="38"/>
        <v>7</v>
      </c>
      <c r="E114" s="357">
        <f t="shared" si="39"/>
        <v>36</v>
      </c>
      <c r="F114" s="356">
        <f t="shared" si="33"/>
        <v>246526.06605698573</v>
      </c>
      <c r="H114" s="356">
        <f t="shared" si="26"/>
        <v>1965.83347012361</v>
      </c>
      <c r="I114" s="356">
        <v>0</v>
      </c>
      <c r="J114" s="356">
        <v>0</v>
      </c>
      <c r="K114" s="356">
        <f t="shared" si="34"/>
        <v>-248.49189952710935</v>
      </c>
      <c r="L114" s="356">
        <f t="shared" si="27"/>
        <v>248243.40762758223</v>
      </c>
      <c r="N114" s="356">
        <f t="shared" si="35"/>
        <v>91</v>
      </c>
      <c r="O114" s="357">
        <f t="shared" si="40"/>
        <v>7</v>
      </c>
      <c r="P114" s="357">
        <f t="shared" si="41"/>
        <v>7</v>
      </c>
      <c r="Q114" s="357">
        <f t="shared" si="42"/>
        <v>7</v>
      </c>
      <c r="R114" s="356">
        <f t="shared" si="36"/>
        <v>929080.1775328997</v>
      </c>
      <c r="S114" s="356">
        <f>+IF($G$4="mensual",S108,IF($G$4="trimestral",S108,IF($G$4="semestral",S108,0)))</f>
        <v>10000</v>
      </c>
      <c r="U114" s="356">
        <f t="shared" si="43"/>
        <v>7488.35720964722</v>
      </c>
      <c r="V114" s="356">
        <f t="shared" si="25"/>
        <v>-100.27400157777105</v>
      </c>
      <c r="X114" s="356">
        <f t="shared" si="28"/>
        <v>-946.5685347425468</v>
      </c>
      <c r="Y114" s="356">
        <f t="shared" si="29"/>
        <v>945521.6922062265</v>
      </c>
      <c r="AA114" s="357">
        <f>+Bono!J114</f>
        <v>157293.54860582884</v>
      </c>
      <c r="AC114" s="378">
        <f t="shared" si="30"/>
        <v>7.583333333333333</v>
      </c>
      <c r="AD114" s="356">
        <f t="shared" si="31"/>
        <v>1351058.6484396376</v>
      </c>
    </row>
    <row r="115" spans="2:30" x14ac:dyDescent="0.25">
      <c r="B115" s="356">
        <f t="shared" si="32"/>
        <v>92</v>
      </c>
      <c r="C115" s="357">
        <f t="shared" si="37"/>
        <v>7</v>
      </c>
      <c r="D115" s="357">
        <f t="shared" si="38"/>
        <v>8</v>
      </c>
      <c r="E115" s="357">
        <f t="shared" si="39"/>
        <v>36</v>
      </c>
      <c r="F115" s="356">
        <f t="shared" si="33"/>
        <v>248243.40762758223</v>
      </c>
      <c r="H115" s="356">
        <f t="shared" si="26"/>
        <v>1979.5277929719405</v>
      </c>
      <c r="I115" s="356">
        <v>0</v>
      </c>
      <c r="J115" s="356">
        <v>0</v>
      </c>
      <c r="K115" s="356">
        <f t="shared" si="34"/>
        <v>-250.22293542055417</v>
      </c>
      <c r="L115" s="356">
        <f t="shared" si="27"/>
        <v>249972.7124851336</v>
      </c>
      <c r="N115" s="356">
        <f t="shared" si="35"/>
        <v>92</v>
      </c>
      <c r="O115" s="357">
        <f t="shared" si="40"/>
        <v>7</v>
      </c>
      <c r="P115" s="357">
        <f t="shared" si="41"/>
        <v>8</v>
      </c>
      <c r="Q115" s="357">
        <f t="shared" si="42"/>
        <v>7</v>
      </c>
      <c r="R115" s="356">
        <f t="shared" si="36"/>
        <v>945521.6922062265</v>
      </c>
      <c r="S115" s="356">
        <f>IF($G$4="mensual",S114,0)</f>
        <v>10000</v>
      </c>
      <c r="U115" s="356">
        <f t="shared" si="43"/>
        <v>7619.46415651621</v>
      </c>
      <c r="V115" s="356">
        <f t="shared" si="25"/>
        <v>-100.27400157777105</v>
      </c>
      <c r="X115" s="356">
        <f t="shared" si="28"/>
        <v>-963.1411563627428</v>
      </c>
      <c r="Y115" s="356">
        <f t="shared" si="29"/>
        <v>962077.7412048023</v>
      </c>
      <c r="AA115" s="357">
        <f>+Bono!J115</f>
        <v>158268.78685210733</v>
      </c>
      <c r="AC115" s="378">
        <f t="shared" si="30"/>
        <v>7.666666666666667</v>
      </c>
      <c r="AD115" s="356">
        <f t="shared" si="31"/>
        <v>1370319.2405420432</v>
      </c>
    </row>
    <row r="116" spans="2:30" x14ac:dyDescent="0.25">
      <c r="B116" s="356">
        <f t="shared" si="32"/>
        <v>93</v>
      </c>
      <c r="C116" s="357">
        <f t="shared" si="37"/>
        <v>7</v>
      </c>
      <c r="D116" s="357">
        <f t="shared" si="38"/>
        <v>9</v>
      </c>
      <c r="E116" s="357">
        <f t="shared" si="39"/>
        <v>36</v>
      </c>
      <c r="F116" s="356">
        <f t="shared" si="33"/>
        <v>249972.7124851336</v>
      </c>
      <c r="H116" s="356">
        <f t="shared" si="26"/>
        <v>1993.3175127504408</v>
      </c>
      <c r="I116" s="356">
        <v>0</v>
      </c>
      <c r="J116" s="360">
        <f>-SUM(F116:H116)*$J$21</f>
        <v>-2267.694269980957</v>
      </c>
      <c r="K116" s="356">
        <f t="shared" si="34"/>
        <v>-249.69833572790313</v>
      </c>
      <c r="L116" s="356">
        <f t="shared" si="27"/>
        <v>249448.6373921752</v>
      </c>
      <c r="N116" s="356">
        <f t="shared" si="35"/>
        <v>93</v>
      </c>
      <c r="O116" s="357">
        <f t="shared" si="40"/>
        <v>7</v>
      </c>
      <c r="P116" s="357">
        <f t="shared" si="41"/>
        <v>9</v>
      </c>
      <c r="Q116" s="357">
        <f t="shared" si="42"/>
        <v>7</v>
      </c>
      <c r="R116" s="356">
        <f t="shared" si="36"/>
        <v>962077.7412048023</v>
      </c>
      <c r="S116" s="356">
        <f>IF($G$4="mensual",S115,0)</f>
        <v>10000</v>
      </c>
      <c r="U116" s="356">
        <f t="shared" si="43"/>
        <v>7751.484416178665</v>
      </c>
      <c r="V116" s="356">
        <f t="shared" si="25"/>
        <v>-100.27400157777105</v>
      </c>
      <c r="X116" s="356">
        <f t="shared" si="28"/>
        <v>-979.829225620981</v>
      </c>
      <c r="Y116" s="356">
        <f t="shared" si="29"/>
        <v>978749.1223937823</v>
      </c>
      <c r="AA116" s="357">
        <f>+Bono!J116</f>
        <v>157815.38635810514</v>
      </c>
      <c r="AC116" s="378">
        <f t="shared" si="30"/>
        <v>7.75</v>
      </c>
      <c r="AD116" s="356">
        <f t="shared" si="31"/>
        <v>1386013.1461440625</v>
      </c>
    </row>
    <row r="117" spans="2:30" x14ac:dyDescent="0.25">
      <c r="B117" s="356">
        <f t="shared" si="32"/>
        <v>94</v>
      </c>
      <c r="C117" s="357">
        <f t="shared" si="37"/>
        <v>7</v>
      </c>
      <c r="D117" s="357">
        <f t="shared" si="38"/>
        <v>10</v>
      </c>
      <c r="E117" s="357">
        <f t="shared" si="39"/>
        <v>36</v>
      </c>
      <c r="F117" s="356">
        <f t="shared" si="33"/>
        <v>249448.6373921752</v>
      </c>
      <c r="H117" s="356">
        <f t="shared" si="26"/>
        <v>1989.1384643638996</v>
      </c>
      <c r="I117" s="356">
        <v>0</v>
      </c>
      <c r="J117" s="356">
        <v>0</v>
      </c>
      <c r="K117" s="356">
        <f t="shared" si="34"/>
        <v>-251.4377758565391</v>
      </c>
      <c r="L117" s="356">
        <f t="shared" si="27"/>
        <v>251186.33808068256</v>
      </c>
      <c r="N117" s="356">
        <f t="shared" si="35"/>
        <v>94</v>
      </c>
      <c r="O117" s="357">
        <f t="shared" si="40"/>
        <v>7</v>
      </c>
      <c r="P117" s="357">
        <f t="shared" si="41"/>
        <v>10</v>
      </c>
      <c r="Q117" s="357">
        <f t="shared" si="42"/>
        <v>7</v>
      </c>
      <c r="R117" s="356">
        <f t="shared" si="36"/>
        <v>978749.1223937823</v>
      </c>
      <c r="S117" s="356">
        <f>IF($G$4="mensual",S108,IF($G$4="trimestral",S108,0))</f>
        <v>10000</v>
      </c>
      <c r="U117" s="356">
        <f t="shared" si="43"/>
        <v>7884.424350923376</v>
      </c>
      <c r="V117" s="356">
        <f t="shared" si="25"/>
        <v>-100.27400157777105</v>
      </c>
      <c r="X117" s="356">
        <f t="shared" si="28"/>
        <v>-996.6335467447057</v>
      </c>
      <c r="Y117" s="356">
        <f t="shared" si="29"/>
        <v>995536.6391963832</v>
      </c>
      <c r="AA117" s="357">
        <f>+Bono!J117</f>
        <v>158793.8600589772</v>
      </c>
      <c r="AC117" s="378">
        <f t="shared" si="30"/>
        <v>7.833333333333333</v>
      </c>
      <c r="AD117" s="356">
        <f t="shared" si="31"/>
        <v>1405516.837336043</v>
      </c>
    </row>
    <row r="118" spans="2:30" x14ac:dyDescent="0.25">
      <c r="B118" s="356">
        <f t="shared" si="32"/>
        <v>95</v>
      </c>
      <c r="C118" s="357">
        <f t="shared" si="37"/>
        <v>7</v>
      </c>
      <c r="D118" s="357">
        <f t="shared" si="38"/>
        <v>11</v>
      </c>
      <c r="E118" s="357">
        <f t="shared" si="39"/>
        <v>36</v>
      </c>
      <c r="F118" s="356">
        <f t="shared" si="33"/>
        <v>251186.33808068256</v>
      </c>
      <c r="H118" s="356">
        <f t="shared" si="26"/>
        <v>2002.99513367746</v>
      </c>
      <c r="I118" s="356">
        <v>0</v>
      </c>
      <c r="J118" s="356">
        <v>0</v>
      </c>
      <c r="K118" s="356">
        <f t="shared" si="34"/>
        <v>-253.18933321436003</v>
      </c>
      <c r="L118" s="356">
        <f t="shared" si="27"/>
        <v>252936.14388114566</v>
      </c>
      <c r="N118" s="356">
        <f t="shared" si="35"/>
        <v>95</v>
      </c>
      <c r="O118" s="357">
        <f t="shared" si="40"/>
        <v>7</v>
      </c>
      <c r="P118" s="357">
        <f t="shared" si="41"/>
        <v>11</v>
      </c>
      <c r="Q118" s="357">
        <f t="shared" si="42"/>
        <v>7</v>
      </c>
      <c r="R118" s="356">
        <f t="shared" si="36"/>
        <v>995536.6391963832</v>
      </c>
      <c r="S118" s="356">
        <f>IF($G$17="si",S106*(1+$G$20),S106)</f>
        <v>10000</v>
      </c>
      <c r="U118" s="356">
        <f t="shared" si="43"/>
        <v>8018.290367359897</v>
      </c>
      <c r="V118" s="356">
        <f t="shared" si="25"/>
        <v>-100.27400157777105</v>
      </c>
      <c r="X118" s="356">
        <f t="shared" si="28"/>
        <v>-1013.554929563743</v>
      </c>
      <c r="Y118" s="356">
        <f t="shared" si="29"/>
        <v>1012441.1006326015</v>
      </c>
      <c r="AA118" s="357">
        <f>+Bono!J118</f>
        <v>159778.40041029057</v>
      </c>
      <c r="AC118" s="378">
        <f t="shared" si="30"/>
        <v>7.916666666666667</v>
      </c>
      <c r="AD118" s="356">
        <f t="shared" si="31"/>
        <v>1425155.6449240379</v>
      </c>
    </row>
    <row r="119" spans="2:30" x14ac:dyDescent="0.25">
      <c r="B119" s="356">
        <f t="shared" si="32"/>
        <v>96</v>
      </c>
      <c r="C119" s="357">
        <f t="shared" si="37"/>
        <v>7</v>
      </c>
      <c r="D119" s="357">
        <f t="shared" si="38"/>
        <v>12</v>
      </c>
      <c r="E119" s="357">
        <f t="shared" si="39"/>
        <v>36</v>
      </c>
      <c r="F119" s="356">
        <f t="shared" si="33"/>
        <v>252936.14388114566</v>
      </c>
      <c r="H119" s="356">
        <f t="shared" si="26"/>
        <v>2016.948330853663</v>
      </c>
      <c r="I119" s="356">
        <v>0</v>
      </c>
      <c r="J119" s="360">
        <f>-SUM(F119:H119)*$J$21</f>
        <v>-2294.5778299079943</v>
      </c>
      <c r="K119" s="356">
        <f t="shared" si="34"/>
        <v>-252.65851438209134</v>
      </c>
      <c r="L119" s="356">
        <f t="shared" si="27"/>
        <v>252405.85586770924</v>
      </c>
      <c r="N119" s="356">
        <f t="shared" si="35"/>
        <v>96</v>
      </c>
      <c r="O119" s="357">
        <f t="shared" si="40"/>
        <v>7</v>
      </c>
      <c r="P119" s="357">
        <f t="shared" si="41"/>
        <v>12</v>
      </c>
      <c r="Q119" s="357">
        <f t="shared" si="42"/>
        <v>7</v>
      </c>
      <c r="R119" s="356">
        <f t="shared" si="36"/>
        <v>1012441.1006326015</v>
      </c>
      <c r="S119" s="356">
        <f>IF($G$4="mensual",S118,0)</f>
        <v>10000</v>
      </c>
      <c r="U119" s="356">
        <f t="shared" si="43"/>
        <v>8153.08891672729</v>
      </c>
      <c r="V119" s="356">
        <f t="shared" si="25"/>
        <v>-100.27400157777105</v>
      </c>
      <c r="X119" s="356">
        <f t="shared" si="28"/>
        <v>-1030.5941895493288</v>
      </c>
      <c r="Y119" s="356">
        <f t="shared" si="29"/>
        <v>1029463.3213582018</v>
      </c>
      <c r="AA119" s="357">
        <f>+Bono!J119</f>
        <v>159320.67525097285</v>
      </c>
      <c r="AC119" s="378">
        <f t="shared" si="30"/>
        <v>8</v>
      </c>
      <c r="AD119" s="356">
        <f t="shared" si="31"/>
        <v>1441189.852476884</v>
      </c>
    </row>
    <row r="120" spans="2:30" x14ac:dyDescent="0.25">
      <c r="B120" s="356">
        <f t="shared" si="32"/>
        <v>97</v>
      </c>
      <c r="C120" s="357">
        <f t="shared" si="37"/>
        <v>8</v>
      </c>
      <c r="D120" s="357">
        <f t="shared" si="38"/>
        <v>1</v>
      </c>
      <c r="E120" s="357">
        <f t="shared" si="39"/>
        <v>37</v>
      </c>
      <c r="F120" s="356">
        <f t="shared" si="33"/>
        <v>252405.85586770924</v>
      </c>
      <c r="H120" s="356">
        <f t="shared" si="26"/>
        <v>2012.7197397667567</v>
      </c>
      <c r="I120" s="356">
        <v>0</v>
      </c>
      <c r="J120" s="356">
        <v>0</v>
      </c>
      <c r="K120" s="356">
        <f t="shared" si="34"/>
        <v>-254.41857560747601</v>
      </c>
      <c r="L120" s="356">
        <f t="shared" si="27"/>
        <v>254164.15703186853</v>
      </c>
      <c r="N120" s="356">
        <f t="shared" si="35"/>
        <v>97</v>
      </c>
      <c r="O120" s="357">
        <f t="shared" si="40"/>
        <v>8</v>
      </c>
      <c r="P120" s="357">
        <f t="shared" si="41"/>
        <v>1</v>
      </c>
      <c r="Q120" s="357">
        <f t="shared" si="42"/>
        <v>8</v>
      </c>
      <c r="R120" s="356">
        <f t="shared" si="36"/>
        <v>1029463.3213582018</v>
      </c>
      <c r="S120" s="356">
        <f>IF($G$17="si",S108*(1+$G$20),S108)</f>
        <v>10000</v>
      </c>
      <c r="U120" s="356">
        <f t="shared" si="43"/>
        <v>8288.826495205023</v>
      </c>
      <c r="V120" s="356">
        <f>V119*(1+$G$18)</f>
        <v>-104.28496164088189</v>
      </c>
      <c r="X120" s="356">
        <f t="shared" si="28"/>
        <v>-1047.7521478534068</v>
      </c>
      <c r="Y120" s="356">
        <f t="shared" si="29"/>
        <v>1046600.1107439126</v>
      </c>
      <c r="AA120" s="357">
        <f>+Bono!J120</f>
        <v>160308.48191758338</v>
      </c>
      <c r="AC120" s="378">
        <f t="shared" si="30"/>
        <v>8.083333333333334</v>
      </c>
      <c r="AD120" s="356">
        <f t="shared" si="31"/>
        <v>1461072.7496933646</v>
      </c>
    </row>
    <row r="121" spans="2:30" x14ac:dyDescent="0.25">
      <c r="B121" s="356">
        <f t="shared" si="32"/>
        <v>98</v>
      </c>
      <c r="C121" s="357">
        <f t="shared" si="37"/>
        <v>8</v>
      </c>
      <c r="D121" s="357">
        <f t="shared" si="38"/>
        <v>2</v>
      </c>
      <c r="E121" s="357">
        <f t="shared" si="39"/>
        <v>37</v>
      </c>
      <c r="F121" s="356">
        <f t="shared" si="33"/>
        <v>254164.15703186853</v>
      </c>
      <c r="H121" s="356">
        <f t="shared" si="26"/>
        <v>2026.7406801660677</v>
      </c>
      <c r="I121" s="356">
        <v>0</v>
      </c>
      <c r="J121" s="356">
        <v>0</v>
      </c>
      <c r="K121" s="356">
        <f t="shared" si="34"/>
        <v>-256.1908977120346</v>
      </c>
      <c r="L121" s="356">
        <f t="shared" si="27"/>
        <v>255934.70681432253</v>
      </c>
      <c r="N121" s="356">
        <f t="shared" si="35"/>
        <v>98</v>
      </c>
      <c r="O121" s="357">
        <f t="shared" si="40"/>
        <v>8</v>
      </c>
      <c r="P121" s="357">
        <f t="shared" si="41"/>
        <v>2</v>
      </c>
      <c r="Q121" s="357">
        <f t="shared" si="42"/>
        <v>8</v>
      </c>
      <c r="R121" s="356">
        <f t="shared" si="36"/>
        <v>1046600.1107439126</v>
      </c>
      <c r="S121" s="356">
        <f>IF($G$4="mensual",S120,0)</f>
        <v>10000</v>
      </c>
      <c r="U121" s="356">
        <f t="shared" si="43"/>
        <v>8425.477660267228</v>
      </c>
      <c r="V121" s="356">
        <f>V120</f>
        <v>-104.28496164088189</v>
      </c>
      <c r="X121" s="356">
        <f t="shared" si="28"/>
        <v>-1065.0255884041799</v>
      </c>
      <c r="Y121" s="356">
        <f t="shared" si="29"/>
        <v>1063856.2778541348</v>
      </c>
      <c r="AA121" s="357">
        <f>+Bono!J121</f>
        <v>161302.4131001054</v>
      </c>
      <c r="AC121" s="378">
        <f t="shared" si="30"/>
        <v>8.166666666666666</v>
      </c>
      <c r="AD121" s="356">
        <f t="shared" si="31"/>
        <v>1481093.397768563</v>
      </c>
    </row>
    <row r="122" spans="2:30" x14ac:dyDescent="0.25">
      <c r="B122" s="356">
        <f t="shared" si="32"/>
        <v>99</v>
      </c>
      <c r="C122" s="357">
        <f t="shared" si="37"/>
        <v>8</v>
      </c>
      <c r="D122" s="357">
        <f t="shared" si="38"/>
        <v>3</v>
      </c>
      <c r="E122" s="357">
        <f t="shared" si="39"/>
        <v>37</v>
      </c>
      <c r="F122" s="356">
        <f t="shared" si="33"/>
        <v>255934.70681432253</v>
      </c>
      <c r="H122" s="356">
        <f t="shared" si="26"/>
        <v>2040.859292767721</v>
      </c>
      <c r="I122" s="356">
        <v>0</v>
      </c>
      <c r="J122" s="360">
        <f>-SUM(F122:H122)*$J$21</f>
        <v>-2321.7800949638126</v>
      </c>
      <c r="K122" s="356">
        <f t="shared" si="34"/>
        <v>-255.65378601212643</v>
      </c>
      <c r="L122" s="356">
        <f t="shared" si="27"/>
        <v>255398.1322261143</v>
      </c>
      <c r="N122" s="356">
        <f t="shared" si="35"/>
        <v>99</v>
      </c>
      <c r="O122" s="357">
        <f t="shared" si="40"/>
        <v>8</v>
      </c>
      <c r="P122" s="357">
        <f t="shared" si="41"/>
        <v>3</v>
      </c>
      <c r="Q122" s="357">
        <f t="shared" si="42"/>
        <v>8</v>
      </c>
      <c r="R122" s="356">
        <f t="shared" si="36"/>
        <v>1063856.2778541348</v>
      </c>
      <c r="S122" s="356">
        <f>IF($G$4="mensual",S121,0)</f>
        <v>10000</v>
      </c>
      <c r="U122" s="356">
        <f t="shared" si="43"/>
        <v>8563.08076006877</v>
      </c>
      <c r="V122" s="356">
        <f t="shared" si="25"/>
        <v>-104.28496164088189</v>
      </c>
      <c r="X122" s="356">
        <f t="shared" si="28"/>
        <v>-1082.4193586142035</v>
      </c>
      <c r="Y122" s="356">
        <f t="shared" si="29"/>
        <v>1081232.6542939486</v>
      </c>
      <c r="AA122" s="357">
        <f>+Bono!J122</f>
        <v>160840.32202556098</v>
      </c>
      <c r="AC122" s="378">
        <f t="shared" si="30"/>
        <v>8.25</v>
      </c>
      <c r="AD122" s="356">
        <f t="shared" si="31"/>
        <v>1497471.108545624</v>
      </c>
    </row>
    <row r="123" spans="2:30" x14ac:dyDescent="0.25">
      <c r="B123" s="356">
        <f t="shared" si="32"/>
        <v>100</v>
      </c>
      <c r="C123" s="357">
        <f t="shared" si="37"/>
        <v>8</v>
      </c>
      <c r="D123" s="357">
        <f t="shared" si="38"/>
        <v>4</v>
      </c>
      <c r="E123" s="357">
        <f t="shared" si="39"/>
        <v>37</v>
      </c>
      <c r="F123" s="356">
        <f t="shared" si="33"/>
        <v>255398.1322261143</v>
      </c>
      <c r="H123" s="356">
        <f t="shared" si="26"/>
        <v>2036.5805716507675</v>
      </c>
      <c r="I123" s="356">
        <v>0</v>
      </c>
      <c r="J123" s="356">
        <v>0</v>
      </c>
      <c r="K123" s="356">
        <f t="shared" si="34"/>
        <v>-257.4347127977651</v>
      </c>
      <c r="L123" s="356">
        <f t="shared" si="27"/>
        <v>257177.2780849673</v>
      </c>
      <c r="N123" s="356">
        <f t="shared" si="35"/>
        <v>100</v>
      </c>
      <c r="O123" s="357">
        <f t="shared" si="40"/>
        <v>8</v>
      </c>
      <c r="P123" s="357">
        <f t="shared" si="41"/>
        <v>4</v>
      </c>
      <c r="Q123" s="357">
        <f t="shared" si="42"/>
        <v>8</v>
      </c>
      <c r="R123" s="356">
        <f t="shared" si="36"/>
        <v>1081232.6542939486</v>
      </c>
      <c r="S123" s="356">
        <f>IF($G$4="mensual",S120,IF($G$4="trimestral",S120,0))</f>
        <v>10000</v>
      </c>
      <c r="U123" s="356">
        <f t="shared" si="43"/>
        <v>8701.64242594534</v>
      </c>
      <c r="V123" s="356">
        <f t="shared" si="25"/>
        <v>-104.28496164088189</v>
      </c>
      <c r="X123" s="356">
        <f t="shared" si="28"/>
        <v>-1099.9342967198938</v>
      </c>
      <c r="Y123" s="356">
        <f t="shared" si="29"/>
        <v>1098730.077461533</v>
      </c>
      <c r="AA123" s="357">
        <f>+Bono!J123</f>
        <v>161837.55067844206</v>
      </c>
      <c r="AC123" s="378">
        <f t="shared" si="30"/>
        <v>8.333333333333334</v>
      </c>
      <c r="AD123" s="356">
        <f t="shared" si="31"/>
        <v>1517744.9062249423</v>
      </c>
    </row>
    <row r="124" spans="2:30" x14ac:dyDescent="0.25">
      <c r="B124" s="356">
        <f t="shared" si="32"/>
        <v>101</v>
      </c>
      <c r="C124" s="357">
        <f t="shared" si="37"/>
        <v>8</v>
      </c>
      <c r="D124" s="357">
        <f t="shared" si="38"/>
        <v>5</v>
      </c>
      <c r="E124" s="357">
        <f t="shared" si="39"/>
        <v>37</v>
      </c>
      <c r="F124" s="356">
        <f t="shared" si="33"/>
        <v>257177.2780849673</v>
      </c>
      <c r="H124" s="356">
        <f t="shared" si="26"/>
        <v>2050.767730572764</v>
      </c>
      <c r="I124" s="356">
        <v>0</v>
      </c>
      <c r="J124" s="356">
        <v>0</v>
      </c>
      <c r="K124" s="356">
        <f t="shared" si="34"/>
        <v>-259.2280458155401</v>
      </c>
      <c r="L124" s="356">
        <f t="shared" si="27"/>
        <v>258968.81776972453</v>
      </c>
      <c r="N124" s="356">
        <f t="shared" si="35"/>
        <v>101</v>
      </c>
      <c r="O124" s="357">
        <f t="shared" si="40"/>
        <v>8</v>
      </c>
      <c r="P124" s="357">
        <f t="shared" si="41"/>
        <v>5</v>
      </c>
      <c r="Q124" s="357">
        <f t="shared" si="42"/>
        <v>8</v>
      </c>
      <c r="R124" s="356">
        <f t="shared" si="36"/>
        <v>1098730.077461533</v>
      </c>
      <c r="S124" s="356">
        <f>IF($G$4="mensual",S123,0)</f>
        <v>10000</v>
      </c>
      <c r="U124" s="356">
        <f t="shared" si="43"/>
        <v>8841.169335427612</v>
      </c>
      <c r="V124" s="356">
        <f t="shared" si="25"/>
        <v>-104.28496164088189</v>
      </c>
      <c r="X124" s="356">
        <f t="shared" si="28"/>
        <v>-1117.5712467969606</v>
      </c>
      <c r="Y124" s="356">
        <f t="shared" si="29"/>
        <v>1116349.390588523</v>
      </c>
      <c r="AA124" s="357">
        <f>+Bono!J124</f>
        <v>162840.96226464238</v>
      </c>
      <c r="AC124" s="378">
        <f t="shared" si="30"/>
        <v>8.416666666666666</v>
      </c>
      <c r="AD124" s="356">
        <f t="shared" si="31"/>
        <v>1538159.17062289</v>
      </c>
    </row>
    <row r="125" spans="2:30" x14ac:dyDescent="0.25">
      <c r="B125" s="356">
        <f t="shared" si="32"/>
        <v>102</v>
      </c>
      <c r="C125" s="357">
        <f t="shared" si="37"/>
        <v>8</v>
      </c>
      <c r="D125" s="357">
        <f t="shared" si="38"/>
        <v>6</v>
      </c>
      <c r="E125" s="357">
        <f t="shared" si="39"/>
        <v>37</v>
      </c>
      <c r="F125" s="356">
        <f t="shared" si="33"/>
        <v>258968.81776972453</v>
      </c>
      <c r="H125" s="356">
        <f t="shared" si="26"/>
        <v>2065.053719602972</v>
      </c>
      <c r="I125" s="356">
        <v>0</v>
      </c>
      <c r="J125" s="360">
        <f>-SUM(F125:H125)*$J$21</f>
        <v>-2349.304843403948</v>
      </c>
      <c r="K125" s="356">
        <f t="shared" si="34"/>
        <v>-258.68456664592355</v>
      </c>
      <c r="L125" s="356">
        <f t="shared" si="27"/>
        <v>258425.88207927762</v>
      </c>
      <c r="N125" s="356">
        <f t="shared" si="35"/>
        <v>102</v>
      </c>
      <c r="O125" s="357">
        <f t="shared" si="40"/>
        <v>8</v>
      </c>
      <c r="P125" s="357">
        <f t="shared" si="41"/>
        <v>6</v>
      </c>
      <c r="Q125" s="357">
        <f t="shared" si="42"/>
        <v>8</v>
      </c>
      <c r="R125" s="356">
        <f t="shared" si="36"/>
        <v>1116349.390588523</v>
      </c>
      <c r="S125" s="356">
        <f>IF($G$4="mensual",S124,0)</f>
        <v>10000</v>
      </c>
      <c r="U125" s="356">
        <f t="shared" si="43"/>
        <v>8981.668212563058</v>
      </c>
      <c r="V125" s="356">
        <f t="shared" ref="V125:V188" si="44">V124</f>
        <v>-104.28496164088189</v>
      </c>
      <c r="X125" s="356">
        <f t="shared" si="28"/>
        <v>-1135.3310588010859</v>
      </c>
      <c r="Y125" s="356">
        <f t="shared" si="29"/>
        <v>1134091.442780644</v>
      </c>
      <c r="AA125" s="357">
        <f>+Bono!J125</f>
        <v>162374.46363150654</v>
      </c>
      <c r="AC125" s="378">
        <f t="shared" si="30"/>
        <v>8.5</v>
      </c>
      <c r="AD125" s="356">
        <f t="shared" si="31"/>
        <v>1554891.7884914281</v>
      </c>
    </row>
    <row r="126" spans="2:30" x14ac:dyDescent="0.25">
      <c r="B126" s="356">
        <f t="shared" si="32"/>
        <v>103</v>
      </c>
      <c r="C126" s="357">
        <f t="shared" si="37"/>
        <v>8</v>
      </c>
      <c r="D126" s="357">
        <f t="shared" si="38"/>
        <v>7</v>
      </c>
      <c r="E126" s="357">
        <f t="shared" si="39"/>
        <v>37</v>
      </c>
      <c r="F126" s="356">
        <f t="shared" si="33"/>
        <v>258425.88207927762</v>
      </c>
      <c r="H126" s="356">
        <f t="shared" si="26"/>
        <v>2060.7242741634846</v>
      </c>
      <c r="I126" s="356">
        <v>0</v>
      </c>
      <c r="J126" s="356">
        <v>0</v>
      </c>
      <c r="K126" s="356">
        <f t="shared" si="34"/>
        <v>-260.4866063534411</v>
      </c>
      <c r="L126" s="356">
        <f t="shared" si="27"/>
        <v>260226.11974708768</v>
      </c>
      <c r="N126" s="356">
        <f t="shared" si="35"/>
        <v>103</v>
      </c>
      <c r="O126" s="357">
        <f t="shared" si="40"/>
        <v>8</v>
      </c>
      <c r="P126" s="357">
        <f t="shared" si="41"/>
        <v>7</v>
      </c>
      <c r="Q126" s="357">
        <f t="shared" si="42"/>
        <v>8</v>
      </c>
      <c r="R126" s="356">
        <f t="shared" si="36"/>
        <v>1134091.442780644</v>
      </c>
      <c r="S126" s="356">
        <f>+IF($G$4="mensual",S120,IF($G$4="trimestral",S120,IF($G$4="semestral",S120,0)))</f>
        <v>10000</v>
      </c>
      <c r="U126" s="356">
        <f t="shared" si="43"/>
        <v>9123.14582823997</v>
      </c>
      <c r="V126" s="356">
        <f t="shared" si="44"/>
        <v>-104.28496164088189</v>
      </c>
      <c r="X126" s="356">
        <f t="shared" si="28"/>
        <v>-1153.214588608884</v>
      </c>
      <c r="Y126" s="356">
        <f t="shared" si="29"/>
        <v>1151957.0890586344</v>
      </c>
      <c r="AA126" s="357">
        <f>+Bono!J126</f>
        <v>163381.2041402939</v>
      </c>
      <c r="AC126" s="378">
        <f t="shared" si="30"/>
        <v>8.583333333333334</v>
      </c>
      <c r="AD126" s="356">
        <f t="shared" si="31"/>
        <v>1575564.4129460158</v>
      </c>
    </row>
    <row r="127" spans="2:30" x14ac:dyDescent="0.25">
      <c r="B127" s="356">
        <f t="shared" si="32"/>
        <v>104</v>
      </c>
      <c r="C127" s="357">
        <f t="shared" si="37"/>
        <v>8</v>
      </c>
      <c r="D127" s="357">
        <f t="shared" si="38"/>
        <v>8</v>
      </c>
      <c r="E127" s="357">
        <f t="shared" si="39"/>
        <v>37</v>
      </c>
      <c r="F127" s="356">
        <f t="shared" si="33"/>
        <v>260226.11974708768</v>
      </c>
      <c r="H127" s="356">
        <f t="shared" si="26"/>
        <v>2075.0796221320043</v>
      </c>
      <c r="I127" s="356">
        <v>0</v>
      </c>
      <c r="J127" s="356">
        <v>0</v>
      </c>
      <c r="K127" s="356">
        <f t="shared" si="34"/>
        <v>-262.30119936921966</v>
      </c>
      <c r="L127" s="356">
        <f t="shared" si="27"/>
        <v>262038.89816985044</v>
      </c>
      <c r="N127" s="356">
        <f t="shared" si="35"/>
        <v>104</v>
      </c>
      <c r="O127" s="357">
        <f t="shared" si="40"/>
        <v>8</v>
      </c>
      <c r="P127" s="357">
        <f t="shared" si="41"/>
        <v>8</v>
      </c>
      <c r="Q127" s="357">
        <f t="shared" si="42"/>
        <v>8</v>
      </c>
      <c r="R127" s="356">
        <f t="shared" si="36"/>
        <v>1151957.0890586344</v>
      </c>
      <c r="S127" s="356">
        <f>IF($G$4="mensual",S126,0)</f>
        <v>10000</v>
      </c>
      <c r="U127" s="356">
        <f t="shared" si="43"/>
        <v>9265.609000513788</v>
      </c>
      <c r="V127" s="356">
        <f t="shared" si="44"/>
        <v>-104.28496164088189</v>
      </c>
      <c r="X127" s="356">
        <f t="shared" si="28"/>
        <v>-1171.2226980591481</v>
      </c>
      <c r="Y127" s="356">
        <f t="shared" si="29"/>
        <v>1169947.1903994482</v>
      </c>
      <c r="AA127" s="357">
        <f>+Bono!J127</f>
        <v>164394.18655701043</v>
      </c>
      <c r="AC127" s="378">
        <f t="shared" si="30"/>
        <v>8.666666666666666</v>
      </c>
      <c r="AD127" s="356">
        <f t="shared" si="31"/>
        <v>1596380.2751263091</v>
      </c>
    </row>
    <row r="128" spans="2:30" x14ac:dyDescent="0.25">
      <c r="B128" s="356">
        <f t="shared" si="32"/>
        <v>105</v>
      </c>
      <c r="C128" s="357">
        <f t="shared" si="37"/>
        <v>8</v>
      </c>
      <c r="D128" s="357">
        <f t="shared" si="38"/>
        <v>9</v>
      </c>
      <c r="E128" s="357">
        <f t="shared" si="39"/>
        <v>37</v>
      </c>
      <c r="F128" s="356">
        <f t="shared" si="33"/>
        <v>262038.89816985044</v>
      </c>
      <c r="H128" s="356">
        <f t="shared" si="26"/>
        <v>2089.534971841601</v>
      </c>
      <c r="I128" s="356">
        <v>0</v>
      </c>
      <c r="J128" s="360">
        <f>-SUM(F128:H128)*$J$21</f>
        <v>-2377.1558982752285</v>
      </c>
      <c r="K128" s="356">
        <f t="shared" si="34"/>
        <v>-261.7512772434168</v>
      </c>
      <c r="L128" s="356">
        <f t="shared" si="27"/>
        <v>261489.52596617336</v>
      </c>
      <c r="N128" s="356">
        <f t="shared" si="35"/>
        <v>105</v>
      </c>
      <c r="O128" s="357">
        <f t="shared" si="40"/>
        <v>8</v>
      </c>
      <c r="P128" s="357">
        <f t="shared" si="41"/>
        <v>9</v>
      </c>
      <c r="Q128" s="357">
        <f t="shared" si="42"/>
        <v>8</v>
      </c>
      <c r="R128" s="356">
        <f t="shared" si="36"/>
        <v>1169947.1903994482</v>
      </c>
      <c r="S128" s="356">
        <f>IF($G$4="mensual",S127,0)</f>
        <v>10000</v>
      </c>
      <c r="U128" s="356">
        <f t="shared" si="43"/>
        <v>9409.064594935648</v>
      </c>
      <c r="V128" s="356">
        <f t="shared" si="44"/>
        <v>-104.28496164088189</v>
      </c>
      <c r="X128" s="356">
        <f t="shared" si="28"/>
        <v>-1189.3562549943838</v>
      </c>
      <c r="Y128" s="356">
        <f t="shared" si="29"/>
        <v>1188062.6137777485</v>
      </c>
      <c r="AA128" s="357">
        <f>+Bono!J128</f>
        <v>163923.2383247119</v>
      </c>
      <c r="AC128" s="378">
        <f t="shared" si="30"/>
        <v>8.75</v>
      </c>
      <c r="AD128" s="356">
        <f t="shared" si="31"/>
        <v>1613475.3780686336</v>
      </c>
    </row>
    <row r="129" spans="2:30" x14ac:dyDescent="0.25">
      <c r="B129" s="356">
        <f t="shared" si="32"/>
        <v>106</v>
      </c>
      <c r="C129" s="357">
        <f t="shared" si="37"/>
        <v>8</v>
      </c>
      <c r="D129" s="357">
        <f t="shared" si="38"/>
        <v>10</v>
      </c>
      <c r="E129" s="357">
        <f t="shared" si="39"/>
        <v>37</v>
      </c>
      <c r="F129" s="356">
        <f t="shared" si="33"/>
        <v>261489.52596617336</v>
      </c>
      <c r="H129" s="356">
        <f t="shared" si="26"/>
        <v>2085.154200741744</v>
      </c>
      <c r="I129" s="356">
        <v>0</v>
      </c>
      <c r="J129" s="356">
        <v>0</v>
      </c>
      <c r="K129" s="356">
        <f t="shared" si="34"/>
        <v>-263.57468016691513</v>
      </c>
      <c r="L129" s="356">
        <f t="shared" si="27"/>
        <v>263311.1054867482</v>
      </c>
      <c r="N129" s="356">
        <f t="shared" si="35"/>
        <v>106</v>
      </c>
      <c r="O129" s="357">
        <f t="shared" si="40"/>
        <v>8</v>
      </c>
      <c r="P129" s="357">
        <f t="shared" si="41"/>
        <v>10</v>
      </c>
      <c r="Q129" s="357">
        <f t="shared" si="42"/>
        <v>8</v>
      </c>
      <c r="R129" s="356">
        <f t="shared" si="36"/>
        <v>1188062.6137777485</v>
      </c>
      <c r="S129" s="356">
        <f>IF($G$4="mensual",S120,IF($G$4="trimestral",S120,0))</f>
        <v>10000</v>
      </c>
      <c r="U129" s="356">
        <f t="shared" si="43"/>
        <v>9553.51952488326</v>
      </c>
      <c r="V129" s="356">
        <f t="shared" si="44"/>
        <v>-104.28496164088189</v>
      </c>
      <c r="X129" s="356">
        <f t="shared" si="28"/>
        <v>-1207.6161333026319</v>
      </c>
      <c r="Y129" s="356">
        <f t="shared" si="29"/>
        <v>1206304.2322076883</v>
      </c>
      <c r="AA129" s="357">
        <f>+Bono!J129</f>
        <v>164939.58141624392</v>
      </c>
      <c r="AC129" s="378">
        <f t="shared" si="30"/>
        <v>8.833333333333334</v>
      </c>
      <c r="AD129" s="356">
        <f t="shared" si="31"/>
        <v>1634554.9191106805</v>
      </c>
    </row>
    <row r="130" spans="2:30" x14ac:dyDescent="0.25">
      <c r="B130" s="356">
        <f t="shared" si="32"/>
        <v>107</v>
      </c>
      <c r="C130" s="357">
        <f t="shared" si="37"/>
        <v>8</v>
      </c>
      <c r="D130" s="357">
        <f t="shared" si="38"/>
        <v>11</v>
      </c>
      <c r="E130" s="357">
        <f t="shared" si="39"/>
        <v>37</v>
      </c>
      <c r="F130" s="356">
        <f t="shared" si="33"/>
        <v>263311.1054867482</v>
      </c>
      <c r="H130" s="356">
        <f t="shared" si="26"/>
        <v>2099.6797316412226</v>
      </c>
      <c r="I130" s="356">
        <v>0</v>
      </c>
      <c r="J130" s="356">
        <v>0</v>
      </c>
      <c r="K130" s="356">
        <f t="shared" si="34"/>
        <v>-265.41078521838944</v>
      </c>
      <c r="L130" s="356">
        <f t="shared" si="27"/>
        <v>265145.374433171</v>
      </c>
      <c r="N130" s="356">
        <f t="shared" si="35"/>
        <v>107</v>
      </c>
      <c r="O130" s="357">
        <f t="shared" si="40"/>
        <v>8</v>
      </c>
      <c r="P130" s="357">
        <f t="shared" si="41"/>
        <v>11</v>
      </c>
      <c r="Q130" s="357">
        <f t="shared" si="42"/>
        <v>8</v>
      </c>
      <c r="R130" s="356">
        <f t="shared" si="36"/>
        <v>1206304.2322076883</v>
      </c>
      <c r="S130" s="356">
        <f>IF($G$17="si",S118*(1+$G$20),S118)</f>
        <v>10000</v>
      </c>
      <c r="U130" s="356">
        <f t="shared" si="43"/>
        <v>9698.98075189408</v>
      </c>
      <c r="V130" s="356">
        <f t="shared" si="44"/>
        <v>-104.28496164088189</v>
      </c>
      <c r="X130" s="356">
        <f t="shared" si="28"/>
        <v>-1226.0032129595825</v>
      </c>
      <c r="Y130" s="356">
        <f t="shared" si="29"/>
        <v>1224672.924784982</v>
      </c>
      <c r="AA130" s="357">
        <f>+Bono!J130</f>
        <v>165962.2259528319</v>
      </c>
      <c r="AC130" s="378">
        <f t="shared" si="30"/>
        <v>8.916666666666666</v>
      </c>
      <c r="AD130" s="356">
        <f t="shared" si="31"/>
        <v>1655780.5251709851</v>
      </c>
    </row>
    <row r="131" spans="2:30" x14ac:dyDescent="0.25">
      <c r="B131" s="356">
        <f t="shared" si="32"/>
        <v>108</v>
      </c>
      <c r="C131" s="357">
        <f t="shared" si="37"/>
        <v>8</v>
      </c>
      <c r="D131" s="357">
        <f t="shared" si="38"/>
        <v>12</v>
      </c>
      <c r="E131" s="357">
        <f t="shared" si="39"/>
        <v>37</v>
      </c>
      <c r="F131" s="356">
        <f t="shared" si="33"/>
        <v>265145.374433171</v>
      </c>
      <c r="H131" s="356">
        <f t="shared" si="26"/>
        <v>2114.3064498043755</v>
      </c>
      <c r="I131" s="356">
        <v>0</v>
      </c>
      <c r="J131" s="360">
        <f>-SUM(F131:H131)*$J$21</f>
        <v>-2405.3371279467788</v>
      </c>
      <c r="K131" s="356">
        <f t="shared" si="34"/>
        <v>-264.85434375502865</v>
      </c>
      <c r="L131" s="356">
        <f t="shared" si="27"/>
        <v>264589.48941127356</v>
      </c>
      <c r="N131" s="356">
        <f t="shared" si="35"/>
        <v>108</v>
      </c>
      <c r="O131" s="357">
        <f t="shared" si="40"/>
        <v>8</v>
      </c>
      <c r="P131" s="357">
        <f t="shared" si="41"/>
        <v>12</v>
      </c>
      <c r="Q131" s="357">
        <f t="shared" si="42"/>
        <v>8</v>
      </c>
      <c r="R131" s="356">
        <f t="shared" si="36"/>
        <v>1224672.924784982</v>
      </c>
      <c r="S131" s="356">
        <f>IF($G$4="mensual",S130,0)</f>
        <v>10000</v>
      </c>
      <c r="U131" s="356">
        <f t="shared" si="43"/>
        <v>9845.455286000783</v>
      </c>
      <c r="V131" s="356">
        <f t="shared" si="44"/>
        <v>-104.28496164088189</v>
      </c>
      <c r="X131" s="356">
        <f t="shared" si="28"/>
        <v>-1244.518380070983</v>
      </c>
      <c r="Y131" s="356">
        <f t="shared" si="29"/>
        <v>1243169.576729271</v>
      </c>
      <c r="AA131" s="357">
        <f>+Bono!J131</f>
        <v>165486.7856798043</v>
      </c>
      <c r="AC131" s="378">
        <f t="shared" si="30"/>
        <v>9</v>
      </c>
      <c r="AD131" s="356">
        <f t="shared" si="31"/>
        <v>1673245.851820349</v>
      </c>
    </row>
    <row r="132" spans="2:30" x14ac:dyDescent="0.25">
      <c r="B132" s="356">
        <f t="shared" si="32"/>
        <v>109</v>
      </c>
      <c r="C132" s="357">
        <f t="shared" si="37"/>
        <v>9</v>
      </c>
      <c r="D132" s="357">
        <f t="shared" si="38"/>
        <v>1</v>
      </c>
      <c r="E132" s="357">
        <f t="shared" si="39"/>
        <v>38</v>
      </c>
      <c r="F132" s="356">
        <f t="shared" si="33"/>
        <v>264589.48941127356</v>
      </c>
      <c r="H132" s="356">
        <f t="shared" si="26"/>
        <v>2109.873744577441</v>
      </c>
      <c r="I132" s="356">
        <v>0</v>
      </c>
      <c r="J132" s="356">
        <v>0</v>
      </c>
      <c r="K132" s="356">
        <f t="shared" si="34"/>
        <v>-266.699363155851</v>
      </c>
      <c r="L132" s="356">
        <f t="shared" si="27"/>
        <v>266432.66379269515</v>
      </c>
      <c r="N132" s="356">
        <f t="shared" si="35"/>
        <v>109</v>
      </c>
      <c r="O132" s="357">
        <f t="shared" si="40"/>
        <v>9</v>
      </c>
      <c r="P132" s="357">
        <f t="shared" si="41"/>
        <v>1</v>
      </c>
      <c r="Q132" s="357">
        <f t="shared" si="42"/>
        <v>9</v>
      </c>
      <c r="R132" s="356">
        <f t="shared" si="36"/>
        <v>1243169.576729271</v>
      </c>
      <c r="S132" s="356">
        <f>IF($G$17="si",S120*(1+$G$20),S120)</f>
        <v>10000</v>
      </c>
      <c r="U132" s="356">
        <f t="shared" si="43"/>
        <v>9992.950186069098</v>
      </c>
      <c r="V132" s="356">
        <f>V131*(1+$G$18)</f>
        <v>-108.45636010651717</v>
      </c>
      <c r="X132" s="356">
        <f t="shared" si="28"/>
        <v>-1263.1625269153403</v>
      </c>
      <c r="Y132" s="356">
        <f t="shared" si="29"/>
        <v>1261790.9080283183</v>
      </c>
      <c r="AA132" s="357">
        <f>+Bono!J132</f>
        <v>166512.82294629814</v>
      </c>
      <c r="AC132" s="378">
        <f t="shared" si="30"/>
        <v>9.083333333333334</v>
      </c>
      <c r="AD132" s="356">
        <f t="shared" si="31"/>
        <v>1694736.3947673116</v>
      </c>
    </row>
    <row r="133" spans="2:30" x14ac:dyDescent="0.25">
      <c r="B133" s="356">
        <f t="shared" si="32"/>
        <v>110</v>
      </c>
      <c r="C133" s="357">
        <f t="shared" si="37"/>
        <v>9</v>
      </c>
      <c r="D133" s="357">
        <f t="shared" si="38"/>
        <v>2</v>
      </c>
      <c r="E133" s="357">
        <f t="shared" si="39"/>
        <v>38</v>
      </c>
      <c r="F133" s="356">
        <f t="shared" si="33"/>
        <v>266432.66379269515</v>
      </c>
      <c r="H133" s="356">
        <f t="shared" si="26"/>
        <v>2124.5714759298544</v>
      </c>
      <c r="I133" s="356">
        <v>0</v>
      </c>
      <c r="J133" s="356">
        <v>0</v>
      </c>
      <c r="K133" s="356">
        <f t="shared" si="34"/>
        <v>-268.55723526862505</v>
      </c>
      <c r="L133" s="356">
        <f t="shared" si="27"/>
        <v>268288.6780333564</v>
      </c>
      <c r="N133" s="356">
        <f t="shared" si="35"/>
        <v>110</v>
      </c>
      <c r="O133" s="357">
        <f t="shared" si="40"/>
        <v>9</v>
      </c>
      <c r="P133" s="357">
        <f t="shared" si="41"/>
        <v>2</v>
      </c>
      <c r="Q133" s="357">
        <f t="shared" si="42"/>
        <v>9</v>
      </c>
      <c r="R133" s="356">
        <f t="shared" si="36"/>
        <v>1261790.9080283183</v>
      </c>
      <c r="S133" s="356">
        <f>IF($G$4="mensual",S132,0)</f>
        <v>10000</v>
      </c>
      <c r="U133" s="356">
        <f t="shared" si="43"/>
        <v>10141.439296820841</v>
      </c>
      <c r="V133" s="356">
        <f>V132</f>
        <v>-108.45636010651717</v>
      </c>
      <c r="X133" s="356">
        <f t="shared" si="28"/>
        <v>-1281.9323473251393</v>
      </c>
      <c r="Y133" s="356">
        <f t="shared" si="29"/>
        <v>1280541.9586177075</v>
      </c>
      <c r="AA133" s="357">
        <f>+Bono!J133</f>
        <v>167545.2217628572</v>
      </c>
      <c r="AC133" s="378">
        <f t="shared" si="30"/>
        <v>9.166666666666666</v>
      </c>
      <c r="AD133" s="356">
        <f t="shared" si="31"/>
        <v>1716375.858413921</v>
      </c>
    </row>
    <row r="134" spans="2:30" x14ac:dyDescent="0.25">
      <c r="B134" s="356">
        <f t="shared" si="32"/>
        <v>111</v>
      </c>
      <c r="C134" s="357">
        <f t="shared" si="37"/>
        <v>9</v>
      </c>
      <c r="D134" s="357">
        <f t="shared" si="38"/>
        <v>3</v>
      </c>
      <c r="E134" s="357">
        <f t="shared" si="39"/>
        <v>38</v>
      </c>
      <c r="F134" s="356">
        <f t="shared" si="33"/>
        <v>268288.6780333564</v>
      </c>
      <c r="H134" s="356">
        <f t="shared" si="26"/>
        <v>2139.3715941229325</v>
      </c>
      <c r="I134" s="356">
        <v>0</v>
      </c>
      <c r="J134" s="360">
        <f>-SUM(F134:H134)*$J$21</f>
        <v>-2433.8524466473145</v>
      </c>
      <c r="K134" s="356">
        <f t="shared" si="34"/>
        <v>-267.99419718083203</v>
      </c>
      <c r="L134" s="356">
        <f t="shared" si="27"/>
        <v>267726.2029836512</v>
      </c>
      <c r="N134" s="356">
        <f t="shared" si="35"/>
        <v>111</v>
      </c>
      <c r="O134" s="357">
        <f t="shared" si="40"/>
        <v>9</v>
      </c>
      <c r="P134" s="357">
        <f t="shared" si="41"/>
        <v>3</v>
      </c>
      <c r="Q134" s="357">
        <f t="shared" si="42"/>
        <v>9</v>
      </c>
      <c r="R134" s="356">
        <f t="shared" si="36"/>
        <v>1280541.9586177075</v>
      </c>
      <c r="S134" s="356">
        <f>IF($G$4="mensual",S133,0)</f>
        <v>10000</v>
      </c>
      <c r="U134" s="356">
        <f t="shared" si="43"/>
        <v>10290.96280741011</v>
      </c>
      <c r="V134" s="356">
        <f t="shared" si="44"/>
        <v>-108.45636010651717</v>
      </c>
      <c r="X134" s="356">
        <f t="shared" si="28"/>
        <v>-1300.8329214251178</v>
      </c>
      <c r="Y134" s="356">
        <f t="shared" si="29"/>
        <v>1299423.632143586</v>
      </c>
      <c r="AA134" s="357">
        <f>+Bono!J134</f>
        <v>167065.24660271415</v>
      </c>
      <c r="AC134" s="378">
        <f t="shared" si="30"/>
        <v>9.25</v>
      </c>
      <c r="AD134" s="356">
        <f t="shared" si="31"/>
        <v>1734215.0817299513</v>
      </c>
    </row>
    <row r="135" spans="2:30" x14ac:dyDescent="0.25">
      <c r="B135" s="356">
        <f t="shared" si="32"/>
        <v>112</v>
      </c>
      <c r="C135" s="357">
        <f t="shared" si="37"/>
        <v>9</v>
      </c>
      <c r="D135" s="357">
        <f t="shared" si="38"/>
        <v>4</v>
      </c>
      <c r="E135" s="357">
        <f t="shared" si="39"/>
        <v>38</v>
      </c>
      <c r="F135" s="356">
        <f t="shared" si="33"/>
        <v>267726.2029836512</v>
      </c>
      <c r="H135" s="356">
        <f t="shared" si="26"/>
        <v>2134.8863390888287</v>
      </c>
      <c r="I135" s="356">
        <v>0</v>
      </c>
      <c r="J135" s="356">
        <v>0</v>
      </c>
      <c r="K135" s="356">
        <f t="shared" si="34"/>
        <v>-269.86108932274004</v>
      </c>
      <c r="L135" s="356">
        <f t="shared" si="27"/>
        <v>269591.2282334173</v>
      </c>
      <c r="N135" s="356">
        <f t="shared" si="35"/>
        <v>112</v>
      </c>
      <c r="O135" s="357">
        <f t="shared" si="40"/>
        <v>9</v>
      </c>
      <c r="P135" s="357">
        <f t="shared" si="41"/>
        <v>4</v>
      </c>
      <c r="Q135" s="357">
        <f t="shared" si="42"/>
        <v>9</v>
      </c>
      <c r="R135" s="356">
        <f t="shared" si="36"/>
        <v>1299423.632143586</v>
      </c>
      <c r="S135" s="356">
        <f>IF($G$4="mensual",S132,IF($G$4="trimestral",S132,0))</f>
        <v>10000</v>
      </c>
      <c r="U135" s="356">
        <f t="shared" si="43"/>
        <v>10441.52792363818</v>
      </c>
      <c r="V135" s="356">
        <f t="shared" si="44"/>
        <v>-108.45636010651717</v>
      </c>
      <c r="X135" s="356">
        <f t="shared" si="28"/>
        <v>-1319.8651600672242</v>
      </c>
      <c r="Y135" s="356">
        <f t="shared" si="29"/>
        <v>1318436.8385470503</v>
      </c>
      <c r="AA135" s="357">
        <f>+Bono!J135</f>
        <v>168101.07051002013</v>
      </c>
      <c r="AC135" s="378">
        <f t="shared" si="30"/>
        <v>9.333333333333334</v>
      </c>
      <c r="AD135" s="356">
        <f t="shared" si="31"/>
        <v>1756129.1372904878</v>
      </c>
    </row>
    <row r="136" spans="2:30" x14ac:dyDescent="0.25">
      <c r="B136" s="356">
        <f t="shared" si="32"/>
        <v>113</v>
      </c>
      <c r="C136" s="357">
        <f t="shared" si="37"/>
        <v>9</v>
      </c>
      <c r="D136" s="357">
        <f t="shared" si="38"/>
        <v>5</v>
      </c>
      <c r="E136" s="357">
        <f t="shared" si="39"/>
        <v>38</v>
      </c>
      <c r="F136" s="356">
        <f t="shared" si="33"/>
        <v>269591.2282334173</v>
      </c>
      <c r="H136" s="356">
        <f t="shared" si="26"/>
        <v>2149.758312333915</v>
      </c>
      <c r="I136" s="356">
        <v>0</v>
      </c>
      <c r="J136" s="356">
        <v>0</v>
      </c>
      <c r="K136" s="356">
        <f t="shared" si="34"/>
        <v>-271.74098654575124</v>
      </c>
      <c r="L136" s="356">
        <f t="shared" si="27"/>
        <v>271469.2455592055</v>
      </c>
      <c r="N136" s="356">
        <f t="shared" si="35"/>
        <v>113</v>
      </c>
      <c r="O136" s="357">
        <f t="shared" si="40"/>
        <v>9</v>
      </c>
      <c r="P136" s="357">
        <f t="shared" si="41"/>
        <v>5</v>
      </c>
      <c r="Q136" s="357">
        <f t="shared" si="42"/>
        <v>9</v>
      </c>
      <c r="R136" s="356">
        <f t="shared" si="36"/>
        <v>1318436.8385470503</v>
      </c>
      <c r="S136" s="356">
        <f>IF($G$4="mensual",S135,0)</f>
        <v>10000</v>
      </c>
      <c r="U136" s="356">
        <f t="shared" si="43"/>
        <v>10593.141901503135</v>
      </c>
      <c r="V136" s="356">
        <f t="shared" si="44"/>
        <v>-108.45636010651717</v>
      </c>
      <c r="X136" s="356">
        <f t="shared" si="28"/>
        <v>-1339.0299804485533</v>
      </c>
      <c r="Y136" s="356">
        <f t="shared" si="29"/>
        <v>1337582.4941079982</v>
      </c>
      <c r="AA136" s="357">
        <f>+Bono!J136</f>
        <v>169143.31664569958</v>
      </c>
      <c r="AC136" s="378">
        <f t="shared" si="30"/>
        <v>9.416666666666666</v>
      </c>
      <c r="AD136" s="356">
        <f t="shared" si="31"/>
        <v>1778195.0563129033</v>
      </c>
    </row>
    <row r="137" spans="2:30" x14ac:dyDescent="0.25">
      <c r="B137" s="356">
        <f t="shared" si="32"/>
        <v>114</v>
      </c>
      <c r="C137" s="357">
        <f t="shared" si="37"/>
        <v>9</v>
      </c>
      <c r="D137" s="357">
        <f t="shared" si="38"/>
        <v>6</v>
      </c>
      <c r="E137" s="357">
        <f t="shared" si="39"/>
        <v>38</v>
      </c>
      <c r="F137" s="356">
        <f t="shared" si="33"/>
        <v>271469.2455592055</v>
      </c>
      <c r="H137" s="356">
        <f t="shared" si="26"/>
        <v>2164.733886217664</v>
      </c>
      <c r="I137" s="356">
        <v>0</v>
      </c>
      <c r="J137" s="360">
        <f>-SUM(F137:H137)*$J$21</f>
        <v>-2462.7058150088083</v>
      </c>
      <c r="K137" s="356">
        <f t="shared" si="34"/>
        <v>-271.17127363041436</v>
      </c>
      <c r="L137" s="356">
        <f t="shared" si="27"/>
        <v>270900.10235678393</v>
      </c>
      <c r="N137" s="356">
        <f t="shared" si="35"/>
        <v>114</v>
      </c>
      <c r="O137" s="357">
        <f t="shared" si="40"/>
        <v>9</v>
      </c>
      <c r="P137" s="357">
        <f t="shared" si="41"/>
        <v>6</v>
      </c>
      <c r="Q137" s="357">
        <f t="shared" si="42"/>
        <v>9</v>
      </c>
      <c r="R137" s="356">
        <f t="shared" si="36"/>
        <v>1337582.4941079982</v>
      </c>
      <c r="S137" s="356">
        <f>IF($G$4="mensual",S136,0)</f>
        <v>10000</v>
      </c>
      <c r="U137" s="356">
        <f t="shared" si="43"/>
        <v>10745.812047549558</v>
      </c>
      <c r="V137" s="356">
        <f t="shared" si="44"/>
        <v>-108.45636010651717</v>
      </c>
      <c r="X137" s="356">
        <f t="shared" si="28"/>
        <v>-1358.3283061555478</v>
      </c>
      <c r="Y137" s="356">
        <f t="shared" si="29"/>
        <v>1356861.5214892856</v>
      </c>
      <c r="AA137" s="357">
        <f>+Bono!J137</f>
        <v>168658.76334337358</v>
      </c>
      <c r="AC137" s="378">
        <f t="shared" si="30"/>
        <v>9.5</v>
      </c>
      <c r="AD137" s="356">
        <f t="shared" si="31"/>
        <v>1796420.3871894432</v>
      </c>
    </row>
    <row r="138" spans="2:30" x14ac:dyDescent="0.25">
      <c r="B138" s="356">
        <f t="shared" si="32"/>
        <v>115</v>
      </c>
      <c r="C138" s="357">
        <f t="shared" si="37"/>
        <v>9</v>
      </c>
      <c r="D138" s="357">
        <f t="shared" si="38"/>
        <v>7</v>
      </c>
      <c r="E138" s="357">
        <f t="shared" si="39"/>
        <v>38</v>
      </c>
      <c r="F138" s="356">
        <f t="shared" si="33"/>
        <v>270900.10235678393</v>
      </c>
      <c r="H138" s="356">
        <f t="shared" si="26"/>
        <v>2160.195458397399</v>
      </c>
      <c r="I138" s="356">
        <v>0</v>
      </c>
      <c r="J138" s="356">
        <v>0</v>
      </c>
      <c r="K138" s="356">
        <f t="shared" si="34"/>
        <v>-273.06029781518134</v>
      </c>
      <c r="L138" s="356">
        <f t="shared" si="27"/>
        <v>272787.2375173661</v>
      </c>
      <c r="N138" s="356">
        <f t="shared" si="35"/>
        <v>115</v>
      </c>
      <c r="O138" s="357">
        <f t="shared" si="40"/>
        <v>9</v>
      </c>
      <c r="P138" s="357">
        <f t="shared" si="41"/>
        <v>7</v>
      </c>
      <c r="Q138" s="357">
        <f t="shared" si="42"/>
        <v>9</v>
      </c>
      <c r="R138" s="356">
        <f t="shared" si="36"/>
        <v>1356861.5214892856</v>
      </c>
      <c r="S138" s="356">
        <f>+IF($G$4="mensual",S132,IF($G$4="trimestral",S132,IF($G$4="semestral",S132,0)))</f>
        <v>10000</v>
      </c>
      <c r="U138" s="356">
        <f t="shared" si="43"/>
        <v>10899.545719220623</v>
      </c>
      <c r="V138" s="356">
        <f t="shared" si="44"/>
        <v>-108.45636010651717</v>
      </c>
      <c r="X138" s="356">
        <f t="shared" si="28"/>
        <v>-1377.7610672085061</v>
      </c>
      <c r="Y138" s="356">
        <f t="shared" si="29"/>
        <v>1376274.849781191</v>
      </c>
      <c r="AA138" s="357">
        <f>+Bono!J138</f>
        <v>169704.46723930814</v>
      </c>
      <c r="AC138" s="378">
        <f t="shared" si="30"/>
        <v>9.583333333333334</v>
      </c>
      <c r="AD138" s="356">
        <f t="shared" si="31"/>
        <v>1818766.5545378653</v>
      </c>
    </row>
    <row r="139" spans="2:30" x14ac:dyDescent="0.25">
      <c r="B139" s="356">
        <f t="shared" si="32"/>
        <v>116</v>
      </c>
      <c r="C139" s="357">
        <f t="shared" si="37"/>
        <v>9</v>
      </c>
      <c r="D139" s="357">
        <f t="shared" si="38"/>
        <v>8</v>
      </c>
      <c r="E139" s="357">
        <f t="shared" si="39"/>
        <v>38</v>
      </c>
      <c r="F139" s="356">
        <f t="shared" si="33"/>
        <v>272787.2375173661</v>
      </c>
      <c r="H139" s="356">
        <f t="shared" si="26"/>
        <v>2175.243739176203</v>
      </c>
      <c r="I139" s="356">
        <v>0</v>
      </c>
      <c r="J139" s="356">
        <v>0</v>
      </c>
      <c r="K139" s="356">
        <f t="shared" si="34"/>
        <v>-274.96248125654233</v>
      </c>
      <c r="L139" s="356">
        <f t="shared" si="27"/>
        <v>274687.5187752858</v>
      </c>
      <c r="N139" s="356">
        <f t="shared" si="35"/>
        <v>116</v>
      </c>
      <c r="O139" s="357">
        <f t="shared" si="40"/>
        <v>9</v>
      </c>
      <c r="P139" s="357">
        <f t="shared" si="41"/>
        <v>8</v>
      </c>
      <c r="Q139" s="357">
        <f t="shared" si="42"/>
        <v>9</v>
      </c>
      <c r="R139" s="356">
        <f t="shared" si="36"/>
        <v>1376274.849781191</v>
      </c>
      <c r="S139" s="356">
        <f>IF($G$4="mensual",S138,0)</f>
        <v>10000</v>
      </c>
      <c r="U139" s="356">
        <f t="shared" si="43"/>
        <v>11054.350325212688</v>
      </c>
      <c r="V139" s="356">
        <f t="shared" si="44"/>
        <v>-108.45636010651717</v>
      </c>
      <c r="X139" s="356">
        <f t="shared" si="28"/>
        <v>-1397.3292001064035</v>
      </c>
      <c r="Y139" s="356">
        <f t="shared" si="29"/>
        <v>1395823.4145461905</v>
      </c>
      <c r="AA139" s="357">
        <f>+Bono!J139</f>
        <v>170756.65462069167</v>
      </c>
      <c r="AC139" s="378">
        <f t="shared" si="30"/>
        <v>9.666666666666666</v>
      </c>
      <c r="AD139" s="356">
        <f t="shared" si="31"/>
        <v>1841267.5879421681</v>
      </c>
    </row>
    <row r="140" spans="2:30" x14ac:dyDescent="0.25">
      <c r="B140" s="356">
        <f t="shared" si="32"/>
        <v>117</v>
      </c>
      <c r="C140" s="357">
        <f t="shared" si="37"/>
        <v>9</v>
      </c>
      <c r="D140" s="357">
        <f t="shared" si="38"/>
        <v>9</v>
      </c>
      <c r="E140" s="357">
        <f t="shared" si="39"/>
        <v>38</v>
      </c>
      <c r="F140" s="356">
        <f t="shared" si="33"/>
        <v>274687.5187752858</v>
      </c>
      <c r="H140" s="356">
        <f t="shared" si="26"/>
        <v>2190.3968487812685</v>
      </c>
      <c r="I140" s="356">
        <v>0</v>
      </c>
      <c r="J140" s="360">
        <f>-SUM(F140:H140)*$J$21</f>
        <v>-2491.901240616604</v>
      </c>
      <c r="K140" s="356">
        <f t="shared" si="34"/>
        <v>-274.38601438345046</v>
      </c>
      <c r="L140" s="356">
        <f t="shared" si="27"/>
        <v>274111.628369067</v>
      </c>
      <c r="N140" s="356">
        <f t="shared" si="35"/>
        <v>117</v>
      </c>
      <c r="O140" s="357">
        <f t="shared" si="40"/>
        <v>9</v>
      </c>
      <c r="P140" s="357">
        <f t="shared" si="41"/>
        <v>9</v>
      </c>
      <c r="Q140" s="357">
        <f t="shared" si="42"/>
        <v>9</v>
      </c>
      <c r="R140" s="356">
        <f t="shared" si="36"/>
        <v>1395823.4145461905</v>
      </c>
      <c r="S140" s="356">
        <f>IF($G$4="mensual",S139,0)</f>
        <v>10000</v>
      </c>
      <c r="U140" s="356">
        <f t="shared" si="43"/>
        <v>11210.233325832314</v>
      </c>
      <c r="V140" s="356">
        <f t="shared" si="44"/>
        <v>-108.45636010651717</v>
      </c>
      <c r="X140" s="356">
        <f t="shared" si="28"/>
        <v>-1417.0336478720228</v>
      </c>
      <c r="Y140" s="356">
        <f t="shared" si="29"/>
        <v>1415508.1578640442</v>
      </c>
      <c r="AA140" s="357">
        <f>+Bono!J140</f>
        <v>170267.47950853565</v>
      </c>
      <c r="AC140" s="378">
        <f t="shared" si="30"/>
        <v>9.75</v>
      </c>
      <c r="AD140" s="356">
        <f t="shared" si="31"/>
        <v>1859887.2657416468</v>
      </c>
    </row>
    <row r="141" spans="2:30" x14ac:dyDescent="0.25">
      <c r="B141" s="356">
        <f t="shared" si="32"/>
        <v>118</v>
      </c>
      <c r="C141" s="357">
        <f t="shared" si="37"/>
        <v>9</v>
      </c>
      <c r="D141" s="357">
        <f t="shared" si="38"/>
        <v>10</v>
      </c>
      <c r="E141" s="357">
        <f t="shared" si="39"/>
        <v>38</v>
      </c>
      <c r="F141" s="356">
        <f t="shared" si="33"/>
        <v>274111.628369067</v>
      </c>
      <c r="H141" s="356">
        <f t="shared" si="26"/>
        <v>2185.804617810421</v>
      </c>
      <c r="I141" s="356">
        <v>0</v>
      </c>
      <c r="J141" s="356">
        <v>0</v>
      </c>
      <c r="K141" s="356">
        <f t="shared" si="34"/>
        <v>-276.2974329868774</v>
      </c>
      <c r="L141" s="356">
        <f t="shared" si="27"/>
        <v>276021.1355538905</v>
      </c>
      <c r="N141" s="356">
        <f t="shared" si="35"/>
        <v>118</v>
      </c>
      <c r="O141" s="357">
        <f t="shared" si="40"/>
        <v>9</v>
      </c>
      <c r="P141" s="357">
        <f t="shared" si="41"/>
        <v>10</v>
      </c>
      <c r="Q141" s="357">
        <f t="shared" si="42"/>
        <v>9</v>
      </c>
      <c r="R141" s="356">
        <f t="shared" si="36"/>
        <v>1415508.1578640442</v>
      </c>
      <c r="S141" s="356">
        <f>IF($G$4="mensual",S132,IF($G$4="trimestral",S132,0))</f>
        <v>10000</v>
      </c>
      <c r="U141" s="356">
        <f t="shared" si="43"/>
        <v>11367.202233355803</v>
      </c>
      <c r="V141" s="356">
        <f t="shared" si="44"/>
        <v>-108.45636010651717</v>
      </c>
      <c r="X141" s="356">
        <f t="shared" si="28"/>
        <v>-1436.8753600973998</v>
      </c>
      <c r="Y141" s="356">
        <f t="shared" si="29"/>
        <v>1435330.0283771958</v>
      </c>
      <c r="AA141" s="357">
        <f>+Bono!J141</f>
        <v>171323.15763129375</v>
      </c>
      <c r="AC141" s="378">
        <f t="shared" si="30"/>
        <v>9.833333333333334</v>
      </c>
      <c r="AD141" s="356">
        <f t="shared" si="31"/>
        <v>1882674.32156238</v>
      </c>
    </row>
    <row r="142" spans="2:30" x14ac:dyDescent="0.25">
      <c r="B142" s="356">
        <f t="shared" si="32"/>
        <v>119</v>
      </c>
      <c r="C142" s="357">
        <f t="shared" si="37"/>
        <v>9</v>
      </c>
      <c r="D142" s="357">
        <f t="shared" si="38"/>
        <v>11</v>
      </c>
      <c r="E142" s="357">
        <f t="shared" si="39"/>
        <v>38</v>
      </c>
      <c r="F142" s="356">
        <f t="shared" si="33"/>
        <v>276021.1355538905</v>
      </c>
      <c r="H142" s="356">
        <f t="shared" si="26"/>
        <v>2201.0312962522044</v>
      </c>
      <c r="I142" s="356">
        <v>0</v>
      </c>
      <c r="J142" s="356">
        <v>0</v>
      </c>
      <c r="K142" s="356">
        <f t="shared" si="34"/>
        <v>-278.2221668501427</v>
      </c>
      <c r="L142" s="356">
        <f t="shared" si="27"/>
        <v>277943.9446832926</v>
      </c>
      <c r="N142" s="356">
        <f t="shared" si="35"/>
        <v>119</v>
      </c>
      <c r="O142" s="357">
        <f t="shared" si="40"/>
        <v>9</v>
      </c>
      <c r="P142" s="357">
        <f t="shared" si="41"/>
        <v>11</v>
      </c>
      <c r="Q142" s="357">
        <f t="shared" si="42"/>
        <v>9</v>
      </c>
      <c r="R142" s="356">
        <f t="shared" si="36"/>
        <v>1435330.0283771958</v>
      </c>
      <c r="S142" s="356">
        <f>IF($G$17="si",S130*(1+$G$20),S130)</f>
        <v>10000</v>
      </c>
      <c r="U142" s="356">
        <f t="shared" si="43"/>
        <v>11525.264612391222</v>
      </c>
      <c r="V142" s="356">
        <f t="shared" si="44"/>
        <v>-108.45636010651717</v>
      </c>
      <c r="X142" s="356">
        <f t="shared" si="28"/>
        <v>-1456.855292989587</v>
      </c>
      <c r="Y142" s="356">
        <f t="shared" si="29"/>
        <v>1455289.9813364907</v>
      </c>
      <c r="AA142" s="357">
        <f>+Bono!J142</f>
        <v>172385.38108086406</v>
      </c>
      <c r="AC142" s="378">
        <f t="shared" si="30"/>
        <v>9.916666666666666</v>
      </c>
      <c r="AD142" s="356">
        <f t="shared" si="31"/>
        <v>1905619.3071006474</v>
      </c>
    </row>
    <row r="143" spans="2:30" x14ac:dyDescent="0.25">
      <c r="B143" s="356">
        <f t="shared" si="32"/>
        <v>120</v>
      </c>
      <c r="C143" s="357">
        <f t="shared" si="37"/>
        <v>9</v>
      </c>
      <c r="D143" s="357">
        <f t="shared" si="38"/>
        <v>12</v>
      </c>
      <c r="E143" s="357">
        <f t="shared" si="39"/>
        <v>38</v>
      </c>
      <c r="F143" s="356">
        <f t="shared" si="33"/>
        <v>277943.9446832926</v>
      </c>
      <c r="H143" s="356">
        <f t="shared" si="26"/>
        <v>2216.364046268035</v>
      </c>
      <c r="I143" s="356">
        <v>0</v>
      </c>
      <c r="J143" s="360">
        <f>-SUM(F143:H143)*$J$21</f>
        <v>-2521.442778566046</v>
      </c>
      <c r="K143" s="356">
        <f t="shared" si="34"/>
        <v>-277.6388659509946</v>
      </c>
      <c r="L143" s="356">
        <f t="shared" si="27"/>
        <v>277361.2270850436</v>
      </c>
      <c r="N143" s="356">
        <f t="shared" si="35"/>
        <v>120</v>
      </c>
      <c r="O143" s="357">
        <f t="shared" si="40"/>
        <v>9</v>
      </c>
      <c r="P143" s="357">
        <f t="shared" si="41"/>
        <v>12</v>
      </c>
      <c r="Q143" s="357">
        <f t="shared" si="42"/>
        <v>9</v>
      </c>
      <c r="R143" s="356">
        <f t="shared" si="36"/>
        <v>1455289.9813364907</v>
      </c>
      <c r="S143" s="356">
        <f>IF($G$4="mensual",S142,0)</f>
        <v>10000</v>
      </c>
      <c r="U143" s="356">
        <f t="shared" si="43"/>
        <v>11684.428080242953</v>
      </c>
      <c r="V143" s="356">
        <f t="shared" si="44"/>
        <v>-108.45636010651717</v>
      </c>
      <c r="X143" s="356">
        <f t="shared" si="28"/>
        <v>-1476.9744094167338</v>
      </c>
      <c r="Y143" s="356">
        <f t="shared" si="29"/>
        <v>1475388.9786472104</v>
      </c>
      <c r="AA143" s="357">
        <f>+Bono!J143</f>
        <v>171891.54007471638</v>
      </c>
      <c r="AC143" s="378">
        <f t="shared" si="30"/>
        <v>10</v>
      </c>
      <c r="AD143" s="356">
        <f t="shared" si="31"/>
        <v>1924641.7458069704</v>
      </c>
    </row>
    <row r="144" spans="2:30" x14ac:dyDescent="0.25">
      <c r="B144" s="356">
        <f t="shared" si="32"/>
        <v>121</v>
      </c>
      <c r="C144" s="357">
        <f t="shared" si="37"/>
        <v>10</v>
      </c>
      <c r="D144" s="357">
        <f t="shared" si="38"/>
        <v>1</v>
      </c>
      <c r="E144" s="357">
        <f t="shared" si="39"/>
        <v>39</v>
      </c>
      <c r="F144" s="356">
        <f t="shared" si="33"/>
        <v>277361.2270850436</v>
      </c>
      <c r="H144" s="356">
        <f t="shared" si="26"/>
        <v>2211.717374309204</v>
      </c>
      <c r="I144" s="356">
        <v>0</v>
      </c>
      <c r="J144" s="356">
        <v>0</v>
      </c>
      <c r="K144" s="356">
        <f t="shared" si="34"/>
        <v>-279.5729444593528</v>
      </c>
      <c r="L144" s="356">
        <f t="shared" si="27"/>
        <v>279293.3715148935</v>
      </c>
      <c r="N144" s="356">
        <f t="shared" si="35"/>
        <v>121</v>
      </c>
      <c r="O144" s="357">
        <f t="shared" si="40"/>
        <v>10</v>
      </c>
      <c r="P144" s="357">
        <f t="shared" si="41"/>
        <v>1</v>
      </c>
      <c r="Q144" s="357">
        <f t="shared" si="42"/>
        <v>10</v>
      </c>
      <c r="R144" s="356">
        <f t="shared" si="36"/>
        <v>1475388.9786472104</v>
      </c>
      <c r="S144" s="356">
        <f>IF($G$17="si",S132*(1+$G$20),S132)</f>
        <v>10000</v>
      </c>
      <c r="U144" s="356">
        <f t="shared" si="43"/>
        <v>11844.70030727879</v>
      </c>
      <c r="V144" s="356">
        <f>V143*(1+$G$18)</f>
        <v>-112.79461451077786</v>
      </c>
      <c r="X144" s="356">
        <f t="shared" si="28"/>
        <v>-1497.2336789544893</v>
      </c>
      <c r="Y144" s="356">
        <f t="shared" si="29"/>
        <v>1495623.650661024</v>
      </c>
      <c r="AA144" s="357">
        <f>+Bono!J144</f>
        <v>172957.28756136418</v>
      </c>
      <c r="AC144" s="378">
        <f t="shared" si="30"/>
        <v>10.083333333333334</v>
      </c>
      <c r="AD144" s="356">
        <f t="shared" si="31"/>
        <v>1947874.3097372819</v>
      </c>
    </row>
    <row r="145" spans="2:30" x14ac:dyDescent="0.25">
      <c r="B145" s="356">
        <f t="shared" si="32"/>
        <v>122</v>
      </c>
      <c r="C145" s="357">
        <f t="shared" si="37"/>
        <v>10</v>
      </c>
      <c r="D145" s="357">
        <f t="shared" si="38"/>
        <v>2</v>
      </c>
      <c r="E145" s="357">
        <f t="shared" si="39"/>
        <v>39</v>
      </c>
      <c r="F145" s="356">
        <f t="shared" si="33"/>
        <v>279293.3715148935</v>
      </c>
      <c r="H145" s="356">
        <f t="shared" si="26"/>
        <v>2227.124565321751</v>
      </c>
      <c r="I145" s="356">
        <v>0</v>
      </c>
      <c r="J145" s="356">
        <v>0</v>
      </c>
      <c r="K145" s="356">
        <f t="shared" si="34"/>
        <v>-281.52049608021525</v>
      </c>
      <c r="L145" s="356">
        <f t="shared" si="27"/>
        <v>281238.97558413504</v>
      </c>
      <c r="N145" s="356">
        <f t="shared" si="35"/>
        <v>122</v>
      </c>
      <c r="O145" s="357">
        <f t="shared" si="40"/>
        <v>10</v>
      </c>
      <c r="P145" s="357">
        <f t="shared" si="41"/>
        <v>2</v>
      </c>
      <c r="Q145" s="357">
        <f t="shared" si="42"/>
        <v>10</v>
      </c>
      <c r="R145" s="356">
        <f t="shared" si="36"/>
        <v>1495623.650661024</v>
      </c>
      <c r="S145" s="356">
        <f>IF($G$4="mensual",S144,0)</f>
        <v>10000</v>
      </c>
      <c r="U145" s="356">
        <f t="shared" si="43"/>
        <v>12006.05442344975</v>
      </c>
      <c r="V145" s="356">
        <f>V144</f>
        <v>-112.79461451077786</v>
      </c>
      <c r="X145" s="356">
        <f t="shared" si="28"/>
        <v>-1517.629705084474</v>
      </c>
      <c r="Y145" s="356">
        <f t="shared" si="29"/>
        <v>1515999.2807648785</v>
      </c>
      <c r="AA145" s="357">
        <f>+Bono!J145</f>
        <v>174029.64280604827</v>
      </c>
      <c r="AC145" s="378">
        <f t="shared" si="30"/>
        <v>10.166666666666666</v>
      </c>
      <c r="AD145" s="356">
        <f t="shared" si="31"/>
        <v>1971267.8991550617</v>
      </c>
    </row>
    <row r="146" spans="2:30" x14ac:dyDescent="0.25">
      <c r="B146" s="356">
        <f t="shared" si="32"/>
        <v>123</v>
      </c>
      <c r="C146" s="357">
        <f t="shared" si="37"/>
        <v>10</v>
      </c>
      <c r="D146" s="357">
        <f t="shared" si="38"/>
        <v>3</v>
      </c>
      <c r="E146" s="357">
        <f t="shared" si="39"/>
        <v>39</v>
      </c>
      <c r="F146" s="356">
        <f t="shared" si="33"/>
        <v>281238.97558413504</v>
      </c>
      <c r="H146" s="356">
        <f t="shared" si="26"/>
        <v>2242.6390853889297</v>
      </c>
      <c r="I146" s="356">
        <v>0</v>
      </c>
      <c r="J146" s="360">
        <f>-SUM(F146:H146)*$J$21</f>
        <v>-2551.334532025716</v>
      </c>
      <c r="K146" s="356">
        <f t="shared" si="34"/>
        <v>-280.93028013749824</v>
      </c>
      <c r="L146" s="356">
        <f t="shared" si="27"/>
        <v>280649.3498573607</v>
      </c>
      <c r="N146" s="356">
        <f t="shared" si="35"/>
        <v>123</v>
      </c>
      <c r="O146" s="357">
        <f t="shared" si="40"/>
        <v>10</v>
      </c>
      <c r="P146" s="357">
        <f t="shared" si="41"/>
        <v>3</v>
      </c>
      <c r="Q146" s="357">
        <f t="shared" si="42"/>
        <v>10</v>
      </c>
      <c r="R146" s="356">
        <f t="shared" si="36"/>
        <v>1515999.2807648785</v>
      </c>
      <c r="S146" s="356">
        <f>IF($G$4="mensual",S145,0)</f>
        <v>10000</v>
      </c>
      <c r="U146" s="356">
        <f t="shared" si="43"/>
        <v>12168.532559225285</v>
      </c>
      <c r="V146" s="356">
        <f t="shared" si="44"/>
        <v>-112.79461451077786</v>
      </c>
      <c r="X146" s="356">
        <f t="shared" si="28"/>
        <v>-1538.167813324104</v>
      </c>
      <c r="Y146" s="356">
        <f t="shared" si="29"/>
        <v>1536516.8508962689</v>
      </c>
      <c r="AA146" s="357">
        <f>+Bono!J146</f>
        <v>173531.09140125982</v>
      </c>
      <c r="AC146" s="378">
        <f t="shared" si="30"/>
        <v>10.25</v>
      </c>
      <c r="AD146" s="356">
        <f t="shared" si="31"/>
        <v>1990697.2921548896</v>
      </c>
    </row>
    <row r="147" spans="2:30" x14ac:dyDescent="0.25">
      <c r="B147" s="356">
        <f t="shared" si="32"/>
        <v>124</v>
      </c>
      <c r="C147" s="357">
        <f t="shared" si="37"/>
        <v>10</v>
      </c>
      <c r="D147" s="357">
        <f t="shared" si="38"/>
        <v>4</v>
      </c>
      <c r="E147" s="357">
        <f t="shared" si="39"/>
        <v>39</v>
      </c>
      <c r="F147" s="356">
        <f t="shared" si="33"/>
        <v>280649.3498573607</v>
      </c>
      <c r="H147" s="356">
        <f t="shared" si="26"/>
        <v>2237.937327043137</v>
      </c>
      <c r="I147" s="356">
        <v>0</v>
      </c>
      <c r="J147" s="356">
        <v>0</v>
      </c>
      <c r="K147" s="356">
        <f t="shared" si="34"/>
        <v>-282.8872871844039</v>
      </c>
      <c r="L147" s="356">
        <f t="shared" si="27"/>
        <v>282604.39989721944</v>
      </c>
      <c r="N147" s="356">
        <f t="shared" si="35"/>
        <v>124</v>
      </c>
      <c r="O147" s="357">
        <f t="shared" si="40"/>
        <v>10</v>
      </c>
      <c r="P147" s="357">
        <f t="shared" si="41"/>
        <v>4</v>
      </c>
      <c r="Q147" s="357">
        <f t="shared" si="42"/>
        <v>10</v>
      </c>
      <c r="R147" s="356">
        <f t="shared" si="36"/>
        <v>1536516.8508962689</v>
      </c>
      <c r="S147" s="356">
        <f>IF($G$4="mensual",S144,IF($G$4="trimestral",S144,0))</f>
        <v>10000</v>
      </c>
      <c r="U147" s="356">
        <f t="shared" si="43"/>
        <v>12332.142544712871</v>
      </c>
      <c r="V147" s="356">
        <f t="shared" si="44"/>
        <v>-112.79461451077786</v>
      </c>
      <c r="X147" s="356">
        <f t="shared" si="28"/>
        <v>-1558.8489934409818</v>
      </c>
      <c r="Y147" s="356">
        <f t="shared" si="29"/>
        <v>1557177.3498330298</v>
      </c>
      <c r="AA147" s="357">
        <f>+Bono!J147</f>
        <v>174607.00429630838</v>
      </c>
      <c r="AC147" s="378">
        <f t="shared" si="30"/>
        <v>10.333333333333334</v>
      </c>
      <c r="AD147" s="356">
        <f t="shared" si="31"/>
        <v>2014388.7540265576</v>
      </c>
    </row>
    <row r="148" spans="2:30" x14ac:dyDescent="0.25">
      <c r="B148" s="356">
        <f t="shared" si="32"/>
        <v>125</v>
      </c>
      <c r="C148" s="357">
        <f t="shared" si="37"/>
        <v>10</v>
      </c>
      <c r="D148" s="357">
        <f t="shared" si="38"/>
        <v>5</v>
      </c>
      <c r="E148" s="357">
        <f t="shared" si="39"/>
        <v>39</v>
      </c>
      <c r="F148" s="356">
        <f t="shared" si="33"/>
        <v>282604.39989721944</v>
      </c>
      <c r="H148" s="356">
        <f t="shared" si="26"/>
        <v>2253.527170606504</v>
      </c>
      <c r="I148" s="356">
        <v>0</v>
      </c>
      <c r="J148" s="356">
        <v>0</v>
      </c>
      <c r="K148" s="356">
        <f t="shared" si="34"/>
        <v>-284.8579270678259</v>
      </c>
      <c r="L148" s="356">
        <f t="shared" si="27"/>
        <v>284573.0691407581</v>
      </c>
      <c r="N148" s="356">
        <f t="shared" si="35"/>
        <v>125</v>
      </c>
      <c r="O148" s="357">
        <f t="shared" si="40"/>
        <v>10</v>
      </c>
      <c r="P148" s="357">
        <f t="shared" si="41"/>
        <v>5</v>
      </c>
      <c r="Q148" s="357">
        <f t="shared" si="42"/>
        <v>10</v>
      </c>
      <c r="R148" s="356">
        <f t="shared" si="36"/>
        <v>1557177.3498330298</v>
      </c>
      <c r="S148" s="356">
        <f>IF($G$4="mensual",S147,0)</f>
        <v>10000</v>
      </c>
      <c r="U148" s="356">
        <f t="shared" si="43"/>
        <v>12496.89226456582</v>
      </c>
      <c r="V148" s="356">
        <f t="shared" si="44"/>
        <v>-112.79461451077786</v>
      </c>
      <c r="X148" s="356">
        <f t="shared" si="28"/>
        <v>-1579.6742420975957</v>
      </c>
      <c r="Y148" s="356">
        <f t="shared" si="29"/>
        <v>1577981.7732409872</v>
      </c>
      <c r="AA148" s="357">
        <f>+Bono!J148</f>
        <v>175689.58797610443</v>
      </c>
      <c r="AC148" s="378">
        <f t="shared" si="30"/>
        <v>10.416666666666666</v>
      </c>
      <c r="AD148" s="356">
        <f t="shared" si="31"/>
        <v>2038244.4303578497</v>
      </c>
    </row>
    <row r="149" spans="2:30" x14ac:dyDescent="0.25">
      <c r="B149" s="356">
        <f t="shared" si="32"/>
        <v>126</v>
      </c>
      <c r="C149" s="357">
        <f t="shared" si="37"/>
        <v>10</v>
      </c>
      <c r="D149" s="357">
        <f t="shared" si="38"/>
        <v>6</v>
      </c>
      <c r="E149" s="357">
        <f t="shared" si="39"/>
        <v>39</v>
      </c>
      <c r="F149" s="356">
        <f t="shared" si="33"/>
        <v>284573.0691407581</v>
      </c>
      <c r="H149" s="356">
        <f t="shared" si="26"/>
        <v>2269.225615612545</v>
      </c>
      <c r="I149" s="356">
        <v>0</v>
      </c>
      <c r="J149" s="360">
        <f>-SUM(F149:H149)*$J$21</f>
        <v>-2581.580652807336</v>
      </c>
      <c r="K149" s="356">
        <f t="shared" si="34"/>
        <v>-284.26071410356326</v>
      </c>
      <c r="L149" s="356">
        <f t="shared" si="27"/>
        <v>283976.4533894597</v>
      </c>
      <c r="N149" s="356">
        <f t="shared" si="35"/>
        <v>126</v>
      </c>
      <c r="O149" s="357">
        <f t="shared" si="40"/>
        <v>10</v>
      </c>
      <c r="P149" s="357">
        <f t="shared" si="41"/>
        <v>6</v>
      </c>
      <c r="Q149" s="357">
        <f t="shared" si="42"/>
        <v>10</v>
      </c>
      <c r="R149" s="356">
        <f t="shared" si="36"/>
        <v>1577981.7732409872</v>
      </c>
      <c r="S149" s="356">
        <f>IF($G$4="mensual",S148,0)</f>
        <v>10000</v>
      </c>
      <c r="U149" s="356">
        <f t="shared" si="43"/>
        <v>12662.789658363246</v>
      </c>
      <c r="V149" s="356">
        <f t="shared" si="44"/>
        <v>-112.79461451077786</v>
      </c>
      <c r="X149" s="356">
        <f t="shared" si="28"/>
        <v>-1600.6445628993504</v>
      </c>
      <c r="Y149" s="356">
        <f t="shared" si="29"/>
        <v>1598931.1237219402</v>
      </c>
      <c r="AA149" s="357">
        <f>+Bono!J149</f>
        <v>175186.28124352777</v>
      </c>
      <c r="AC149" s="378">
        <f t="shared" si="30"/>
        <v>10.5</v>
      </c>
      <c r="AD149" s="356">
        <f t="shared" si="31"/>
        <v>2058093.8583549277</v>
      </c>
    </row>
    <row r="150" spans="2:30" x14ac:dyDescent="0.25">
      <c r="B150" s="356">
        <f t="shared" si="32"/>
        <v>127</v>
      </c>
      <c r="C150" s="357">
        <f t="shared" si="37"/>
        <v>10</v>
      </c>
      <c r="D150" s="357">
        <f t="shared" si="38"/>
        <v>7</v>
      </c>
      <c r="E150" s="357">
        <f t="shared" si="39"/>
        <v>39</v>
      </c>
      <c r="F150" s="356">
        <f t="shared" si="33"/>
        <v>283976.4533894597</v>
      </c>
      <c r="H150" s="356">
        <f t="shared" si="26"/>
        <v>2264.468117829596</v>
      </c>
      <c r="I150" s="356">
        <v>0</v>
      </c>
      <c r="J150" s="356">
        <v>0</v>
      </c>
      <c r="K150" s="356">
        <f t="shared" si="34"/>
        <v>-286.2409215072893</v>
      </c>
      <c r="L150" s="356">
        <f t="shared" si="27"/>
        <v>285954.680585782</v>
      </c>
      <c r="N150" s="356">
        <f t="shared" si="35"/>
        <v>127</v>
      </c>
      <c r="O150" s="357">
        <f t="shared" si="40"/>
        <v>10</v>
      </c>
      <c r="P150" s="357">
        <f t="shared" si="41"/>
        <v>7</v>
      </c>
      <c r="Q150" s="357">
        <f t="shared" si="42"/>
        <v>10</v>
      </c>
      <c r="R150" s="356">
        <f t="shared" si="36"/>
        <v>1598931.1237219402</v>
      </c>
      <c r="S150" s="356">
        <f>+IF($G$4="mensual",S144,IF($G$4="trimestral",S144,IF($G$4="semestral",S144,0)))</f>
        <v>10000</v>
      </c>
      <c r="U150" s="356">
        <f t="shared" si="43"/>
        <v>12829.842720992689</v>
      </c>
      <c r="V150" s="356">
        <f t="shared" si="44"/>
        <v>-112.79461451077786</v>
      </c>
      <c r="X150" s="356">
        <f t="shared" si="28"/>
        <v>-1621.7609664429328</v>
      </c>
      <c r="Y150" s="356">
        <f t="shared" si="29"/>
        <v>1620026.410861979</v>
      </c>
      <c r="AA150" s="357">
        <f>+Bono!J150</f>
        <v>176272.45650758853</v>
      </c>
      <c r="AC150" s="378">
        <f t="shared" si="30"/>
        <v>10.583333333333334</v>
      </c>
      <c r="AD150" s="356">
        <f t="shared" si="31"/>
        <v>2082253.5479553496</v>
      </c>
    </row>
    <row r="151" spans="2:30" x14ac:dyDescent="0.25">
      <c r="B151" s="356">
        <f t="shared" si="32"/>
        <v>128</v>
      </c>
      <c r="C151" s="357">
        <f t="shared" si="37"/>
        <v>10</v>
      </c>
      <c r="D151" s="357">
        <f t="shared" si="38"/>
        <v>8</v>
      </c>
      <c r="E151" s="357">
        <f t="shared" si="39"/>
        <v>39</v>
      </c>
      <c r="F151" s="356">
        <f t="shared" si="33"/>
        <v>285954.680585782</v>
      </c>
      <c r="H151" s="356">
        <f t="shared" si="26"/>
        <v>2280.2427792933463</v>
      </c>
      <c r="I151" s="356">
        <v>0</v>
      </c>
      <c r="J151" s="356">
        <v>0</v>
      </c>
      <c r="K151" s="356">
        <f t="shared" si="34"/>
        <v>-288.2349233650753</v>
      </c>
      <c r="L151" s="356">
        <f t="shared" si="27"/>
        <v>287946.68844171026</v>
      </c>
      <c r="N151" s="356">
        <f t="shared" si="35"/>
        <v>128</v>
      </c>
      <c r="O151" s="357">
        <f t="shared" si="40"/>
        <v>10</v>
      </c>
      <c r="P151" s="357">
        <f t="shared" si="41"/>
        <v>8</v>
      </c>
      <c r="Q151" s="357">
        <f t="shared" si="42"/>
        <v>10</v>
      </c>
      <c r="R151" s="356">
        <f t="shared" si="36"/>
        <v>1620026.410861979</v>
      </c>
      <c r="S151" s="356">
        <f>IF($G$4="mensual",S150,0)</f>
        <v>10000</v>
      </c>
      <c r="U151" s="356">
        <f t="shared" si="43"/>
        <v>12998.059503035405</v>
      </c>
      <c r="V151" s="356">
        <f t="shared" si="44"/>
        <v>-112.79461451077786</v>
      </c>
      <c r="X151" s="356">
        <f t="shared" si="28"/>
        <v>-1643.0244703650144</v>
      </c>
      <c r="Y151" s="356">
        <f t="shared" si="29"/>
        <v>1641268.6512801386</v>
      </c>
      <c r="AA151" s="357">
        <f>+Bono!J151</f>
        <v>177365.366184275</v>
      </c>
      <c r="AC151" s="378">
        <f t="shared" si="30"/>
        <v>10.666666666666666</v>
      </c>
      <c r="AD151" s="356">
        <f t="shared" si="31"/>
        <v>2106580.705906124</v>
      </c>
    </row>
    <row r="152" spans="2:30" x14ac:dyDescent="0.25">
      <c r="B152" s="356">
        <f t="shared" si="32"/>
        <v>129</v>
      </c>
      <c r="C152" s="357">
        <f t="shared" si="37"/>
        <v>10</v>
      </c>
      <c r="D152" s="357">
        <f t="shared" si="38"/>
        <v>9</v>
      </c>
      <c r="E152" s="357">
        <f t="shared" si="39"/>
        <v>39</v>
      </c>
      <c r="F152" s="356">
        <f t="shared" si="33"/>
        <v>287946.68844171026</v>
      </c>
      <c r="H152" s="356">
        <f t="shared" ref="H152:H215" si="45">SUM(F152:G152)*$G$8</f>
        <v>2296.127329671998</v>
      </c>
      <c r="I152" s="356">
        <v>0</v>
      </c>
      <c r="J152" s="360">
        <f>-SUM(F152:H152)*$J$21</f>
        <v>-2612.1853419424406</v>
      </c>
      <c r="K152" s="356">
        <f t="shared" si="34"/>
        <v>-287.63063042943986</v>
      </c>
      <c r="L152" s="356">
        <f t="shared" ref="L152:L215" si="46">SUM(F152:K152)</f>
        <v>287342.9997990104</v>
      </c>
      <c r="N152" s="356">
        <f t="shared" si="35"/>
        <v>129</v>
      </c>
      <c r="O152" s="357">
        <f t="shared" si="40"/>
        <v>10</v>
      </c>
      <c r="P152" s="357">
        <f t="shared" si="41"/>
        <v>9</v>
      </c>
      <c r="Q152" s="357">
        <f t="shared" si="42"/>
        <v>10</v>
      </c>
      <c r="R152" s="356">
        <f t="shared" si="36"/>
        <v>1641268.6512801386</v>
      </c>
      <c r="S152" s="356">
        <f>IF($G$4="mensual",S151,0)</f>
        <v>10000</v>
      </c>
      <c r="U152" s="356">
        <f t="shared" si="43"/>
        <v>13167.448111154345</v>
      </c>
      <c r="V152" s="356">
        <f t="shared" si="44"/>
        <v>-112.79461451077786</v>
      </c>
      <c r="X152" s="356">
        <f t="shared" ref="X152:X215" si="47">-SUM(R152:U152)*0.1%</f>
        <v>-1664.436099391293</v>
      </c>
      <c r="Y152" s="356">
        <f t="shared" ref="Y152:Y215" si="48">SUM(R152:X152)</f>
        <v>1662658.868677391</v>
      </c>
      <c r="AA152" s="357">
        <f>+Bono!J152</f>
        <v>176857.25876621556</v>
      </c>
      <c r="AC152" s="378">
        <f t="shared" ref="AC152:AC215" si="49">+B152/12</f>
        <v>10.75</v>
      </c>
      <c r="AD152" s="356">
        <f t="shared" ref="AD152:AD215" si="50">+AA152+Y152+L152</f>
        <v>2126859.127242617</v>
      </c>
    </row>
    <row r="153" spans="2:30" x14ac:dyDescent="0.25">
      <c r="B153" s="356">
        <f t="shared" ref="B153:B216" si="51">+B152+1</f>
        <v>130</v>
      </c>
      <c r="C153" s="357">
        <f t="shared" si="37"/>
        <v>10</v>
      </c>
      <c r="D153" s="357">
        <f t="shared" si="38"/>
        <v>10</v>
      </c>
      <c r="E153" s="357">
        <f t="shared" si="39"/>
        <v>39</v>
      </c>
      <c r="F153" s="356">
        <f t="shared" ref="F153:F216" si="52">L152</f>
        <v>287342.9997990104</v>
      </c>
      <c r="H153" s="356">
        <f t="shared" si="45"/>
        <v>2291.3134316597752</v>
      </c>
      <c r="I153" s="356">
        <v>0</v>
      </c>
      <c r="J153" s="356">
        <v>0</v>
      </c>
      <c r="K153" s="356">
        <f t="shared" ref="K153:K216" si="53">-SUM(F153:J153)*0.1%</f>
        <v>-289.63431323067016</v>
      </c>
      <c r="L153" s="356">
        <f t="shared" si="46"/>
        <v>289344.6789174395</v>
      </c>
      <c r="N153" s="356">
        <f t="shared" ref="N153:N216" si="54">+N152+1</f>
        <v>130</v>
      </c>
      <c r="O153" s="357">
        <f t="shared" si="40"/>
        <v>10</v>
      </c>
      <c r="P153" s="357">
        <f t="shared" si="41"/>
        <v>10</v>
      </c>
      <c r="Q153" s="357">
        <f t="shared" si="42"/>
        <v>10</v>
      </c>
      <c r="R153" s="356">
        <f t="shared" ref="R153:R216" si="55">Y152</f>
        <v>1662658.868677391</v>
      </c>
      <c r="S153" s="356">
        <f>IF($G$4="mensual",S144,IF($G$4="trimestral",S144,0))</f>
        <v>10000</v>
      </c>
      <c r="U153" s="356">
        <f t="shared" si="43"/>
        <v>13338.016708484816</v>
      </c>
      <c r="V153" s="356">
        <f t="shared" si="44"/>
        <v>-112.79461451077786</v>
      </c>
      <c r="X153" s="356">
        <f t="shared" si="47"/>
        <v>-1685.9968853858759</v>
      </c>
      <c r="Y153" s="356">
        <f t="shared" si="48"/>
        <v>1684198.0938859791</v>
      </c>
      <c r="AA153" s="357">
        <f>+Bono!J153</f>
        <v>177953.79428473837</v>
      </c>
      <c r="AC153" s="378">
        <f t="shared" si="49"/>
        <v>10.833333333333334</v>
      </c>
      <c r="AD153" s="356">
        <f t="shared" si="50"/>
        <v>2151496.567088157</v>
      </c>
    </row>
    <row r="154" spans="2:30" x14ac:dyDescent="0.25">
      <c r="B154" s="356">
        <f t="shared" si="51"/>
        <v>131</v>
      </c>
      <c r="C154" s="357">
        <f t="shared" si="37"/>
        <v>10</v>
      </c>
      <c r="D154" s="357">
        <f t="shared" si="38"/>
        <v>11</v>
      </c>
      <c r="E154" s="357">
        <f t="shared" si="39"/>
        <v>39</v>
      </c>
      <c r="F154" s="356">
        <f t="shared" si="52"/>
        <v>289344.6789174395</v>
      </c>
      <c r="H154" s="356">
        <f t="shared" si="45"/>
        <v>2307.2751020437327</v>
      </c>
      <c r="I154" s="356">
        <v>0</v>
      </c>
      <c r="J154" s="356">
        <v>0</v>
      </c>
      <c r="K154" s="356">
        <f t="shared" si="53"/>
        <v>-291.65195401948324</v>
      </c>
      <c r="L154" s="356">
        <f t="shared" si="46"/>
        <v>291360.30206546374</v>
      </c>
      <c r="N154" s="356">
        <f t="shared" si="54"/>
        <v>131</v>
      </c>
      <c r="O154" s="357">
        <f t="shared" si="40"/>
        <v>10</v>
      </c>
      <c r="P154" s="357">
        <f t="shared" si="41"/>
        <v>11</v>
      </c>
      <c r="Q154" s="357">
        <f t="shared" si="42"/>
        <v>10</v>
      </c>
      <c r="R154" s="356">
        <f t="shared" si="55"/>
        <v>1684198.0938859791</v>
      </c>
      <c r="S154" s="356">
        <f>IF($G$17="si",S142*(1+$G$20),S142)</f>
        <v>10000</v>
      </c>
      <c r="U154" s="356">
        <f t="shared" si="43"/>
        <v>13509.773515027882</v>
      </c>
      <c r="V154" s="356">
        <f t="shared" si="44"/>
        <v>-112.79461451077786</v>
      </c>
      <c r="X154" s="356">
        <f t="shared" si="47"/>
        <v>-1707.7078674010072</v>
      </c>
      <c r="Y154" s="356">
        <f t="shared" si="48"/>
        <v>1705887.3649190953</v>
      </c>
      <c r="AA154" s="357">
        <f>+Bono!J154</f>
        <v>179057.1284506663</v>
      </c>
      <c r="AC154" s="378">
        <f t="shared" si="49"/>
        <v>10.916666666666666</v>
      </c>
      <c r="AD154" s="356">
        <f t="shared" si="50"/>
        <v>2176304.7954352256</v>
      </c>
    </row>
    <row r="155" spans="2:30" x14ac:dyDescent="0.25">
      <c r="B155" s="356">
        <f t="shared" si="51"/>
        <v>132</v>
      </c>
      <c r="C155" s="357">
        <f t="shared" si="37"/>
        <v>10</v>
      </c>
      <c r="D155" s="357">
        <f t="shared" si="38"/>
        <v>12</v>
      </c>
      <c r="E155" s="357">
        <f t="shared" si="39"/>
        <v>39</v>
      </c>
      <c r="F155" s="356">
        <f t="shared" si="52"/>
        <v>291360.30206546374</v>
      </c>
      <c r="H155" s="356">
        <f t="shared" si="45"/>
        <v>2323.3479640778273</v>
      </c>
      <c r="I155" s="356">
        <v>0</v>
      </c>
      <c r="J155" s="360">
        <f>-SUM(F155:H155)*$J$21</f>
        <v>-2643.1528502658743</v>
      </c>
      <c r="K155" s="356">
        <f t="shared" si="53"/>
        <v>-291.04049717927575</v>
      </c>
      <c r="L155" s="356">
        <f t="shared" si="46"/>
        <v>290749.45668209647</v>
      </c>
      <c r="N155" s="356">
        <f t="shared" si="54"/>
        <v>132</v>
      </c>
      <c r="O155" s="357">
        <f t="shared" si="40"/>
        <v>10</v>
      </c>
      <c r="P155" s="357">
        <f t="shared" si="41"/>
        <v>12</v>
      </c>
      <c r="Q155" s="357">
        <f t="shared" si="42"/>
        <v>10</v>
      </c>
      <c r="R155" s="356">
        <f t="shared" si="55"/>
        <v>1705887.3649190953</v>
      </c>
      <c r="S155" s="356">
        <f>IF($G$4="mensual",S154,0)</f>
        <v>10000</v>
      </c>
      <c r="U155" s="356">
        <f t="shared" si="43"/>
        <v>13682.726808046504</v>
      </c>
      <c r="V155" s="356">
        <f t="shared" si="44"/>
        <v>-112.79461451077786</v>
      </c>
      <c r="X155" s="356">
        <f t="shared" si="47"/>
        <v>-1729.5700917271417</v>
      </c>
      <c r="Y155" s="356">
        <f t="shared" si="48"/>
        <v>1727727.7270209037</v>
      </c>
      <c r="AA155" s="357">
        <f>+Bono!J155</f>
        <v>178544.17455679458</v>
      </c>
      <c r="AC155" s="378">
        <f t="shared" si="49"/>
        <v>11</v>
      </c>
      <c r="AD155" s="356">
        <f t="shared" si="50"/>
        <v>2197021.358259795</v>
      </c>
    </row>
    <row r="156" spans="2:30" x14ac:dyDescent="0.25">
      <c r="B156" s="356">
        <f t="shared" si="51"/>
        <v>133</v>
      </c>
      <c r="C156" s="357">
        <f t="shared" si="37"/>
        <v>11</v>
      </c>
      <c r="D156" s="357">
        <f t="shared" si="38"/>
        <v>1</v>
      </c>
      <c r="E156" s="357">
        <f t="shared" si="39"/>
        <v>40</v>
      </c>
      <c r="F156" s="356">
        <f t="shared" si="52"/>
        <v>290749.45668209647</v>
      </c>
      <c r="H156" s="356">
        <f t="shared" si="45"/>
        <v>2318.476997210509</v>
      </c>
      <c r="I156" s="356">
        <v>0</v>
      </c>
      <c r="J156" s="356">
        <v>0</v>
      </c>
      <c r="K156" s="356">
        <f t="shared" si="53"/>
        <v>-293.067933679307</v>
      </c>
      <c r="L156" s="356">
        <f t="shared" si="46"/>
        <v>292774.86574562767</v>
      </c>
      <c r="N156" s="356">
        <f t="shared" si="54"/>
        <v>133</v>
      </c>
      <c r="O156" s="357">
        <f t="shared" si="40"/>
        <v>11</v>
      </c>
      <c r="P156" s="357">
        <f t="shared" si="41"/>
        <v>1</v>
      </c>
      <c r="Q156" s="357">
        <f t="shared" si="42"/>
        <v>11</v>
      </c>
      <c r="R156" s="356">
        <f t="shared" si="55"/>
        <v>1727727.7270209037</v>
      </c>
      <c r="S156" s="356">
        <f>IF($G$17="si",S144*(1+$G$20),S144)</f>
        <v>10000</v>
      </c>
      <c r="U156" s="356">
        <f t="shared" si="43"/>
        <v>13856.884922464433</v>
      </c>
      <c r="V156" s="356">
        <f>V155*(1+$G$18)</f>
        <v>-117.30639909120897</v>
      </c>
      <c r="X156" s="356">
        <f t="shared" si="47"/>
        <v>-1751.5846119433681</v>
      </c>
      <c r="Y156" s="356">
        <f t="shared" si="48"/>
        <v>1749715.7209323335</v>
      </c>
      <c r="AA156" s="357">
        <f>+Bono!J156</f>
        <v>179651.1691488891</v>
      </c>
      <c r="AC156" s="378">
        <f t="shared" si="49"/>
        <v>11.083333333333334</v>
      </c>
      <c r="AD156" s="356">
        <f t="shared" si="50"/>
        <v>2222141.7558268504</v>
      </c>
    </row>
    <row r="157" spans="2:30" x14ac:dyDescent="0.25">
      <c r="B157" s="356">
        <f t="shared" si="51"/>
        <v>134</v>
      </c>
      <c r="C157" s="357">
        <f t="shared" si="37"/>
        <v>11</v>
      </c>
      <c r="D157" s="357">
        <f t="shared" si="38"/>
        <v>2</v>
      </c>
      <c r="E157" s="357">
        <f t="shared" si="39"/>
        <v>40</v>
      </c>
      <c r="F157" s="356">
        <f t="shared" si="52"/>
        <v>292774.86574562767</v>
      </c>
      <c r="H157" s="356">
        <f t="shared" si="45"/>
        <v>2334.6278935090813</v>
      </c>
      <c r="I157" s="356">
        <v>0</v>
      </c>
      <c r="J157" s="356">
        <v>0</v>
      </c>
      <c r="K157" s="356">
        <f t="shared" si="53"/>
        <v>-295.1094936391368</v>
      </c>
      <c r="L157" s="356">
        <f t="shared" si="46"/>
        <v>294814.38414549764</v>
      </c>
      <c r="N157" s="356">
        <f t="shared" si="54"/>
        <v>134</v>
      </c>
      <c r="O157" s="357">
        <f t="shared" si="40"/>
        <v>11</v>
      </c>
      <c r="P157" s="357">
        <f t="shared" si="41"/>
        <v>2</v>
      </c>
      <c r="Q157" s="357">
        <f t="shared" si="42"/>
        <v>11</v>
      </c>
      <c r="R157" s="356">
        <f t="shared" si="55"/>
        <v>1749715.7209323335</v>
      </c>
      <c r="S157" s="356">
        <f>IF($G$4="mensual",S156,0)</f>
        <v>10000</v>
      </c>
      <c r="U157" s="356">
        <f t="shared" si="43"/>
        <v>14032.220273664054</v>
      </c>
      <c r="V157" s="356">
        <f>V156</f>
        <v>-117.30639909120897</v>
      </c>
      <c r="X157" s="356">
        <f t="shared" si="47"/>
        <v>-1773.7479412059974</v>
      </c>
      <c r="Y157" s="356">
        <f t="shared" si="48"/>
        <v>1771856.8868657004</v>
      </c>
      <c r="AA157" s="357">
        <f>+Bono!J157</f>
        <v>180765.02723585806</v>
      </c>
      <c r="AC157" s="378">
        <f t="shared" si="49"/>
        <v>11.166666666666666</v>
      </c>
      <c r="AD157" s="356">
        <f t="shared" si="50"/>
        <v>2247436.298247056</v>
      </c>
    </row>
    <row r="158" spans="2:30" x14ac:dyDescent="0.25">
      <c r="B158" s="356">
        <f t="shared" si="51"/>
        <v>135</v>
      </c>
      <c r="C158" s="357">
        <f t="shared" si="37"/>
        <v>11</v>
      </c>
      <c r="D158" s="357">
        <f t="shared" si="38"/>
        <v>3</v>
      </c>
      <c r="E158" s="357">
        <f t="shared" si="39"/>
        <v>40</v>
      </c>
      <c r="F158" s="356">
        <f t="shared" si="52"/>
        <v>294814.38414549764</v>
      </c>
      <c r="H158" s="356">
        <f t="shared" si="45"/>
        <v>2350.8912996369777</v>
      </c>
      <c r="I158" s="356">
        <v>0</v>
      </c>
      <c r="J158" s="360">
        <f>-SUM(F158:H158)*$J$21</f>
        <v>-2674.4874790062117</v>
      </c>
      <c r="K158" s="356">
        <f t="shared" si="53"/>
        <v>-294.4907879661284</v>
      </c>
      <c r="L158" s="356">
        <f t="shared" si="46"/>
        <v>294196.29717816226</v>
      </c>
      <c r="N158" s="356">
        <f t="shared" si="54"/>
        <v>135</v>
      </c>
      <c r="O158" s="357">
        <f t="shared" si="40"/>
        <v>11</v>
      </c>
      <c r="P158" s="357">
        <f t="shared" si="41"/>
        <v>3</v>
      </c>
      <c r="Q158" s="357">
        <f t="shared" si="42"/>
        <v>11</v>
      </c>
      <c r="R158" s="356">
        <f t="shared" si="55"/>
        <v>1771856.8868657004</v>
      </c>
      <c r="S158" s="356">
        <f>IF($G$4="mensual",S157,0)</f>
        <v>10000</v>
      </c>
      <c r="U158" s="356">
        <f t="shared" si="43"/>
        <v>14208.777040076382</v>
      </c>
      <c r="V158" s="356">
        <f t="shared" si="44"/>
        <v>-117.30639909120897</v>
      </c>
      <c r="X158" s="356">
        <f t="shared" si="47"/>
        <v>-1796.0656639057768</v>
      </c>
      <c r="Y158" s="356">
        <f t="shared" si="48"/>
        <v>1794152.2918427798</v>
      </c>
      <c r="AA158" s="357">
        <f>+Bono!J158</f>
        <v>180247.18063908315</v>
      </c>
      <c r="AC158" s="378">
        <f t="shared" si="49"/>
        <v>11.25</v>
      </c>
      <c r="AD158" s="356">
        <f t="shared" si="50"/>
        <v>2268595.7696600254</v>
      </c>
    </row>
    <row r="159" spans="2:30" x14ac:dyDescent="0.25">
      <c r="B159" s="356">
        <f t="shared" si="51"/>
        <v>136</v>
      </c>
      <c r="C159" s="357">
        <f t="shared" si="37"/>
        <v>11</v>
      </c>
      <c r="D159" s="357">
        <f t="shared" si="38"/>
        <v>4</v>
      </c>
      <c r="E159" s="357">
        <f t="shared" si="39"/>
        <v>40</v>
      </c>
      <c r="F159" s="356">
        <f t="shared" si="52"/>
        <v>294196.29717816226</v>
      </c>
      <c r="H159" s="356">
        <f t="shared" si="45"/>
        <v>2345.9625873621703</v>
      </c>
      <c r="I159" s="356">
        <v>0</v>
      </c>
      <c r="J159" s="356">
        <v>0</v>
      </c>
      <c r="K159" s="356">
        <f t="shared" si="53"/>
        <v>-296.5422597655244</v>
      </c>
      <c r="L159" s="356">
        <f t="shared" si="46"/>
        <v>296245.7175057589</v>
      </c>
      <c r="N159" s="356">
        <f t="shared" si="54"/>
        <v>136</v>
      </c>
      <c r="O159" s="357">
        <f t="shared" si="40"/>
        <v>11</v>
      </c>
      <c r="P159" s="357">
        <f t="shared" si="41"/>
        <v>4</v>
      </c>
      <c r="Q159" s="357">
        <f t="shared" si="42"/>
        <v>11</v>
      </c>
      <c r="R159" s="356">
        <f t="shared" si="55"/>
        <v>1794152.2918427798</v>
      </c>
      <c r="S159" s="356">
        <f>IF($G$4="mensual",S156,IF($G$4="trimestral",S156,0))</f>
        <v>10000</v>
      </c>
      <c r="U159" s="356">
        <f t="shared" si="43"/>
        <v>14386.563730282895</v>
      </c>
      <c r="V159" s="356">
        <f t="shared" si="44"/>
        <v>-117.30639909120897</v>
      </c>
      <c r="X159" s="356">
        <f t="shared" si="47"/>
        <v>-1818.5388555730628</v>
      </c>
      <c r="Y159" s="356">
        <f t="shared" si="48"/>
        <v>1816603.0103183985</v>
      </c>
      <c r="AA159" s="357">
        <f>+Bono!J159</f>
        <v>181364.73406642434</v>
      </c>
      <c r="AC159" s="378">
        <f t="shared" si="49"/>
        <v>11.333333333333334</v>
      </c>
      <c r="AD159" s="356">
        <f t="shared" si="50"/>
        <v>2294213.461890582</v>
      </c>
    </row>
    <row r="160" spans="2:30" x14ac:dyDescent="0.25">
      <c r="B160" s="356">
        <f t="shared" si="51"/>
        <v>137</v>
      </c>
      <c r="C160" s="357">
        <f t="shared" si="37"/>
        <v>11</v>
      </c>
      <c r="D160" s="357">
        <f t="shared" si="38"/>
        <v>5</v>
      </c>
      <c r="E160" s="357">
        <f t="shared" si="39"/>
        <v>40</v>
      </c>
      <c r="F160" s="356">
        <f t="shared" si="52"/>
        <v>296245.7175057589</v>
      </c>
      <c r="H160" s="356">
        <f t="shared" si="45"/>
        <v>2362.3049528522756</v>
      </c>
      <c r="I160" s="356">
        <v>0</v>
      </c>
      <c r="J160" s="356">
        <v>0</v>
      </c>
      <c r="K160" s="356">
        <f t="shared" si="53"/>
        <v>-298.6080224586112</v>
      </c>
      <c r="L160" s="356">
        <f t="shared" si="46"/>
        <v>298309.41443615255</v>
      </c>
      <c r="N160" s="356">
        <f t="shared" si="54"/>
        <v>137</v>
      </c>
      <c r="O160" s="357">
        <f t="shared" si="40"/>
        <v>11</v>
      </c>
      <c r="P160" s="357">
        <f t="shared" si="41"/>
        <v>5</v>
      </c>
      <c r="Q160" s="357">
        <f t="shared" si="42"/>
        <v>11</v>
      </c>
      <c r="R160" s="356">
        <f t="shared" si="55"/>
        <v>1816603.0103183985</v>
      </c>
      <c r="S160" s="356">
        <f>IF($G$4="mensual",S159,0)</f>
        <v>10000</v>
      </c>
      <c r="U160" s="356">
        <f t="shared" si="43"/>
        <v>14565.58891213726</v>
      </c>
      <c r="V160" s="356">
        <f t="shared" si="44"/>
        <v>-117.30639909120897</v>
      </c>
      <c r="X160" s="356">
        <f t="shared" si="47"/>
        <v>-1841.1685992305358</v>
      </c>
      <c r="Y160" s="356">
        <f t="shared" si="48"/>
        <v>1839210.1242322142</v>
      </c>
      <c r="AA160" s="357">
        <f>+Bono!J160</f>
        <v>182489.2164546432</v>
      </c>
      <c r="AC160" s="378">
        <f t="shared" si="49"/>
        <v>11.416666666666666</v>
      </c>
      <c r="AD160" s="356">
        <f t="shared" si="50"/>
        <v>2320008.75512301</v>
      </c>
    </row>
    <row r="161" spans="2:30" x14ac:dyDescent="0.25">
      <c r="B161" s="356">
        <f t="shared" si="51"/>
        <v>138</v>
      </c>
      <c r="C161" s="357">
        <f t="shared" si="37"/>
        <v>11</v>
      </c>
      <c r="D161" s="357">
        <f t="shared" si="38"/>
        <v>6</v>
      </c>
      <c r="E161" s="357">
        <f t="shared" si="39"/>
        <v>40</v>
      </c>
      <c r="F161" s="356">
        <f t="shared" si="52"/>
        <v>298309.41443615255</v>
      </c>
      <c r="H161" s="356">
        <f t="shared" si="45"/>
        <v>2378.7611619779323</v>
      </c>
      <c r="I161" s="356">
        <v>0</v>
      </c>
      <c r="J161" s="360">
        <f>-SUM(F161:H161)*$J$21</f>
        <v>-2706.193580383175</v>
      </c>
      <c r="K161" s="356">
        <f t="shared" si="53"/>
        <v>-297.9819820177473</v>
      </c>
      <c r="L161" s="356">
        <f t="shared" si="46"/>
        <v>297684.00003572955</v>
      </c>
      <c r="N161" s="356">
        <f t="shared" si="54"/>
        <v>138</v>
      </c>
      <c r="O161" s="357">
        <f t="shared" si="40"/>
        <v>11</v>
      </c>
      <c r="P161" s="357">
        <f t="shared" si="41"/>
        <v>6</v>
      </c>
      <c r="Q161" s="357">
        <f t="shared" si="42"/>
        <v>11</v>
      </c>
      <c r="R161" s="356">
        <f t="shared" si="55"/>
        <v>1839210.1242322142</v>
      </c>
      <c r="S161" s="356">
        <f>IF($G$4="mensual",S160,0)</f>
        <v>10000</v>
      </c>
      <c r="U161" s="356">
        <f t="shared" si="43"/>
        <v>14745.861213178252</v>
      </c>
      <c r="V161" s="356">
        <f t="shared" si="44"/>
        <v>-117.30639909120897</v>
      </c>
      <c r="X161" s="356">
        <f t="shared" si="47"/>
        <v>-1863.9559854453923</v>
      </c>
      <c r="Y161" s="356">
        <f t="shared" si="48"/>
        <v>1861974.7230608559</v>
      </c>
      <c r="AA161" s="357">
        <f>+Bono!J161</f>
        <v>181966.4304869469</v>
      </c>
      <c r="AC161" s="378">
        <f t="shared" si="49"/>
        <v>11.5</v>
      </c>
      <c r="AD161" s="356">
        <f t="shared" si="50"/>
        <v>2341625.153583532</v>
      </c>
    </row>
    <row r="162" spans="2:30" x14ac:dyDescent="0.25">
      <c r="B162" s="356">
        <f t="shared" si="51"/>
        <v>139</v>
      </c>
      <c r="C162" s="357">
        <f t="shared" si="37"/>
        <v>11</v>
      </c>
      <c r="D162" s="357">
        <f t="shared" si="38"/>
        <v>7</v>
      </c>
      <c r="E162" s="357">
        <f t="shared" si="39"/>
        <v>40</v>
      </c>
      <c r="F162" s="356">
        <f t="shared" si="52"/>
        <v>297684.00003572955</v>
      </c>
      <c r="H162" s="356">
        <f t="shared" si="45"/>
        <v>2373.774019722701</v>
      </c>
      <c r="I162" s="356">
        <v>0</v>
      </c>
      <c r="J162" s="356">
        <v>0</v>
      </c>
      <c r="K162" s="356">
        <f t="shared" si="53"/>
        <v>-300.0577740554523</v>
      </c>
      <c r="L162" s="356">
        <f t="shared" si="46"/>
        <v>299757.7162813968</v>
      </c>
      <c r="N162" s="356">
        <f t="shared" si="54"/>
        <v>139</v>
      </c>
      <c r="O162" s="357">
        <f t="shared" si="40"/>
        <v>11</v>
      </c>
      <c r="P162" s="357">
        <f t="shared" si="41"/>
        <v>7</v>
      </c>
      <c r="Q162" s="357">
        <f t="shared" si="42"/>
        <v>11</v>
      </c>
      <c r="R162" s="356">
        <f t="shared" si="55"/>
        <v>1861974.7230608559</v>
      </c>
      <c r="S162" s="356">
        <f>+IF($G$4="mensual",S156,IF($G$4="trimestral",S156,IF($G$4="semestral",S156,0)))</f>
        <v>10000</v>
      </c>
      <c r="U162" s="356">
        <f t="shared" si="43"/>
        <v>14927.389321045499</v>
      </c>
      <c r="V162" s="356">
        <f t="shared" si="44"/>
        <v>-117.30639909120897</v>
      </c>
      <c r="X162" s="356">
        <f t="shared" si="47"/>
        <v>-1886.9021123819014</v>
      </c>
      <c r="Y162" s="356">
        <f t="shared" si="48"/>
        <v>1884897.9038704282</v>
      </c>
      <c r="AA162" s="357">
        <f>+Bono!J162</f>
        <v>183094.6434627655</v>
      </c>
      <c r="AC162" s="378">
        <f t="shared" si="49"/>
        <v>11.583333333333334</v>
      </c>
      <c r="AD162" s="356">
        <f t="shared" si="50"/>
        <v>2367750.2636145903</v>
      </c>
    </row>
    <row r="163" spans="2:30" x14ac:dyDescent="0.25">
      <c r="B163" s="356">
        <f t="shared" si="51"/>
        <v>140</v>
      </c>
      <c r="C163" s="357">
        <f t="shared" si="37"/>
        <v>11</v>
      </c>
      <c r="D163" s="357">
        <f t="shared" si="38"/>
        <v>8</v>
      </c>
      <c r="E163" s="357">
        <f t="shared" si="39"/>
        <v>40</v>
      </c>
      <c r="F163" s="356">
        <f t="shared" si="52"/>
        <v>299757.7162813968</v>
      </c>
      <c r="H163" s="356">
        <f t="shared" si="45"/>
        <v>2390.3101242753505</v>
      </c>
      <c r="I163" s="356">
        <v>0</v>
      </c>
      <c r="J163" s="356">
        <v>0</v>
      </c>
      <c r="K163" s="356">
        <f t="shared" si="53"/>
        <v>-302.14802640567217</v>
      </c>
      <c r="L163" s="356">
        <f t="shared" si="46"/>
        <v>301845.8783792665</v>
      </c>
      <c r="N163" s="356">
        <f t="shared" si="54"/>
        <v>140</v>
      </c>
      <c r="O163" s="357">
        <f t="shared" si="40"/>
        <v>11</v>
      </c>
      <c r="P163" s="357">
        <f t="shared" si="41"/>
        <v>8</v>
      </c>
      <c r="Q163" s="357">
        <f t="shared" si="42"/>
        <v>11</v>
      </c>
      <c r="R163" s="356">
        <f t="shared" si="55"/>
        <v>1884897.9038704282</v>
      </c>
      <c r="S163" s="356">
        <f>IF($G$4="mensual",S162,0)</f>
        <v>10000</v>
      </c>
      <c r="U163" s="356">
        <f t="shared" si="43"/>
        <v>15110.181983898181</v>
      </c>
      <c r="V163" s="356">
        <f t="shared" si="44"/>
        <v>-117.30639909120897</v>
      </c>
      <c r="X163" s="356">
        <f t="shared" si="47"/>
        <v>-1910.0080858543265</v>
      </c>
      <c r="Y163" s="356">
        <f t="shared" si="48"/>
        <v>1907980.7713693809</v>
      </c>
      <c r="AA163" s="357">
        <f>+Bono!J163</f>
        <v>184229.85148989878</v>
      </c>
      <c r="AC163" s="378">
        <f t="shared" si="49"/>
        <v>11.666666666666666</v>
      </c>
      <c r="AD163" s="356">
        <f t="shared" si="50"/>
        <v>2394056.5012385463</v>
      </c>
    </row>
    <row r="164" spans="2:30" x14ac:dyDescent="0.25">
      <c r="B164" s="356">
        <f t="shared" si="51"/>
        <v>141</v>
      </c>
      <c r="C164" s="357">
        <f t="shared" ref="C164:C227" si="56">C152+1</f>
        <v>11</v>
      </c>
      <c r="D164" s="357">
        <f t="shared" ref="D164:D227" si="57">D152</f>
        <v>9</v>
      </c>
      <c r="E164" s="357">
        <f t="shared" ref="E164:E227" si="58">E152+1</f>
        <v>40</v>
      </c>
      <c r="F164" s="356">
        <f t="shared" si="52"/>
        <v>301845.8783792665</v>
      </c>
      <c r="H164" s="356">
        <f t="shared" si="45"/>
        <v>2406.9614220820777</v>
      </c>
      <c r="I164" s="356">
        <v>0</v>
      </c>
      <c r="J164" s="360">
        <f>-SUM(F164:H164)*$J$21</f>
        <v>-2738.2755582121376</v>
      </c>
      <c r="K164" s="356">
        <f t="shared" si="53"/>
        <v>-301.5145642431364</v>
      </c>
      <c r="L164" s="356">
        <f t="shared" si="46"/>
        <v>301213.0496788933</v>
      </c>
      <c r="N164" s="356">
        <f t="shared" si="54"/>
        <v>141</v>
      </c>
      <c r="O164" s="357">
        <f t="shared" ref="O164:O227" si="59">O152+1</f>
        <v>11</v>
      </c>
      <c r="P164" s="357">
        <f t="shared" ref="P164:P227" si="60">P152</f>
        <v>9</v>
      </c>
      <c r="Q164" s="357">
        <f t="shared" ref="Q164:Q227" si="61">Q152+1</f>
        <v>11</v>
      </c>
      <c r="R164" s="356">
        <f t="shared" si="55"/>
        <v>1907980.7713693809</v>
      </c>
      <c r="S164" s="356">
        <f>IF($G$4="mensual",S163,0)</f>
        <v>10000</v>
      </c>
      <c r="U164" s="356">
        <f t="shared" ref="U164:U227" si="62">SUM(R164:T164)*$G$8</f>
        <v>15294.248010836607</v>
      </c>
      <c r="V164" s="356">
        <f t="shared" si="44"/>
        <v>-117.30639909120897</v>
      </c>
      <c r="X164" s="356">
        <f t="shared" si="47"/>
        <v>-1933.2750193802174</v>
      </c>
      <c r="Y164" s="356">
        <f t="shared" si="48"/>
        <v>1931224.437961746</v>
      </c>
      <c r="AA164" s="357">
        <f>+Bono!J164</f>
        <v>183702.07903812962</v>
      </c>
      <c r="AC164" s="378">
        <f t="shared" si="49"/>
        <v>11.75</v>
      </c>
      <c r="AD164" s="356">
        <f t="shared" si="50"/>
        <v>2416139.566678769</v>
      </c>
    </row>
    <row r="165" spans="2:30" x14ac:dyDescent="0.25">
      <c r="B165" s="356">
        <f t="shared" si="51"/>
        <v>142</v>
      </c>
      <c r="C165" s="357">
        <f t="shared" si="56"/>
        <v>11</v>
      </c>
      <c r="D165" s="357">
        <f t="shared" si="57"/>
        <v>10</v>
      </c>
      <c r="E165" s="357">
        <f t="shared" si="58"/>
        <v>40</v>
      </c>
      <c r="F165" s="356">
        <f t="shared" si="52"/>
        <v>301213.0496788933</v>
      </c>
      <c r="H165" s="356">
        <f t="shared" si="45"/>
        <v>2401.915157157861</v>
      </c>
      <c r="I165" s="356">
        <v>0</v>
      </c>
      <c r="J165" s="356">
        <v>0</v>
      </c>
      <c r="K165" s="356">
        <f t="shared" si="53"/>
        <v>-303.6149648360512</v>
      </c>
      <c r="L165" s="356">
        <f t="shared" si="46"/>
        <v>303311.3498712151</v>
      </c>
      <c r="N165" s="356">
        <f t="shared" si="54"/>
        <v>142</v>
      </c>
      <c r="O165" s="357">
        <f t="shared" si="59"/>
        <v>11</v>
      </c>
      <c r="P165" s="357">
        <f t="shared" si="60"/>
        <v>10</v>
      </c>
      <c r="Q165" s="357">
        <f t="shared" si="61"/>
        <v>11</v>
      </c>
      <c r="R165" s="356">
        <f t="shared" si="55"/>
        <v>1931224.437961746</v>
      </c>
      <c r="S165" s="356">
        <f>IF($G$4="mensual",S156,IF($G$4="trimestral",S156,0))</f>
        <v>10000</v>
      </c>
      <c r="U165" s="356">
        <f t="shared" si="62"/>
        <v>15479.596272326746</v>
      </c>
      <c r="V165" s="356">
        <f t="shared" si="44"/>
        <v>-117.30639909120897</v>
      </c>
      <c r="X165" s="356">
        <f t="shared" si="47"/>
        <v>-1956.7040342340729</v>
      </c>
      <c r="Y165" s="356">
        <f t="shared" si="48"/>
        <v>1954630.0238007475</v>
      </c>
      <c r="AA165" s="357">
        <f>+Bono!J165</f>
        <v>184841.0532362883</v>
      </c>
      <c r="AC165" s="378">
        <f t="shared" si="49"/>
        <v>11.833333333333334</v>
      </c>
      <c r="AD165" s="356">
        <f t="shared" si="50"/>
        <v>2442782.426908251</v>
      </c>
    </row>
    <row r="166" spans="2:30" x14ac:dyDescent="0.25">
      <c r="B166" s="356">
        <f t="shared" si="51"/>
        <v>143</v>
      </c>
      <c r="C166" s="357">
        <f t="shared" si="56"/>
        <v>11</v>
      </c>
      <c r="D166" s="357">
        <f t="shared" si="57"/>
        <v>11</v>
      </c>
      <c r="E166" s="357">
        <f t="shared" si="58"/>
        <v>40</v>
      </c>
      <c r="F166" s="356">
        <f t="shared" si="52"/>
        <v>303311.3498712151</v>
      </c>
      <c r="H166" s="356">
        <f t="shared" si="45"/>
        <v>2418.647297553431</v>
      </c>
      <c r="I166" s="356">
        <v>0</v>
      </c>
      <c r="J166" s="356">
        <v>0</v>
      </c>
      <c r="K166" s="356">
        <f t="shared" si="53"/>
        <v>-305.72999716876853</v>
      </c>
      <c r="L166" s="356">
        <f t="shared" si="46"/>
        <v>305424.2671715998</v>
      </c>
      <c r="N166" s="356">
        <f t="shared" si="54"/>
        <v>143</v>
      </c>
      <c r="O166" s="357">
        <f t="shared" si="59"/>
        <v>11</v>
      </c>
      <c r="P166" s="357">
        <f t="shared" si="60"/>
        <v>11</v>
      </c>
      <c r="Q166" s="357">
        <f t="shared" si="61"/>
        <v>11</v>
      </c>
      <c r="R166" s="356">
        <f t="shared" si="55"/>
        <v>1954630.0238007475</v>
      </c>
      <c r="S166" s="356">
        <f>IF($G$17="si",S154*(1+$G$20),S154)</f>
        <v>10000</v>
      </c>
      <c r="U166" s="356">
        <f t="shared" si="62"/>
        <v>15666.235700627705</v>
      </c>
      <c r="V166" s="356">
        <f t="shared" si="44"/>
        <v>-117.30639909120897</v>
      </c>
      <c r="X166" s="356">
        <f t="shared" si="47"/>
        <v>-1980.2962595013753</v>
      </c>
      <c r="Y166" s="356">
        <f t="shared" si="48"/>
        <v>1978198.6568427826</v>
      </c>
      <c r="AA166" s="357">
        <f>+Bono!J166</f>
        <v>185987.08920658843</v>
      </c>
      <c r="AC166" s="378">
        <f t="shared" si="49"/>
        <v>11.916666666666666</v>
      </c>
      <c r="AD166" s="356">
        <f t="shared" si="50"/>
        <v>2469610.013220971</v>
      </c>
    </row>
    <row r="167" spans="2:30" x14ac:dyDescent="0.25">
      <c r="B167" s="356">
        <f t="shared" si="51"/>
        <v>144</v>
      </c>
      <c r="C167" s="357">
        <f t="shared" si="56"/>
        <v>11</v>
      </c>
      <c r="D167" s="357">
        <f t="shared" si="57"/>
        <v>12</v>
      </c>
      <c r="E167" s="357">
        <f t="shared" si="58"/>
        <v>40</v>
      </c>
      <c r="F167" s="356">
        <f t="shared" si="52"/>
        <v>305424.2671715998</v>
      </c>
      <c r="H167" s="356">
        <f t="shared" si="45"/>
        <v>2435.4959968213584</v>
      </c>
      <c r="I167" s="356">
        <v>0</v>
      </c>
      <c r="J167" s="360">
        <f>-SUM(F167:H167)*$J$21</f>
        <v>-2770.737868515791</v>
      </c>
      <c r="K167" s="356">
        <f t="shared" si="53"/>
        <v>-305.0890252999054</v>
      </c>
      <c r="L167" s="356">
        <f t="shared" si="46"/>
        <v>304783.9362746055</v>
      </c>
      <c r="N167" s="356">
        <f t="shared" si="54"/>
        <v>144</v>
      </c>
      <c r="O167" s="357">
        <f t="shared" si="59"/>
        <v>11</v>
      </c>
      <c r="P167" s="357">
        <f t="shared" si="60"/>
        <v>12</v>
      </c>
      <c r="Q167" s="357">
        <f t="shared" si="61"/>
        <v>11</v>
      </c>
      <c r="R167" s="356">
        <f t="shared" si="55"/>
        <v>1978198.6568427826</v>
      </c>
      <c r="S167" s="356">
        <f>IF($G$4="mensual",S166,0)</f>
        <v>10000</v>
      </c>
      <c r="U167" s="356">
        <f t="shared" si="62"/>
        <v>15854.175290222194</v>
      </c>
      <c r="V167" s="356">
        <f t="shared" si="44"/>
        <v>-117.30639909120897</v>
      </c>
      <c r="X167" s="356">
        <f t="shared" si="47"/>
        <v>-2004.052832133005</v>
      </c>
      <c r="Y167" s="356">
        <f t="shared" si="48"/>
        <v>2001931.4729017809</v>
      </c>
      <c r="AA167" s="357">
        <f>+Bono!J167</f>
        <v>185454.2827082162</v>
      </c>
      <c r="AC167" s="378">
        <f t="shared" si="49"/>
        <v>12</v>
      </c>
      <c r="AD167" s="356">
        <f t="shared" si="50"/>
        <v>2492169.6918846024</v>
      </c>
    </row>
    <row r="168" spans="2:30" x14ac:dyDescent="0.25">
      <c r="B168" s="356">
        <f t="shared" si="51"/>
        <v>145</v>
      </c>
      <c r="C168" s="357">
        <f t="shared" si="56"/>
        <v>12</v>
      </c>
      <c r="D168" s="357">
        <f t="shared" si="57"/>
        <v>1</v>
      </c>
      <c r="E168" s="357">
        <f t="shared" si="58"/>
        <v>41</v>
      </c>
      <c r="F168" s="356">
        <f t="shared" si="52"/>
        <v>304783.9362746055</v>
      </c>
      <c r="H168" s="356">
        <f t="shared" si="45"/>
        <v>2430.38990832776</v>
      </c>
      <c r="I168" s="356">
        <v>0</v>
      </c>
      <c r="J168" s="356">
        <v>0</v>
      </c>
      <c r="K168" s="356">
        <f t="shared" si="53"/>
        <v>-307.2143261829333</v>
      </c>
      <c r="L168" s="356">
        <f t="shared" si="46"/>
        <v>306907.1118567503</v>
      </c>
      <c r="N168" s="356">
        <f t="shared" si="54"/>
        <v>145</v>
      </c>
      <c r="O168" s="357">
        <f t="shared" si="59"/>
        <v>12</v>
      </c>
      <c r="P168" s="357">
        <f t="shared" si="60"/>
        <v>1</v>
      </c>
      <c r="Q168" s="357">
        <f t="shared" si="61"/>
        <v>12</v>
      </c>
      <c r="R168" s="356">
        <f t="shared" si="55"/>
        <v>2001931.4729017809</v>
      </c>
      <c r="S168" s="356">
        <f>IF($G$17="si",S156*(1+$G$20),S156)</f>
        <v>10000</v>
      </c>
      <c r="U168" s="356">
        <f t="shared" si="62"/>
        <v>16043.424098249989</v>
      </c>
      <c r="V168" s="356">
        <f>V167*(1+$G$18)</f>
        <v>-121.99865505485734</v>
      </c>
      <c r="X168" s="356">
        <f t="shared" si="47"/>
        <v>-2027.974897000031</v>
      </c>
      <c r="Y168" s="356">
        <f t="shared" si="48"/>
        <v>2025824.923447976</v>
      </c>
      <c r="AA168" s="357">
        <f>+Bono!J168</f>
        <v>186604.1207723725</v>
      </c>
      <c r="AC168" s="378">
        <f t="shared" si="49"/>
        <v>12.083333333333334</v>
      </c>
      <c r="AD168" s="356">
        <f t="shared" si="50"/>
        <v>2519336.1560770986</v>
      </c>
    </row>
    <row r="169" spans="2:30" x14ac:dyDescent="0.25">
      <c r="B169" s="356">
        <f t="shared" si="51"/>
        <v>146</v>
      </c>
      <c r="C169" s="357">
        <f t="shared" si="56"/>
        <v>12</v>
      </c>
      <c r="D169" s="357">
        <f t="shared" si="57"/>
        <v>2</v>
      </c>
      <c r="E169" s="357">
        <f t="shared" si="58"/>
        <v>41</v>
      </c>
      <c r="F169" s="356">
        <f t="shared" si="52"/>
        <v>306907.1118567503</v>
      </c>
      <c r="H169" s="356">
        <f t="shared" si="45"/>
        <v>2447.3204085750026</v>
      </c>
      <c r="I169" s="356">
        <v>0</v>
      </c>
      <c r="J169" s="356">
        <v>0</v>
      </c>
      <c r="K169" s="356">
        <f t="shared" si="53"/>
        <v>-309.35443226532533</v>
      </c>
      <c r="L169" s="356">
        <f t="shared" si="46"/>
        <v>309045.07783306</v>
      </c>
      <c r="N169" s="356">
        <f t="shared" si="54"/>
        <v>146</v>
      </c>
      <c r="O169" s="357">
        <f t="shared" si="59"/>
        <v>12</v>
      </c>
      <c r="P169" s="357">
        <f t="shared" si="60"/>
        <v>2</v>
      </c>
      <c r="Q169" s="357">
        <f t="shared" si="61"/>
        <v>12</v>
      </c>
      <c r="R169" s="356">
        <f t="shared" si="55"/>
        <v>2025824.923447976</v>
      </c>
      <c r="S169" s="356">
        <f>IF($G$4="mensual",S168,0)</f>
        <v>10000</v>
      </c>
      <c r="U169" s="356">
        <f t="shared" si="62"/>
        <v>16233.953828236416</v>
      </c>
      <c r="V169" s="356">
        <f>V168</f>
        <v>-121.99865505485734</v>
      </c>
      <c r="X169" s="356">
        <f t="shared" si="47"/>
        <v>-2052.058877276212</v>
      </c>
      <c r="Y169" s="356">
        <f t="shared" si="48"/>
        <v>2049884.819743881</v>
      </c>
      <c r="AA169" s="357">
        <f>+Bono!J169</f>
        <v>187761.08796589953</v>
      </c>
      <c r="AC169" s="378">
        <f t="shared" si="49"/>
        <v>12.166666666666666</v>
      </c>
      <c r="AD169" s="356">
        <f t="shared" si="50"/>
        <v>2546690.985542841</v>
      </c>
    </row>
    <row r="170" spans="2:30" x14ac:dyDescent="0.25">
      <c r="B170" s="356">
        <f t="shared" si="51"/>
        <v>147</v>
      </c>
      <c r="C170" s="357">
        <f t="shared" si="56"/>
        <v>12</v>
      </c>
      <c r="D170" s="357">
        <f t="shared" si="57"/>
        <v>3</v>
      </c>
      <c r="E170" s="357">
        <f t="shared" si="58"/>
        <v>41</v>
      </c>
      <c r="F170" s="356">
        <f t="shared" si="52"/>
        <v>309045.07783306</v>
      </c>
      <c r="H170" s="356">
        <f t="shared" si="45"/>
        <v>2464.3688495023143</v>
      </c>
      <c r="I170" s="356">
        <v>0</v>
      </c>
      <c r="J170" s="360">
        <f>-SUM(F170:H170)*$J$21</f>
        <v>-2803.585020143061</v>
      </c>
      <c r="K170" s="356">
        <f t="shared" si="53"/>
        <v>-308.70586166241924</v>
      </c>
      <c r="L170" s="356">
        <f t="shared" si="46"/>
        <v>308397.1558007568</v>
      </c>
      <c r="N170" s="356">
        <f t="shared" si="54"/>
        <v>147</v>
      </c>
      <c r="O170" s="357">
        <f t="shared" si="59"/>
        <v>12</v>
      </c>
      <c r="P170" s="357">
        <f t="shared" si="60"/>
        <v>3</v>
      </c>
      <c r="Q170" s="357">
        <f t="shared" si="61"/>
        <v>12</v>
      </c>
      <c r="R170" s="356">
        <f t="shared" si="55"/>
        <v>2049884.819743881</v>
      </c>
      <c r="S170" s="356">
        <f>IF($G$4="mensual",S169,0)</f>
        <v>10000</v>
      </c>
      <c r="U170" s="356">
        <f t="shared" si="62"/>
        <v>16425.810820004823</v>
      </c>
      <c r="V170" s="356">
        <f t="shared" si="44"/>
        <v>-121.99865505485734</v>
      </c>
      <c r="X170" s="356">
        <f t="shared" si="47"/>
        <v>-2076.3106305638858</v>
      </c>
      <c r="Y170" s="356">
        <f t="shared" si="48"/>
        <v>2074112.321278267</v>
      </c>
      <c r="AA170" s="357">
        <f>+Bono!J170</f>
        <v>187223.19940472874</v>
      </c>
      <c r="AC170" s="378">
        <f t="shared" si="49"/>
        <v>12.25</v>
      </c>
      <c r="AD170" s="356">
        <f t="shared" si="50"/>
        <v>2569732.6764837527</v>
      </c>
    </row>
    <row r="171" spans="2:30" x14ac:dyDescent="0.25">
      <c r="B171" s="356">
        <f t="shared" si="51"/>
        <v>148</v>
      </c>
      <c r="C171" s="357">
        <f t="shared" si="56"/>
        <v>12</v>
      </c>
      <c r="D171" s="357">
        <f t="shared" si="57"/>
        <v>4</v>
      </c>
      <c r="E171" s="357">
        <f t="shared" si="58"/>
        <v>41</v>
      </c>
      <c r="F171" s="356">
        <f t="shared" si="52"/>
        <v>308397.1558007568</v>
      </c>
      <c r="H171" s="356">
        <f t="shared" si="45"/>
        <v>2459.202228229748</v>
      </c>
      <c r="I171" s="356">
        <v>0</v>
      </c>
      <c r="J171" s="356">
        <v>0</v>
      </c>
      <c r="K171" s="356">
        <f t="shared" si="53"/>
        <v>-310.85635802898656</v>
      </c>
      <c r="L171" s="356">
        <f t="shared" si="46"/>
        <v>310545.50167095754</v>
      </c>
      <c r="N171" s="356">
        <f t="shared" si="54"/>
        <v>148</v>
      </c>
      <c r="O171" s="357">
        <f t="shared" si="59"/>
        <v>12</v>
      </c>
      <c r="P171" s="357">
        <f t="shared" si="60"/>
        <v>4</v>
      </c>
      <c r="Q171" s="357">
        <f t="shared" si="61"/>
        <v>12</v>
      </c>
      <c r="R171" s="356">
        <f t="shared" si="55"/>
        <v>2074112.321278267</v>
      </c>
      <c r="S171" s="356">
        <f>IF($G$4="mensual",S168,IF($G$4="trimestral",S168,0))</f>
        <v>10000</v>
      </c>
      <c r="U171" s="356">
        <f t="shared" si="62"/>
        <v>16619.0043194815</v>
      </c>
      <c r="V171" s="356">
        <f t="shared" si="44"/>
        <v>-121.99865505485734</v>
      </c>
      <c r="X171" s="356">
        <f t="shared" si="47"/>
        <v>-2100.7313255977488</v>
      </c>
      <c r="Y171" s="356">
        <f t="shared" si="48"/>
        <v>2098508.595617096</v>
      </c>
      <c r="AA171" s="357">
        <f>+Bono!J171</f>
        <v>188384.00495758504</v>
      </c>
      <c r="AC171" s="378">
        <f t="shared" si="49"/>
        <v>12.333333333333334</v>
      </c>
      <c r="AD171" s="356">
        <f t="shared" si="50"/>
        <v>2597438.1022456386</v>
      </c>
    </row>
    <row r="172" spans="2:30" x14ac:dyDescent="0.25">
      <c r="B172" s="356">
        <f t="shared" si="51"/>
        <v>149</v>
      </c>
      <c r="C172" s="357">
        <f t="shared" si="56"/>
        <v>12</v>
      </c>
      <c r="D172" s="357">
        <f t="shared" si="57"/>
        <v>5</v>
      </c>
      <c r="E172" s="357">
        <f t="shared" si="58"/>
        <v>41</v>
      </c>
      <c r="F172" s="356">
        <f t="shared" si="52"/>
        <v>310545.50167095754</v>
      </c>
      <c r="H172" s="356">
        <f t="shared" si="45"/>
        <v>2476.333439888584</v>
      </c>
      <c r="I172" s="356">
        <v>0</v>
      </c>
      <c r="J172" s="356">
        <v>0</v>
      </c>
      <c r="K172" s="356">
        <f t="shared" si="53"/>
        <v>-313.02183511084615</v>
      </c>
      <c r="L172" s="356">
        <f t="shared" si="46"/>
        <v>312708.8132757353</v>
      </c>
      <c r="N172" s="356">
        <f t="shared" si="54"/>
        <v>149</v>
      </c>
      <c r="O172" s="357">
        <f t="shared" si="59"/>
        <v>12</v>
      </c>
      <c r="P172" s="357">
        <f t="shared" si="60"/>
        <v>5</v>
      </c>
      <c r="Q172" s="357">
        <f t="shared" si="61"/>
        <v>12</v>
      </c>
      <c r="R172" s="356">
        <f t="shared" si="55"/>
        <v>2098508.595617096</v>
      </c>
      <c r="S172" s="356">
        <f>IF($G$4="mensual",S171,0)</f>
        <v>10000</v>
      </c>
      <c r="U172" s="356">
        <f t="shared" si="62"/>
        <v>16813.543637001385</v>
      </c>
      <c r="V172" s="356">
        <f t="shared" si="44"/>
        <v>-121.99865505485734</v>
      </c>
      <c r="X172" s="356">
        <f t="shared" si="47"/>
        <v>-2125.3221392540972</v>
      </c>
      <c r="Y172" s="356">
        <f t="shared" si="48"/>
        <v>2123074.8184597883</v>
      </c>
      <c r="AA172" s="357">
        <f>+Bono!J172</f>
        <v>189552.00763951417</v>
      </c>
      <c r="AC172" s="378">
        <f t="shared" si="49"/>
        <v>12.416666666666666</v>
      </c>
      <c r="AD172" s="356">
        <f t="shared" si="50"/>
        <v>2625335.639375038</v>
      </c>
    </row>
    <row r="173" spans="2:30" x14ac:dyDescent="0.25">
      <c r="B173" s="356">
        <f t="shared" si="51"/>
        <v>150</v>
      </c>
      <c r="C173" s="357">
        <f t="shared" si="56"/>
        <v>12</v>
      </c>
      <c r="D173" s="357">
        <f t="shared" si="57"/>
        <v>6</v>
      </c>
      <c r="E173" s="357">
        <f t="shared" si="58"/>
        <v>41</v>
      </c>
      <c r="F173" s="356">
        <f t="shared" si="52"/>
        <v>312708.8132757353</v>
      </c>
      <c r="H173" s="356">
        <f t="shared" si="45"/>
        <v>2493.583990416559</v>
      </c>
      <c r="I173" s="356">
        <v>0</v>
      </c>
      <c r="J173" s="360">
        <f>-SUM(F173:H173)*$J$21</f>
        <v>-2836.821575395367</v>
      </c>
      <c r="K173" s="356">
        <f t="shared" si="53"/>
        <v>-312.3655756907565</v>
      </c>
      <c r="L173" s="356">
        <f t="shared" si="46"/>
        <v>312053.21011506574</v>
      </c>
      <c r="N173" s="356">
        <f t="shared" si="54"/>
        <v>150</v>
      </c>
      <c r="O173" s="357">
        <f t="shared" si="59"/>
        <v>12</v>
      </c>
      <c r="P173" s="357">
        <f t="shared" si="60"/>
        <v>6</v>
      </c>
      <c r="Q173" s="357">
        <f t="shared" si="61"/>
        <v>12</v>
      </c>
      <c r="R173" s="356">
        <f t="shared" si="55"/>
        <v>2123074.8184597883</v>
      </c>
      <c r="S173" s="356">
        <f>IF($G$4="mensual",S172,0)</f>
        <v>10000</v>
      </c>
      <c r="U173" s="356">
        <f t="shared" si="62"/>
        <v>17009.438147756755</v>
      </c>
      <c r="V173" s="356">
        <f t="shared" si="44"/>
        <v>-121.99865505485734</v>
      </c>
      <c r="X173" s="356">
        <f t="shared" si="47"/>
        <v>-2150.0842566075453</v>
      </c>
      <c r="Y173" s="356">
        <f t="shared" si="48"/>
        <v>2147812.173695883</v>
      </c>
      <c r="AA173" s="357">
        <f>+Bono!J173</f>
        <v>189008.98854135702</v>
      </c>
      <c r="AC173" s="378">
        <f t="shared" si="49"/>
        <v>12.5</v>
      </c>
      <c r="AD173" s="356">
        <f t="shared" si="50"/>
        <v>2648874.372352306</v>
      </c>
    </row>
    <row r="174" spans="2:30" x14ac:dyDescent="0.25">
      <c r="B174" s="356">
        <f t="shared" si="51"/>
        <v>151</v>
      </c>
      <c r="C174" s="357">
        <f t="shared" si="56"/>
        <v>12</v>
      </c>
      <c r="D174" s="357">
        <f t="shared" si="57"/>
        <v>7</v>
      </c>
      <c r="E174" s="357">
        <f t="shared" si="58"/>
        <v>41</v>
      </c>
      <c r="F174" s="356">
        <f t="shared" si="52"/>
        <v>312053.21011506574</v>
      </c>
      <c r="H174" s="356">
        <f t="shared" si="45"/>
        <v>2488.3561187477467</v>
      </c>
      <c r="I174" s="356">
        <v>0</v>
      </c>
      <c r="J174" s="356">
        <v>0</v>
      </c>
      <c r="K174" s="356">
        <f t="shared" si="53"/>
        <v>-314.54156623381346</v>
      </c>
      <c r="L174" s="356">
        <f t="shared" si="46"/>
        <v>314227.0246675797</v>
      </c>
      <c r="N174" s="356">
        <f t="shared" si="54"/>
        <v>151</v>
      </c>
      <c r="O174" s="357">
        <f t="shared" si="59"/>
        <v>12</v>
      </c>
      <c r="P174" s="357">
        <f t="shared" si="60"/>
        <v>7</v>
      </c>
      <c r="Q174" s="357">
        <f t="shared" si="61"/>
        <v>12</v>
      </c>
      <c r="R174" s="356">
        <f t="shared" si="55"/>
        <v>2147812.173695883</v>
      </c>
      <c r="S174" s="356">
        <f>+IF($G$4="mensual",S168,IF($G$4="trimestral",S168,IF($G$4="semestral",S168,0)))</f>
        <v>10000</v>
      </c>
      <c r="U174" s="356">
        <f t="shared" si="62"/>
        <v>17206.69729224905</v>
      </c>
      <c r="V174" s="356">
        <f t="shared" si="44"/>
        <v>-121.99865505485734</v>
      </c>
      <c r="X174" s="356">
        <f t="shared" si="47"/>
        <v>-2175.018870988132</v>
      </c>
      <c r="Y174" s="356">
        <f t="shared" si="48"/>
        <v>2172721.8534620893</v>
      </c>
      <c r="AA174" s="357">
        <f>+Bono!J174</f>
        <v>190180.86619399913</v>
      </c>
      <c r="AC174" s="378">
        <f t="shared" si="49"/>
        <v>12.583333333333334</v>
      </c>
      <c r="AD174" s="356">
        <f t="shared" si="50"/>
        <v>2677129.744323668</v>
      </c>
    </row>
    <row r="175" spans="2:30" x14ac:dyDescent="0.25">
      <c r="B175" s="356">
        <f t="shared" si="51"/>
        <v>152</v>
      </c>
      <c r="C175" s="357">
        <f t="shared" si="56"/>
        <v>12</v>
      </c>
      <c r="D175" s="357">
        <f t="shared" si="57"/>
        <v>8</v>
      </c>
      <c r="E175" s="357">
        <f t="shared" si="58"/>
        <v>41</v>
      </c>
      <c r="F175" s="356">
        <f t="shared" si="52"/>
        <v>314227.0246675797</v>
      </c>
      <c r="H175" s="356">
        <f t="shared" si="45"/>
        <v>2505.6904212558875</v>
      </c>
      <c r="I175" s="356">
        <v>0</v>
      </c>
      <c r="J175" s="356">
        <v>0</v>
      </c>
      <c r="K175" s="356">
        <f t="shared" si="53"/>
        <v>-316.73271508883556</v>
      </c>
      <c r="L175" s="356">
        <f t="shared" si="46"/>
        <v>316415.98237374675</v>
      </c>
      <c r="N175" s="356">
        <f t="shared" si="54"/>
        <v>152</v>
      </c>
      <c r="O175" s="357">
        <f t="shared" si="59"/>
        <v>12</v>
      </c>
      <c r="P175" s="357">
        <f t="shared" si="60"/>
        <v>8</v>
      </c>
      <c r="Q175" s="357">
        <f t="shared" si="61"/>
        <v>12</v>
      </c>
      <c r="R175" s="356">
        <f t="shared" si="55"/>
        <v>2172721.8534620893</v>
      </c>
      <c r="S175" s="356">
        <f>IF($G$4="mensual",S174,0)</f>
        <v>10000</v>
      </c>
      <c r="U175" s="356">
        <f t="shared" si="62"/>
        <v>17405.330576743803</v>
      </c>
      <c r="V175" s="356">
        <f t="shared" si="44"/>
        <v>-121.99865505485734</v>
      </c>
      <c r="X175" s="356">
        <f t="shared" si="47"/>
        <v>-2200.127184038833</v>
      </c>
      <c r="Y175" s="356">
        <f t="shared" si="48"/>
        <v>2197805.0581997395</v>
      </c>
      <c r="AA175" s="357">
        <f>+Bono!J175</f>
        <v>191360.00962401702</v>
      </c>
      <c r="AC175" s="378">
        <f t="shared" si="49"/>
        <v>12.666666666666666</v>
      </c>
      <c r="AD175" s="356">
        <f t="shared" si="50"/>
        <v>2705581.050197503</v>
      </c>
    </row>
    <row r="176" spans="2:30" x14ac:dyDescent="0.25">
      <c r="B176" s="356">
        <f t="shared" si="51"/>
        <v>153</v>
      </c>
      <c r="C176" s="357">
        <f t="shared" si="56"/>
        <v>12</v>
      </c>
      <c r="D176" s="357">
        <f t="shared" si="57"/>
        <v>9</v>
      </c>
      <c r="E176" s="357">
        <f t="shared" si="58"/>
        <v>41</v>
      </c>
      <c r="F176" s="356">
        <f t="shared" si="52"/>
        <v>316415.98237374675</v>
      </c>
      <c r="H176" s="356">
        <f t="shared" si="45"/>
        <v>2523.145477397795</v>
      </c>
      <c r="I176" s="356">
        <v>0</v>
      </c>
      <c r="J176" s="360">
        <f>-SUM(F176:H176)*$J$21</f>
        <v>-2870.452150660301</v>
      </c>
      <c r="K176" s="356">
        <f t="shared" si="53"/>
        <v>-316.0686757004843</v>
      </c>
      <c r="L176" s="356">
        <f t="shared" si="46"/>
        <v>315752.6070247838</v>
      </c>
      <c r="N176" s="356">
        <f t="shared" si="54"/>
        <v>153</v>
      </c>
      <c r="O176" s="357">
        <f t="shared" si="59"/>
        <v>12</v>
      </c>
      <c r="P176" s="357">
        <f t="shared" si="60"/>
        <v>9</v>
      </c>
      <c r="Q176" s="357">
        <f t="shared" si="61"/>
        <v>12</v>
      </c>
      <c r="R176" s="356">
        <f t="shared" si="55"/>
        <v>2197805.0581997395</v>
      </c>
      <c r="S176" s="356">
        <f>IF($G$4="mensual",S175,0)</f>
        <v>10000</v>
      </c>
      <c r="U176" s="356">
        <f t="shared" si="62"/>
        <v>17605.34757372877</v>
      </c>
      <c r="V176" s="356">
        <f t="shared" si="44"/>
        <v>-121.99865505485734</v>
      </c>
      <c r="X176" s="356">
        <f t="shared" si="47"/>
        <v>-2225.4104057734685</v>
      </c>
      <c r="Y176" s="356">
        <f t="shared" si="48"/>
        <v>2223062.99671264</v>
      </c>
      <c r="AA176" s="357">
        <f>+Bono!J176</f>
        <v>190811.81105232477</v>
      </c>
      <c r="AC176" s="378">
        <f t="shared" si="49"/>
        <v>12.75</v>
      </c>
      <c r="AD176" s="356">
        <f t="shared" si="50"/>
        <v>2729627.4147897484</v>
      </c>
    </row>
    <row r="177" spans="2:30" x14ac:dyDescent="0.25">
      <c r="B177" s="356">
        <f t="shared" si="51"/>
        <v>154</v>
      </c>
      <c r="C177" s="357">
        <f t="shared" si="56"/>
        <v>12</v>
      </c>
      <c r="D177" s="357">
        <f t="shared" si="57"/>
        <v>10</v>
      </c>
      <c r="E177" s="357">
        <f t="shared" si="58"/>
        <v>41</v>
      </c>
      <c r="F177" s="356">
        <f t="shared" si="52"/>
        <v>315752.6070247838</v>
      </c>
      <c r="H177" s="356">
        <f t="shared" si="45"/>
        <v>2517.855629208091</v>
      </c>
      <c r="I177" s="356">
        <v>0</v>
      </c>
      <c r="J177" s="356">
        <v>0</v>
      </c>
      <c r="K177" s="356">
        <f t="shared" si="53"/>
        <v>-318.2704626539919</v>
      </c>
      <c r="L177" s="356">
        <f t="shared" si="46"/>
        <v>317952.1921913379</v>
      </c>
      <c r="N177" s="356">
        <f t="shared" si="54"/>
        <v>154</v>
      </c>
      <c r="O177" s="357">
        <f t="shared" si="59"/>
        <v>12</v>
      </c>
      <c r="P177" s="357">
        <f t="shared" si="60"/>
        <v>10</v>
      </c>
      <c r="Q177" s="357">
        <f t="shared" si="61"/>
        <v>12</v>
      </c>
      <c r="R177" s="356">
        <f t="shared" si="55"/>
        <v>2223062.99671264</v>
      </c>
      <c r="S177" s="356">
        <f>IF($G$4="mensual",S168,IF($G$4="trimestral",S168,0))</f>
        <v>10000</v>
      </c>
      <c r="U177" s="356">
        <f t="shared" si="62"/>
        <v>17806.757922375255</v>
      </c>
      <c r="V177" s="356">
        <f t="shared" si="44"/>
        <v>-121.99865505485734</v>
      </c>
      <c r="X177" s="356">
        <f t="shared" si="47"/>
        <v>-2250.869754635015</v>
      </c>
      <c r="Y177" s="356">
        <f t="shared" si="48"/>
        <v>2248496.8862253255</v>
      </c>
      <c r="AA177" s="357">
        <f>+Bono!J177</f>
        <v>191994.86641364935</v>
      </c>
      <c r="AC177" s="378">
        <f t="shared" si="49"/>
        <v>12.833333333333334</v>
      </c>
      <c r="AD177" s="356">
        <f t="shared" si="50"/>
        <v>2758443.9448303124</v>
      </c>
    </row>
    <row r="178" spans="2:30" x14ac:dyDescent="0.25">
      <c r="B178" s="356">
        <f t="shared" si="51"/>
        <v>155</v>
      </c>
      <c r="C178" s="357">
        <f t="shared" si="56"/>
        <v>12</v>
      </c>
      <c r="D178" s="357">
        <f t="shared" si="57"/>
        <v>11</v>
      </c>
      <c r="E178" s="357">
        <f t="shared" si="58"/>
        <v>41</v>
      </c>
      <c r="F178" s="356">
        <f t="shared" si="52"/>
        <v>317952.1921913379</v>
      </c>
      <c r="H178" s="356">
        <f t="shared" si="45"/>
        <v>2535.395430211527</v>
      </c>
      <c r="I178" s="356">
        <v>0</v>
      </c>
      <c r="J178" s="356">
        <v>0</v>
      </c>
      <c r="K178" s="356">
        <f t="shared" si="53"/>
        <v>-320.4875876215494</v>
      </c>
      <c r="L178" s="356">
        <f t="shared" si="46"/>
        <v>320167.1000339278</v>
      </c>
      <c r="N178" s="356">
        <f t="shared" si="54"/>
        <v>155</v>
      </c>
      <c r="O178" s="357">
        <f t="shared" si="59"/>
        <v>12</v>
      </c>
      <c r="P178" s="357">
        <f t="shared" si="60"/>
        <v>11</v>
      </c>
      <c r="Q178" s="357">
        <f t="shared" si="61"/>
        <v>12</v>
      </c>
      <c r="R178" s="356">
        <f t="shared" si="55"/>
        <v>2248496.8862253255</v>
      </c>
      <c r="S178" s="356">
        <f>IF($G$17="si",S166*(1+$G$20),S166)</f>
        <v>10000</v>
      </c>
      <c r="U178" s="356">
        <f t="shared" si="62"/>
        <v>18009.571329002632</v>
      </c>
      <c r="V178" s="356">
        <f t="shared" si="44"/>
        <v>-121.99865505485734</v>
      </c>
      <c r="X178" s="356">
        <f t="shared" si="47"/>
        <v>-2276.5064575543283</v>
      </c>
      <c r="Y178" s="356">
        <f t="shared" si="48"/>
        <v>2274107.9524417194</v>
      </c>
      <c r="AA178" s="357">
        <f>+Bono!J178</f>
        <v>193185.25685544006</v>
      </c>
      <c r="AC178" s="378">
        <f t="shared" si="49"/>
        <v>12.916666666666666</v>
      </c>
      <c r="AD178" s="356">
        <f t="shared" si="50"/>
        <v>2787460.309331087</v>
      </c>
    </row>
    <row r="179" spans="2:30" x14ac:dyDescent="0.25">
      <c r="B179" s="356">
        <f t="shared" si="51"/>
        <v>156</v>
      </c>
      <c r="C179" s="357">
        <f t="shared" si="56"/>
        <v>12</v>
      </c>
      <c r="D179" s="357">
        <f t="shared" si="57"/>
        <v>12</v>
      </c>
      <c r="E179" s="357">
        <f t="shared" si="58"/>
        <v>41</v>
      </c>
      <c r="F179" s="356">
        <f t="shared" si="52"/>
        <v>320167.1000339278</v>
      </c>
      <c r="H179" s="356">
        <f t="shared" si="45"/>
        <v>2553.05741638542</v>
      </c>
      <c r="I179" s="356">
        <v>0</v>
      </c>
      <c r="J179" s="360">
        <f>-SUM(F179:H179)*$J$21</f>
        <v>-2904.48141705282</v>
      </c>
      <c r="K179" s="356">
        <f t="shared" si="53"/>
        <v>-319.8156760332605</v>
      </c>
      <c r="L179" s="356">
        <f t="shared" si="46"/>
        <v>319495.8603572272</v>
      </c>
      <c r="N179" s="356">
        <f t="shared" si="54"/>
        <v>156</v>
      </c>
      <c r="O179" s="357">
        <f t="shared" si="59"/>
        <v>12</v>
      </c>
      <c r="P179" s="357">
        <f t="shared" si="60"/>
        <v>12</v>
      </c>
      <c r="Q179" s="357">
        <f t="shared" si="61"/>
        <v>12</v>
      </c>
      <c r="R179" s="356">
        <f t="shared" si="55"/>
        <v>2274107.9524417194</v>
      </c>
      <c r="S179" s="356">
        <f>IF($G$4="mensual",S178,0)</f>
        <v>10000</v>
      </c>
      <c r="U179" s="356">
        <f t="shared" si="62"/>
        <v>18213.79756754611</v>
      </c>
      <c r="V179" s="356">
        <f t="shared" si="44"/>
        <v>-121.99865505485734</v>
      </c>
      <c r="X179" s="356">
        <f t="shared" si="47"/>
        <v>-2302.321750009265</v>
      </c>
      <c r="Y179" s="356">
        <f t="shared" si="48"/>
        <v>2299897.429604201</v>
      </c>
      <c r="AA179" s="357">
        <f>+Bono!J179</f>
        <v>192631.82940689308</v>
      </c>
      <c r="AC179" s="378">
        <f t="shared" si="49"/>
        <v>13</v>
      </c>
      <c r="AD179" s="356">
        <f t="shared" si="50"/>
        <v>2812025.1193683213</v>
      </c>
    </row>
    <row r="180" spans="2:30" x14ac:dyDescent="0.25">
      <c r="B180" s="356">
        <f t="shared" si="51"/>
        <v>157</v>
      </c>
      <c r="C180" s="357">
        <f t="shared" si="56"/>
        <v>13</v>
      </c>
      <c r="D180" s="357">
        <f t="shared" si="57"/>
        <v>1</v>
      </c>
      <c r="E180" s="357">
        <f t="shared" si="58"/>
        <v>42</v>
      </c>
      <c r="F180" s="356">
        <f t="shared" si="52"/>
        <v>319495.8603572272</v>
      </c>
      <c r="H180" s="356">
        <f t="shared" si="45"/>
        <v>2547.704856941957</v>
      </c>
      <c r="I180" s="356">
        <v>0</v>
      </c>
      <c r="J180" s="356">
        <v>0</v>
      </c>
      <c r="K180" s="356">
        <f t="shared" si="53"/>
        <v>-322.0435652141692</v>
      </c>
      <c r="L180" s="356">
        <f t="shared" si="46"/>
        <v>321721.521648955</v>
      </c>
      <c r="N180" s="356">
        <f t="shared" si="54"/>
        <v>157</v>
      </c>
      <c r="O180" s="357">
        <f t="shared" si="59"/>
        <v>13</v>
      </c>
      <c r="P180" s="357">
        <f t="shared" si="60"/>
        <v>1</v>
      </c>
      <c r="Q180" s="357">
        <f t="shared" si="61"/>
        <v>13</v>
      </c>
      <c r="R180" s="356">
        <f t="shared" si="55"/>
        <v>2299897.429604201</v>
      </c>
      <c r="S180" s="356">
        <f>IF($G$17="si",S168*(1+$G$20),S168)</f>
        <v>10000</v>
      </c>
      <c r="U180" s="356">
        <f t="shared" si="62"/>
        <v>18419.446480027746</v>
      </c>
      <c r="V180" s="356">
        <f>V179*(1+$G$18)</f>
        <v>-126.87860125705164</v>
      </c>
      <c r="X180" s="356">
        <f t="shared" si="47"/>
        <v>-2328.316876084229</v>
      </c>
      <c r="Y180" s="356">
        <f t="shared" si="48"/>
        <v>2325861.6806068877</v>
      </c>
      <c r="AA180" s="357">
        <f>+Bono!J180</f>
        <v>193826.16909312506</v>
      </c>
      <c r="AC180" s="378">
        <f t="shared" si="49"/>
        <v>13.083333333333334</v>
      </c>
      <c r="AD180" s="356">
        <f t="shared" si="50"/>
        <v>2841409.371348968</v>
      </c>
    </row>
    <row r="181" spans="2:30" x14ac:dyDescent="0.25">
      <c r="B181" s="356">
        <f t="shared" si="51"/>
        <v>158</v>
      </c>
      <c r="C181" s="357">
        <f t="shared" si="56"/>
        <v>13</v>
      </c>
      <c r="D181" s="357">
        <f t="shared" si="57"/>
        <v>2</v>
      </c>
      <c r="E181" s="357">
        <f t="shared" si="58"/>
        <v>42</v>
      </c>
      <c r="F181" s="356">
        <f t="shared" si="52"/>
        <v>321721.521648955</v>
      </c>
      <c r="H181" s="356">
        <f t="shared" si="45"/>
        <v>2565.45259262937</v>
      </c>
      <c r="I181" s="356">
        <v>0</v>
      </c>
      <c r="J181" s="356">
        <v>0</v>
      </c>
      <c r="K181" s="356">
        <f t="shared" si="53"/>
        <v>-324.28697424158435</v>
      </c>
      <c r="L181" s="356">
        <f t="shared" si="46"/>
        <v>323962.68726734276</v>
      </c>
      <c r="N181" s="356">
        <f t="shared" si="54"/>
        <v>158</v>
      </c>
      <c r="O181" s="357">
        <f t="shared" si="59"/>
        <v>13</v>
      </c>
      <c r="P181" s="357">
        <f t="shared" si="60"/>
        <v>2</v>
      </c>
      <c r="Q181" s="357">
        <f t="shared" si="61"/>
        <v>13</v>
      </c>
      <c r="R181" s="356">
        <f t="shared" si="55"/>
        <v>2325861.6806068877</v>
      </c>
      <c r="S181" s="356">
        <f>IF($G$4="mensual",S180,0)</f>
        <v>10000</v>
      </c>
      <c r="U181" s="356">
        <f t="shared" si="62"/>
        <v>18626.489063654473</v>
      </c>
      <c r="V181" s="356">
        <f>V180</f>
        <v>-126.87860125705164</v>
      </c>
      <c r="X181" s="356">
        <f t="shared" si="47"/>
        <v>-2354.4881696705424</v>
      </c>
      <c r="Y181" s="356">
        <f t="shared" si="48"/>
        <v>2352006.8028996144</v>
      </c>
      <c r="AA181" s="357">
        <f>+Bono!J181</f>
        <v>195027.9138239465</v>
      </c>
      <c r="AC181" s="378">
        <f t="shared" si="49"/>
        <v>13.166666666666666</v>
      </c>
      <c r="AD181" s="356">
        <f t="shared" si="50"/>
        <v>2870997.4039909034</v>
      </c>
    </row>
    <row r="182" spans="2:30" x14ac:dyDescent="0.25">
      <c r="B182" s="356">
        <f t="shared" si="51"/>
        <v>159</v>
      </c>
      <c r="C182" s="357">
        <f t="shared" si="56"/>
        <v>13</v>
      </c>
      <c r="D182" s="357">
        <f t="shared" si="57"/>
        <v>3</v>
      </c>
      <c r="E182" s="357">
        <f t="shared" si="58"/>
        <v>42</v>
      </c>
      <c r="F182" s="356">
        <f t="shared" si="52"/>
        <v>323962.68726734276</v>
      </c>
      <c r="H182" s="356">
        <f t="shared" si="45"/>
        <v>2583.3239619948245</v>
      </c>
      <c r="I182" s="356">
        <v>0</v>
      </c>
      <c r="J182" s="360">
        <f>-SUM(F182:H182)*$J$21</f>
        <v>-2938.9141010640387</v>
      </c>
      <c r="K182" s="356">
        <f t="shared" si="53"/>
        <v>-323.60709712827355</v>
      </c>
      <c r="L182" s="356">
        <f t="shared" si="46"/>
        <v>323283.4900311453</v>
      </c>
      <c r="N182" s="356">
        <f t="shared" si="54"/>
        <v>159</v>
      </c>
      <c r="O182" s="357">
        <f t="shared" si="59"/>
        <v>13</v>
      </c>
      <c r="P182" s="357">
        <f t="shared" si="60"/>
        <v>3</v>
      </c>
      <c r="Q182" s="357">
        <f t="shared" si="61"/>
        <v>13</v>
      </c>
      <c r="R182" s="356">
        <f t="shared" si="55"/>
        <v>2352006.8028996144</v>
      </c>
      <c r="S182" s="356">
        <f>IF($G$4="mensual",S181,0)</f>
        <v>10000</v>
      </c>
      <c r="U182" s="356">
        <f t="shared" si="62"/>
        <v>18834.97394034754</v>
      </c>
      <c r="V182" s="356">
        <f t="shared" si="44"/>
        <v>-126.87860125705164</v>
      </c>
      <c r="X182" s="356">
        <f t="shared" si="47"/>
        <v>-2380.8417768399618</v>
      </c>
      <c r="Y182" s="356">
        <f t="shared" si="48"/>
        <v>2378334.0564618646</v>
      </c>
      <c r="AA182" s="357">
        <f>+Bono!J182</f>
        <v>194469.20762400184</v>
      </c>
      <c r="AC182" s="378">
        <f t="shared" si="49"/>
        <v>13.25</v>
      </c>
      <c r="AD182" s="356">
        <f t="shared" si="50"/>
        <v>2896086.754117012</v>
      </c>
    </row>
    <row r="183" spans="2:30" x14ac:dyDescent="0.25">
      <c r="B183" s="356">
        <f t="shared" si="51"/>
        <v>160</v>
      </c>
      <c r="C183" s="357">
        <f t="shared" si="56"/>
        <v>13</v>
      </c>
      <c r="D183" s="357">
        <f t="shared" si="57"/>
        <v>4</v>
      </c>
      <c r="E183" s="357">
        <f t="shared" si="58"/>
        <v>42</v>
      </c>
      <c r="F183" s="356">
        <f t="shared" si="52"/>
        <v>323283.4900311453</v>
      </c>
      <c r="H183" s="356">
        <f t="shared" si="45"/>
        <v>2577.9079478544627</v>
      </c>
      <c r="I183" s="356">
        <v>0</v>
      </c>
      <c r="J183" s="356">
        <v>0</v>
      </c>
      <c r="K183" s="356">
        <f t="shared" si="53"/>
        <v>-325.8613979789998</v>
      </c>
      <c r="L183" s="356">
        <f t="shared" si="46"/>
        <v>325535.53658102074</v>
      </c>
      <c r="N183" s="356">
        <f t="shared" si="54"/>
        <v>160</v>
      </c>
      <c r="O183" s="357">
        <f t="shared" si="59"/>
        <v>13</v>
      </c>
      <c r="P183" s="357">
        <f t="shared" si="60"/>
        <v>4</v>
      </c>
      <c r="Q183" s="357">
        <f t="shared" si="61"/>
        <v>13</v>
      </c>
      <c r="R183" s="356">
        <f t="shared" si="55"/>
        <v>2378334.0564618646</v>
      </c>
      <c r="S183" s="356">
        <f>IF($G$4="mensual",S180,IF($G$4="trimestral",S180,0))</f>
        <v>10000</v>
      </c>
      <c r="U183" s="356">
        <f t="shared" si="62"/>
        <v>19044.91115736028</v>
      </c>
      <c r="V183" s="356">
        <f t="shared" si="44"/>
        <v>-126.87860125705164</v>
      </c>
      <c r="X183" s="356">
        <f t="shared" si="47"/>
        <v>-2407.378967619225</v>
      </c>
      <c r="Y183" s="356">
        <f t="shared" si="48"/>
        <v>2404844.7100503487</v>
      </c>
      <c r="AA183" s="357">
        <f>+Bono!J183</f>
        <v>195674.93926830258</v>
      </c>
      <c r="AC183" s="378">
        <f t="shared" si="49"/>
        <v>13.333333333333334</v>
      </c>
      <c r="AD183" s="356">
        <f t="shared" si="50"/>
        <v>2926055.185899672</v>
      </c>
    </row>
    <row r="184" spans="2:30" x14ac:dyDescent="0.25">
      <c r="B184" s="356">
        <f t="shared" si="51"/>
        <v>161</v>
      </c>
      <c r="C184" s="357">
        <f t="shared" si="56"/>
        <v>13</v>
      </c>
      <c r="D184" s="357">
        <f t="shared" si="57"/>
        <v>5</v>
      </c>
      <c r="E184" s="357">
        <f t="shared" si="58"/>
        <v>42</v>
      </c>
      <c r="F184" s="356">
        <f t="shared" si="52"/>
        <v>325535.53658102074</v>
      </c>
      <c r="H184" s="356">
        <f t="shared" si="45"/>
        <v>2595.866083295598</v>
      </c>
      <c r="I184" s="356">
        <v>0</v>
      </c>
      <c r="J184" s="356">
        <v>0</v>
      </c>
      <c r="K184" s="356">
        <f t="shared" si="53"/>
        <v>-328.13140266431634</v>
      </c>
      <c r="L184" s="356">
        <f t="shared" si="46"/>
        <v>327803.27126165206</v>
      </c>
      <c r="N184" s="356">
        <f t="shared" si="54"/>
        <v>161</v>
      </c>
      <c r="O184" s="357">
        <f t="shared" si="59"/>
        <v>13</v>
      </c>
      <c r="P184" s="357">
        <f t="shared" si="60"/>
        <v>5</v>
      </c>
      <c r="Q184" s="357">
        <f t="shared" si="61"/>
        <v>13</v>
      </c>
      <c r="R184" s="356">
        <f t="shared" si="55"/>
        <v>2404844.7100503487</v>
      </c>
      <c r="S184" s="356">
        <f>IF($G$4="mensual",S183,0)</f>
        <v>10000</v>
      </c>
      <c r="U184" s="356">
        <f t="shared" si="62"/>
        <v>19256.310831936873</v>
      </c>
      <c r="V184" s="356">
        <f t="shared" si="44"/>
        <v>-126.87860125705164</v>
      </c>
      <c r="X184" s="356">
        <f t="shared" si="47"/>
        <v>-2434.101020882286</v>
      </c>
      <c r="Y184" s="356">
        <f t="shared" si="48"/>
        <v>2431540.041260146</v>
      </c>
      <c r="AA184" s="357">
        <f>+Bono!J184</f>
        <v>196888.14658865417</v>
      </c>
      <c r="AC184" s="378">
        <f t="shared" si="49"/>
        <v>13.416666666666666</v>
      </c>
      <c r="AD184" s="356">
        <f t="shared" si="50"/>
        <v>2956231.4591104523</v>
      </c>
    </row>
    <row r="185" spans="2:30" x14ac:dyDescent="0.25">
      <c r="B185" s="356">
        <f t="shared" si="51"/>
        <v>162</v>
      </c>
      <c r="C185" s="357">
        <f t="shared" si="56"/>
        <v>13</v>
      </c>
      <c r="D185" s="357">
        <f t="shared" si="57"/>
        <v>6</v>
      </c>
      <c r="E185" s="357">
        <f t="shared" si="58"/>
        <v>42</v>
      </c>
      <c r="F185" s="356">
        <f t="shared" si="52"/>
        <v>327803.27126165206</v>
      </c>
      <c r="H185" s="356">
        <f t="shared" si="45"/>
        <v>2613.9493180944473</v>
      </c>
      <c r="I185" s="356">
        <v>0</v>
      </c>
      <c r="J185" s="360">
        <f>-SUM(F185:H185)*$J$21</f>
        <v>-2973.754985217719</v>
      </c>
      <c r="K185" s="356">
        <f t="shared" si="53"/>
        <v>-327.44346559452885</v>
      </c>
      <c r="L185" s="356">
        <f t="shared" si="46"/>
        <v>327116.0221289343</v>
      </c>
      <c r="N185" s="356">
        <f t="shared" si="54"/>
        <v>162</v>
      </c>
      <c r="O185" s="357">
        <f t="shared" si="59"/>
        <v>13</v>
      </c>
      <c r="P185" s="357">
        <f t="shared" si="60"/>
        <v>6</v>
      </c>
      <c r="Q185" s="357">
        <f t="shared" si="61"/>
        <v>13</v>
      </c>
      <c r="R185" s="356">
        <f t="shared" si="55"/>
        <v>2431540.041260146</v>
      </c>
      <c r="S185" s="356">
        <f>IF($G$4="mensual",S184,0)</f>
        <v>10000</v>
      </c>
      <c r="U185" s="356">
        <f t="shared" si="62"/>
        <v>19469.183151799894</v>
      </c>
      <c r="V185" s="356">
        <f t="shared" si="44"/>
        <v>-126.87860125705164</v>
      </c>
      <c r="X185" s="356">
        <f t="shared" si="47"/>
        <v>-2461.009224411946</v>
      </c>
      <c r="Y185" s="356">
        <f t="shared" si="48"/>
        <v>2458421.3365862765</v>
      </c>
      <c r="AA185" s="357">
        <f>+Bono!J185</f>
        <v>196324.11128705117</v>
      </c>
      <c r="AC185" s="378">
        <f t="shared" si="49"/>
        <v>13.5</v>
      </c>
      <c r="AD185" s="356">
        <f t="shared" si="50"/>
        <v>2981861.470002262</v>
      </c>
    </row>
    <row r="186" spans="2:30" x14ac:dyDescent="0.25">
      <c r="B186" s="356">
        <f t="shared" si="51"/>
        <v>163</v>
      </c>
      <c r="C186" s="357">
        <f t="shared" si="56"/>
        <v>13</v>
      </c>
      <c r="D186" s="357">
        <f t="shared" si="57"/>
        <v>7</v>
      </c>
      <c r="E186" s="357">
        <f t="shared" si="58"/>
        <v>42</v>
      </c>
      <c r="F186" s="356">
        <f t="shared" si="52"/>
        <v>327116.0221289343</v>
      </c>
      <c r="H186" s="356">
        <f t="shared" si="45"/>
        <v>2608.469097000513</v>
      </c>
      <c r="I186" s="356">
        <v>0</v>
      </c>
      <c r="J186" s="356">
        <v>0</v>
      </c>
      <c r="K186" s="356">
        <f t="shared" si="53"/>
        <v>-329.72449122593474</v>
      </c>
      <c r="L186" s="356">
        <f t="shared" si="46"/>
        <v>329394.7667347088</v>
      </c>
      <c r="N186" s="356">
        <f t="shared" si="54"/>
        <v>163</v>
      </c>
      <c r="O186" s="357">
        <f t="shared" si="59"/>
        <v>13</v>
      </c>
      <c r="P186" s="357">
        <f t="shared" si="60"/>
        <v>7</v>
      </c>
      <c r="Q186" s="357">
        <f t="shared" si="61"/>
        <v>13</v>
      </c>
      <c r="R186" s="356">
        <f t="shared" si="55"/>
        <v>2458421.3365862765</v>
      </c>
      <c r="S186" s="356">
        <f>+IF($G$4="mensual",S180,IF($G$4="trimestral",S180,IF($G$4="semestral",S180,0)))</f>
        <v>10000</v>
      </c>
      <c r="U186" s="356">
        <f t="shared" si="62"/>
        <v>19683.538375641296</v>
      </c>
      <c r="V186" s="356">
        <f t="shared" si="44"/>
        <v>-126.87860125705164</v>
      </c>
      <c r="X186" s="356">
        <f t="shared" si="47"/>
        <v>-2488.1048749619176</v>
      </c>
      <c r="Y186" s="356">
        <f t="shared" si="48"/>
        <v>2485489.8914856985</v>
      </c>
      <c r="AA186" s="357">
        <f>+Bono!J186</f>
        <v>197541.3435492183</v>
      </c>
      <c r="AC186" s="378">
        <f t="shared" si="49"/>
        <v>13.583333333333334</v>
      </c>
      <c r="AD186" s="356">
        <f t="shared" si="50"/>
        <v>3012426.0017696256</v>
      </c>
    </row>
    <row r="187" spans="2:30" x14ac:dyDescent="0.25">
      <c r="B187" s="356">
        <f t="shared" si="51"/>
        <v>164</v>
      </c>
      <c r="C187" s="357">
        <f t="shared" si="56"/>
        <v>13</v>
      </c>
      <c r="D187" s="357">
        <f t="shared" si="57"/>
        <v>8</v>
      </c>
      <c r="E187" s="357">
        <f t="shared" si="58"/>
        <v>42</v>
      </c>
      <c r="F187" s="356">
        <f t="shared" si="52"/>
        <v>329394.7667347088</v>
      </c>
      <c r="H187" s="356">
        <f t="shared" si="45"/>
        <v>2626.6401264885662</v>
      </c>
      <c r="I187" s="356">
        <v>0</v>
      </c>
      <c r="J187" s="356">
        <v>0</v>
      </c>
      <c r="K187" s="356">
        <f t="shared" si="53"/>
        <v>-332.02140686119736</v>
      </c>
      <c r="L187" s="356">
        <f t="shared" si="46"/>
        <v>331689.3854543362</v>
      </c>
      <c r="N187" s="356">
        <f t="shared" si="54"/>
        <v>164</v>
      </c>
      <c r="O187" s="357">
        <f t="shared" si="59"/>
        <v>13</v>
      </c>
      <c r="P187" s="357">
        <f t="shared" si="60"/>
        <v>8</v>
      </c>
      <c r="Q187" s="357">
        <f t="shared" si="61"/>
        <v>13</v>
      </c>
      <c r="R187" s="356">
        <f t="shared" si="55"/>
        <v>2485489.8914856985</v>
      </c>
      <c r="S187" s="356">
        <f>IF($G$4="mensual",S186,0)</f>
        <v>10000</v>
      </c>
      <c r="U187" s="356">
        <f t="shared" si="62"/>
        <v>19899.386833616776</v>
      </c>
      <c r="V187" s="356">
        <f t="shared" si="44"/>
        <v>-126.87860125705164</v>
      </c>
      <c r="X187" s="356">
        <f t="shared" si="47"/>
        <v>-2515.3892783193155</v>
      </c>
      <c r="Y187" s="356">
        <f t="shared" si="48"/>
        <v>2512747.010439739</v>
      </c>
      <c r="AA187" s="357">
        <f>+Bono!J187</f>
        <v>198766.1227926011</v>
      </c>
      <c r="AC187" s="378">
        <f t="shared" si="49"/>
        <v>13.666666666666666</v>
      </c>
      <c r="AD187" s="356">
        <f t="shared" si="50"/>
        <v>3043202.5186866764</v>
      </c>
    </row>
    <row r="188" spans="2:30" x14ac:dyDescent="0.25">
      <c r="B188" s="356">
        <f t="shared" si="51"/>
        <v>165</v>
      </c>
      <c r="C188" s="357">
        <f t="shared" si="56"/>
        <v>13</v>
      </c>
      <c r="D188" s="357">
        <f t="shared" si="57"/>
        <v>9</v>
      </c>
      <c r="E188" s="357">
        <f t="shared" si="58"/>
        <v>42</v>
      </c>
      <c r="F188" s="356">
        <f t="shared" si="52"/>
        <v>331689.3854543362</v>
      </c>
      <c r="H188" s="356">
        <f t="shared" si="45"/>
        <v>2644.9377383896663</v>
      </c>
      <c r="I188" s="356">
        <v>0</v>
      </c>
      <c r="J188" s="360">
        <f>-SUM(F188:H188)*$J$21</f>
        <v>-3009.0089087345327</v>
      </c>
      <c r="K188" s="356">
        <f t="shared" si="53"/>
        <v>-331.3253142839913</v>
      </c>
      <c r="L188" s="356">
        <f t="shared" si="46"/>
        <v>330993.9889697073</v>
      </c>
      <c r="N188" s="356">
        <f t="shared" si="54"/>
        <v>165</v>
      </c>
      <c r="O188" s="357">
        <f t="shared" si="59"/>
        <v>13</v>
      </c>
      <c r="P188" s="357">
        <f t="shared" si="60"/>
        <v>9</v>
      </c>
      <c r="Q188" s="357">
        <f t="shared" si="61"/>
        <v>13</v>
      </c>
      <c r="R188" s="356">
        <f t="shared" si="55"/>
        <v>2512747.010439739</v>
      </c>
      <c r="S188" s="356">
        <f>IF($G$4="mensual",S187,0)</f>
        <v>10000</v>
      </c>
      <c r="U188" s="356">
        <f t="shared" si="62"/>
        <v>20116.73892784363</v>
      </c>
      <c r="V188" s="356">
        <f t="shared" si="44"/>
        <v>-126.87860125705164</v>
      </c>
      <c r="X188" s="356">
        <f t="shared" si="47"/>
        <v>-2542.863749367583</v>
      </c>
      <c r="Y188" s="356">
        <f t="shared" si="48"/>
        <v>2540194.0070169577</v>
      </c>
      <c r="AA188" s="357">
        <f>+Bono!J188</f>
        <v>198196.70755882366</v>
      </c>
      <c r="AC188" s="378">
        <f t="shared" si="49"/>
        <v>13.75</v>
      </c>
      <c r="AD188" s="356">
        <f t="shared" si="50"/>
        <v>3069384.703545489</v>
      </c>
    </row>
    <row r="189" spans="2:30" x14ac:dyDescent="0.25">
      <c r="B189" s="356">
        <f t="shared" si="51"/>
        <v>166</v>
      </c>
      <c r="C189" s="357">
        <f t="shared" si="56"/>
        <v>13</v>
      </c>
      <c r="D189" s="357">
        <f t="shared" si="57"/>
        <v>10</v>
      </c>
      <c r="E189" s="357">
        <f t="shared" si="58"/>
        <v>42</v>
      </c>
      <c r="F189" s="356">
        <f t="shared" si="52"/>
        <v>330993.9889697073</v>
      </c>
      <c r="H189" s="356">
        <f t="shared" si="45"/>
        <v>2639.3925491674695</v>
      </c>
      <c r="I189" s="356">
        <v>0</v>
      </c>
      <c r="J189" s="356">
        <v>0</v>
      </c>
      <c r="K189" s="356">
        <f t="shared" si="53"/>
        <v>-333.6333815188747</v>
      </c>
      <c r="L189" s="356">
        <f t="shared" si="46"/>
        <v>333299.74813735584</v>
      </c>
      <c r="N189" s="356">
        <f t="shared" si="54"/>
        <v>166</v>
      </c>
      <c r="O189" s="357">
        <f t="shared" si="59"/>
        <v>13</v>
      </c>
      <c r="P189" s="357">
        <f t="shared" si="60"/>
        <v>10</v>
      </c>
      <c r="Q189" s="357">
        <f t="shared" si="61"/>
        <v>13</v>
      </c>
      <c r="R189" s="356">
        <f t="shared" si="55"/>
        <v>2540194.0070169577</v>
      </c>
      <c r="S189" s="356">
        <f>IF($G$4="mensual",S180,IF($G$4="trimestral",S180,0))</f>
        <v>10000</v>
      </c>
      <c r="U189" s="356">
        <f t="shared" si="62"/>
        <v>20335.605132902012</v>
      </c>
      <c r="V189" s="356">
        <f t="shared" ref="V189:V251" si="63">V188</f>
        <v>-126.87860125705164</v>
      </c>
      <c r="X189" s="356">
        <f t="shared" si="47"/>
        <v>-2570.52961214986</v>
      </c>
      <c r="Y189" s="356">
        <f t="shared" si="48"/>
        <v>2567832.2039364525</v>
      </c>
      <c r="AA189" s="357">
        <f>+Bono!J189</f>
        <v>199425.55013508353</v>
      </c>
      <c r="AC189" s="378">
        <f t="shared" si="49"/>
        <v>13.833333333333334</v>
      </c>
      <c r="AD189" s="356">
        <f t="shared" si="50"/>
        <v>3100557.502208892</v>
      </c>
    </row>
    <row r="190" spans="2:30" x14ac:dyDescent="0.25">
      <c r="B190" s="356">
        <f t="shared" si="51"/>
        <v>167</v>
      </c>
      <c r="C190" s="357">
        <f t="shared" si="56"/>
        <v>13</v>
      </c>
      <c r="D190" s="357">
        <f t="shared" si="57"/>
        <v>11</v>
      </c>
      <c r="E190" s="357">
        <f t="shared" si="58"/>
        <v>42</v>
      </c>
      <c r="F190" s="356">
        <f t="shared" si="52"/>
        <v>333299.74813735584</v>
      </c>
      <c r="H190" s="356">
        <f t="shared" si="45"/>
        <v>2657.778996565531</v>
      </c>
      <c r="I190" s="356">
        <v>0</v>
      </c>
      <c r="J190" s="356">
        <v>0</v>
      </c>
      <c r="K190" s="356">
        <f t="shared" si="53"/>
        <v>-335.9575271339214</v>
      </c>
      <c r="L190" s="356">
        <f t="shared" si="46"/>
        <v>335621.56960678747</v>
      </c>
      <c r="N190" s="356">
        <f t="shared" si="54"/>
        <v>167</v>
      </c>
      <c r="O190" s="357">
        <f t="shared" si="59"/>
        <v>13</v>
      </c>
      <c r="P190" s="357">
        <f t="shared" si="60"/>
        <v>11</v>
      </c>
      <c r="Q190" s="357">
        <f t="shared" si="61"/>
        <v>13</v>
      </c>
      <c r="R190" s="356">
        <f t="shared" si="55"/>
        <v>2567832.2039364525</v>
      </c>
      <c r="S190" s="356">
        <f>IF($G$17="si",S178*(1+$G$20),S178)</f>
        <v>10000</v>
      </c>
      <c r="U190" s="356">
        <f t="shared" si="62"/>
        <v>20555.99599633976</v>
      </c>
      <c r="V190" s="356">
        <f t="shared" si="63"/>
        <v>-126.87860125705164</v>
      </c>
      <c r="X190" s="356">
        <f t="shared" si="47"/>
        <v>-2598.3881999327923</v>
      </c>
      <c r="Y190" s="356">
        <f t="shared" si="48"/>
        <v>2595662.933131602</v>
      </c>
      <c r="AA190" s="357">
        <f>+Bono!J190</f>
        <v>200662.0116778531</v>
      </c>
      <c r="AC190" s="378">
        <f t="shared" si="49"/>
        <v>13.916666666666666</v>
      </c>
      <c r="AD190" s="356">
        <f t="shared" si="50"/>
        <v>3131946.514416243</v>
      </c>
    </row>
    <row r="191" spans="2:30" x14ac:dyDescent="0.25">
      <c r="B191" s="356">
        <f t="shared" si="51"/>
        <v>168</v>
      </c>
      <c r="C191" s="357">
        <f t="shared" si="56"/>
        <v>13</v>
      </c>
      <c r="D191" s="357">
        <f t="shared" si="57"/>
        <v>12</v>
      </c>
      <c r="E191" s="357">
        <f t="shared" si="58"/>
        <v>42</v>
      </c>
      <c r="F191" s="356">
        <f t="shared" si="52"/>
        <v>335621.56960678747</v>
      </c>
      <c r="H191" s="356">
        <f t="shared" si="45"/>
        <v>2676.2935270136227</v>
      </c>
      <c r="I191" s="356">
        <v>0</v>
      </c>
      <c r="J191" s="360">
        <f>-SUM(F191:H191)*$J$21</f>
        <v>-3044.6807682042104</v>
      </c>
      <c r="K191" s="356">
        <f t="shared" si="53"/>
        <v>-335.2531823655969</v>
      </c>
      <c r="L191" s="356">
        <f t="shared" si="46"/>
        <v>334917.92918323126</v>
      </c>
      <c r="N191" s="356">
        <f t="shared" si="54"/>
        <v>168</v>
      </c>
      <c r="O191" s="357">
        <f t="shared" si="59"/>
        <v>13</v>
      </c>
      <c r="P191" s="357">
        <f t="shared" si="60"/>
        <v>12</v>
      </c>
      <c r="Q191" s="357">
        <f t="shared" si="61"/>
        <v>13</v>
      </c>
      <c r="R191" s="356">
        <f t="shared" si="55"/>
        <v>2595662.933131602</v>
      </c>
      <c r="S191" s="356">
        <f>IF($G$4="mensual",S190,0)</f>
        <v>10000</v>
      </c>
      <c r="U191" s="356">
        <f t="shared" si="62"/>
        <v>20777.922139180675</v>
      </c>
      <c r="V191" s="356">
        <f t="shared" si="63"/>
        <v>-126.87860125705164</v>
      </c>
      <c r="X191" s="356">
        <f t="shared" si="47"/>
        <v>-2626.4408552707832</v>
      </c>
      <c r="Y191" s="356">
        <f t="shared" si="48"/>
        <v>2623687.535814255</v>
      </c>
      <c r="AA191" s="357">
        <f>+Bono!J191</f>
        <v>200087.16519654897</v>
      </c>
      <c r="AC191" s="378">
        <f t="shared" si="49"/>
        <v>14</v>
      </c>
      <c r="AD191" s="356">
        <f t="shared" si="50"/>
        <v>3158692.6301940354</v>
      </c>
    </row>
    <row r="192" spans="2:30" x14ac:dyDescent="0.25">
      <c r="B192" s="356">
        <f t="shared" si="51"/>
        <v>169</v>
      </c>
      <c r="C192" s="357">
        <f t="shared" si="56"/>
        <v>14</v>
      </c>
      <c r="D192" s="357">
        <f t="shared" si="57"/>
        <v>1</v>
      </c>
      <c r="E192" s="357">
        <f t="shared" si="58"/>
        <v>43</v>
      </c>
      <c r="F192" s="356">
        <f t="shared" si="52"/>
        <v>334917.92918323126</v>
      </c>
      <c r="H192" s="356">
        <f t="shared" si="45"/>
        <v>2670.6825994647324</v>
      </c>
      <c r="I192" s="356">
        <v>0</v>
      </c>
      <c r="J192" s="356">
        <v>0</v>
      </c>
      <c r="K192" s="356">
        <f t="shared" si="53"/>
        <v>-337.588611782696</v>
      </c>
      <c r="L192" s="356">
        <f t="shared" si="46"/>
        <v>337251.0231709133</v>
      </c>
      <c r="N192" s="356">
        <f t="shared" si="54"/>
        <v>169</v>
      </c>
      <c r="O192" s="357">
        <f t="shared" si="59"/>
        <v>14</v>
      </c>
      <c r="P192" s="357">
        <f t="shared" si="60"/>
        <v>1</v>
      </c>
      <c r="Q192" s="357">
        <f t="shared" si="61"/>
        <v>14</v>
      </c>
      <c r="R192" s="356">
        <f t="shared" si="55"/>
        <v>2623687.535814255</v>
      </c>
      <c r="S192" s="356">
        <f>IF($G$17="si",S180*(1+$G$20),S180)</f>
        <v>10000</v>
      </c>
      <c r="U192" s="356">
        <f t="shared" si="62"/>
        <v>21001.394256436382</v>
      </c>
      <c r="V192" s="356">
        <f>V191*(1+$G$18)</f>
        <v>-131.95374530733372</v>
      </c>
      <c r="X192" s="356">
        <f t="shared" si="47"/>
        <v>-2654.688930070691</v>
      </c>
      <c r="Y192" s="356">
        <f t="shared" si="48"/>
        <v>2651902.2873953134</v>
      </c>
      <c r="AA192" s="357">
        <f>+Bono!J192</f>
        <v>201327.72882944223</v>
      </c>
      <c r="AC192" s="378">
        <f t="shared" si="49"/>
        <v>14.083333333333334</v>
      </c>
      <c r="AD192" s="356">
        <f t="shared" si="50"/>
        <v>3190481.0393956685</v>
      </c>
    </row>
    <row r="193" spans="2:30" x14ac:dyDescent="0.25">
      <c r="B193" s="356">
        <f t="shared" si="51"/>
        <v>170</v>
      </c>
      <c r="C193" s="357">
        <f t="shared" si="56"/>
        <v>14</v>
      </c>
      <c r="D193" s="357">
        <f t="shared" si="57"/>
        <v>2</v>
      </c>
      <c r="E193" s="357">
        <f t="shared" si="58"/>
        <v>43</v>
      </c>
      <c r="F193" s="356">
        <f t="shared" si="52"/>
        <v>337251.0231709133</v>
      </c>
      <c r="H193" s="356">
        <f t="shared" si="45"/>
        <v>2689.2870185563397</v>
      </c>
      <c r="I193" s="356">
        <v>0</v>
      </c>
      <c r="J193" s="356">
        <v>0</v>
      </c>
      <c r="K193" s="356">
        <f t="shared" si="53"/>
        <v>-339.9403101894696</v>
      </c>
      <c r="L193" s="356">
        <f t="shared" si="46"/>
        <v>339600.36987928016</v>
      </c>
      <c r="N193" s="356">
        <f t="shared" si="54"/>
        <v>170</v>
      </c>
      <c r="O193" s="357">
        <f t="shared" si="59"/>
        <v>14</v>
      </c>
      <c r="P193" s="357">
        <f t="shared" si="60"/>
        <v>2</v>
      </c>
      <c r="Q193" s="357">
        <f t="shared" si="61"/>
        <v>14</v>
      </c>
      <c r="R193" s="356">
        <f t="shared" si="55"/>
        <v>2651902.2873953134</v>
      </c>
      <c r="S193" s="356">
        <f>IF($G$4="mensual",S192,0)</f>
        <v>10000</v>
      </c>
      <c r="U193" s="356">
        <f t="shared" si="62"/>
        <v>21226.382647710376</v>
      </c>
      <c r="V193" s="356">
        <f>V192</f>
        <v>-131.95374530733372</v>
      </c>
      <c r="X193" s="356">
        <f t="shared" si="47"/>
        <v>-2683.1286700430237</v>
      </c>
      <c r="Y193" s="356">
        <f t="shared" si="48"/>
        <v>2680313.5876276735</v>
      </c>
      <c r="AA193" s="357">
        <f>+Bono!J193</f>
        <v>202575.9841007559</v>
      </c>
      <c r="AC193" s="378">
        <f t="shared" si="49"/>
        <v>14.166666666666666</v>
      </c>
      <c r="AD193" s="356">
        <f t="shared" si="50"/>
        <v>3222489.9416077095</v>
      </c>
    </row>
    <row r="194" spans="2:30" x14ac:dyDescent="0.25">
      <c r="B194" s="356">
        <f t="shared" si="51"/>
        <v>171</v>
      </c>
      <c r="C194" s="357">
        <f t="shared" si="56"/>
        <v>14</v>
      </c>
      <c r="D194" s="357">
        <f t="shared" si="57"/>
        <v>3</v>
      </c>
      <c r="E194" s="357">
        <f t="shared" si="58"/>
        <v>43</v>
      </c>
      <c r="F194" s="356">
        <f t="shared" si="52"/>
        <v>339600.36987928016</v>
      </c>
      <c r="H194" s="356">
        <f t="shared" si="45"/>
        <v>2708.0210391250403</v>
      </c>
      <c r="I194" s="356">
        <v>0</v>
      </c>
      <c r="J194" s="360">
        <f>-SUM(F194:H194)*$J$21</f>
        <v>-3080.7755182656474</v>
      </c>
      <c r="K194" s="356">
        <f t="shared" si="53"/>
        <v>-339.22761540013954</v>
      </c>
      <c r="L194" s="356">
        <f t="shared" si="46"/>
        <v>338888.3877847394</v>
      </c>
      <c r="N194" s="356">
        <f t="shared" si="54"/>
        <v>171</v>
      </c>
      <c r="O194" s="357">
        <f t="shared" si="59"/>
        <v>14</v>
      </c>
      <c r="P194" s="357">
        <f t="shared" si="60"/>
        <v>3</v>
      </c>
      <c r="Q194" s="357">
        <f t="shared" si="61"/>
        <v>14</v>
      </c>
      <c r="R194" s="356">
        <f t="shared" si="55"/>
        <v>2680313.5876276735</v>
      </c>
      <c r="S194" s="356">
        <f>IF($G$4="mensual",S193,0)</f>
        <v>10000</v>
      </c>
      <c r="U194" s="356">
        <f t="shared" si="62"/>
        <v>21452.93834553096</v>
      </c>
      <c r="V194" s="356">
        <f t="shared" si="63"/>
        <v>-131.95374530733372</v>
      </c>
      <c r="X194" s="356">
        <f t="shared" si="47"/>
        <v>-2711.766525973205</v>
      </c>
      <c r="Y194" s="356">
        <f t="shared" si="48"/>
        <v>2708922.805701924</v>
      </c>
      <c r="AA194" s="357">
        <f>+Bono!J194</f>
        <v>201995.65456711204</v>
      </c>
      <c r="AC194" s="378">
        <f t="shared" si="49"/>
        <v>14.25</v>
      </c>
      <c r="AD194" s="356">
        <f t="shared" si="50"/>
        <v>3249806.8480537757</v>
      </c>
    </row>
    <row r="195" spans="2:30" x14ac:dyDescent="0.25">
      <c r="B195" s="356">
        <f t="shared" si="51"/>
        <v>172</v>
      </c>
      <c r="C195" s="357">
        <f t="shared" si="56"/>
        <v>14</v>
      </c>
      <c r="D195" s="357">
        <f t="shared" si="57"/>
        <v>4</v>
      </c>
      <c r="E195" s="357">
        <f t="shared" si="58"/>
        <v>43</v>
      </c>
      <c r="F195" s="356">
        <f t="shared" si="52"/>
        <v>338888.3877847394</v>
      </c>
      <c r="H195" s="356">
        <f t="shared" si="45"/>
        <v>2702.343593920307</v>
      </c>
      <c r="I195" s="356">
        <v>0</v>
      </c>
      <c r="J195" s="356">
        <v>0</v>
      </c>
      <c r="K195" s="356">
        <f t="shared" si="53"/>
        <v>-341.59073137865965</v>
      </c>
      <c r="L195" s="356">
        <f t="shared" si="46"/>
        <v>341249.140647281</v>
      </c>
      <c r="N195" s="356">
        <f t="shared" si="54"/>
        <v>172</v>
      </c>
      <c r="O195" s="357">
        <f t="shared" si="59"/>
        <v>14</v>
      </c>
      <c r="P195" s="357">
        <f t="shared" si="60"/>
        <v>4</v>
      </c>
      <c r="Q195" s="357">
        <f t="shared" si="61"/>
        <v>14</v>
      </c>
      <c r="R195" s="356">
        <f t="shared" si="55"/>
        <v>2708922.805701924</v>
      </c>
      <c r="S195" s="356">
        <f>IF($G$4="mensual",S192,IF($G$4="trimestral",S192,0))</f>
        <v>10000</v>
      </c>
      <c r="U195" s="356">
        <f t="shared" si="62"/>
        <v>21681.072268016167</v>
      </c>
      <c r="V195" s="356">
        <f t="shared" si="63"/>
        <v>-131.95374530733372</v>
      </c>
      <c r="X195" s="356">
        <f t="shared" si="47"/>
        <v>-2740.60387796994</v>
      </c>
      <c r="Y195" s="356">
        <f t="shared" si="48"/>
        <v>2737731.320346663</v>
      </c>
      <c r="AA195" s="357">
        <f>+Bono!J195</f>
        <v>203248.05105547386</v>
      </c>
      <c r="AC195" s="378">
        <f t="shared" si="49"/>
        <v>14.333333333333334</v>
      </c>
      <c r="AD195" s="356">
        <f t="shared" si="50"/>
        <v>3282228.5120494175</v>
      </c>
    </row>
    <row r="196" spans="2:30" x14ac:dyDescent="0.25">
      <c r="B196" s="356">
        <f t="shared" si="51"/>
        <v>173</v>
      </c>
      <c r="C196" s="357">
        <f t="shared" si="56"/>
        <v>14</v>
      </c>
      <c r="D196" s="357">
        <f t="shared" si="57"/>
        <v>5</v>
      </c>
      <c r="E196" s="357">
        <f t="shared" si="58"/>
        <v>43</v>
      </c>
      <c r="F196" s="356">
        <f t="shared" si="52"/>
        <v>341249.140647281</v>
      </c>
      <c r="H196" s="356">
        <f t="shared" si="45"/>
        <v>2721.1685687641507</v>
      </c>
      <c r="I196" s="356">
        <v>0</v>
      </c>
      <c r="J196" s="356">
        <v>0</v>
      </c>
      <c r="K196" s="356">
        <f t="shared" si="53"/>
        <v>-343.9703092160452</v>
      </c>
      <c r="L196" s="356">
        <f t="shared" si="46"/>
        <v>343626.3389068291</v>
      </c>
      <c r="N196" s="356">
        <f t="shared" si="54"/>
        <v>173</v>
      </c>
      <c r="O196" s="357">
        <f t="shared" si="59"/>
        <v>14</v>
      </c>
      <c r="P196" s="357">
        <f t="shared" si="60"/>
        <v>5</v>
      </c>
      <c r="Q196" s="357">
        <f t="shared" si="61"/>
        <v>14</v>
      </c>
      <c r="R196" s="356">
        <f t="shared" si="55"/>
        <v>2737731.320346663</v>
      </c>
      <c r="S196" s="356">
        <f>IF($G$4="mensual",S195,0)</f>
        <v>10000</v>
      </c>
      <c r="U196" s="356">
        <f t="shared" si="62"/>
        <v>21910.795409341445</v>
      </c>
      <c r="V196" s="356">
        <f t="shared" si="63"/>
        <v>-131.95374530733372</v>
      </c>
      <c r="X196" s="356">
        <f t="shared" si="47"/>
        <v>-2769.6421157560044</v>
      </c>
      <c r="Y196" s="356">
        <f t="shared" si="48"/>
        <v>2766740.519894941</v>
      </c>
      <c r="AA196" s="357">
        <f>+Bono!J196</f>
        <v>204508.2125473325</v>
      </c>
      <c r="AC196" s="378">
        <f t="shared" si="49"/>
        <v>14.416666666666666</v>
      </c>
      <c r="AD196" s="356">
        <f t="shared" si="50"/>
        <v>3314875.0713491025</v>
      </c>
    </row>
    <row r="197" spans="2:30" x14ac:dyDescent="0.25">
      <c r="B197" s="356">
        <f t="shared" si="51"/>
        <v>174</v>
      </c>
      <c r="C197" s="357">
        <f t="shared" si="56"/>
        <v>14</v>
      </c>
      <c r="D197" s="357">
        <f t="shared" si="57"/>
        <v>6</v>
      </c>
      <c r="E197" s="357">
        <f t="shared" si="58"/>
        <v>43</v>
      </c>
      <c r="F197" s="356">
        <f t="shared" si="52"/>
        <v>343626.3389068291</v>
      </c>
      <c r="H197" s="356">
        <f t="shared" si="45"/>
        <v>2740.1246815131326</v>
      </c>
      <c r="I197" s="356">
        <v>0</v>
      </c>
      <c r="J197" s="360">
        <f>-SUM(F197:H197)*$J$21</f>
        <v>-3117.2981722950803</v>
      </c>
      <c r="K197" s="356">
        <f t="shared" si="53"/>
        <v>-343.24916541604716</v>
      </c>
      <c r="L197" s="356">
        <f t="shared" si="46"/>
        <v>342905.9162506311</v>
      </c>
      <c r="N197" s="356">
        <f t="shared" si="54"/>
        <v>174</v>
      </c>
      <c r="O197" s="357">
        <f t="shared" si="59"/>
        <v>14</v>
      </c>
      <c r="P197" s="357">
        <f t="shared" si="60"/>
        <v>6</v>
      </c>
      <c r="Q197" s="357">
        <f t="shared" si="61"/>
        <v>14</v>
      </c>
      <c r="R197" s="356">
        <f t="shared" si="55"/>
        <v>2766740.519894941</v>
      </c>
      <c r="S197" s="356">
        <f>IF($G$4="mensual",S196,0)</f>
        <v>10000</v>
      </c>
      <c r="U197" s="356">
        <f t="shared" si="62"/>
        <v>22142.118840269504</v>
      </c>
      <c r="V197" s="356">
        <f t="shared" si="63"/>
        <v>-131.95374530733372</v>
      </c>
      <c r="X197" s="356">
        <f t="shared" si="47"/>
        <v>-2798.88263873521</v>
      </c>
      <c r="Y197" s="356">
        <f t="shared" si="48"/>
        <v>2795951.8023511674</v>
      </c>
      <c r="AA197" s="357">
        <f>+Bono!J197</f>
        <v>203922.34766240668</v>
      </c>
      <c r="AC197" s="378">
        <f t="shared" si="49"/>
        <v>14.5</v>
      </c>
      <c r="AD197" s="356">
        <f t="shared" si="50"/>
        <v>3342780.066264205</v>
      </c>
    </row>
    <row r="198" spans="2:30" x14ac:dyDescent="0.25">
      <c r="B198" s="356">
        <f t="shared" si="51"/>
        <v>175</v>
      </c>
      <c r="C198" s="357">
        <f t="shared" si="56"/>
        <v>14</v>
      </c>
      <c r="D198" s="357">
        <f t="shared" si="57"/>
        <v>7</v>
      </c>
      <c r="E198" s="357">
        <f t="shared" si="58"/>
        <v>43</v>
      </c>
      <c r="F198" s="356">
        <f t="shared" si="52"/>
        <v>342905.9162506311</v>
      </c>
      <c r="H198" s="356">
        <f t="shared" si="45"/>
        <v>2734.3799300844457</v>
      </c>
      <c r="I198" s="356">
        <v>0</v>
      </c>
      <c r="J198" s="356">
        <v>0</v>
      </c>
      <c r="K198" s="356">
        <f t="shared" si="53"/>
        <v>-345.64029618071555</v>
      </c>
      <c r="L198" s="356">
        <f t="shared" si="46"/>
        <v>345294.6558845348</v>
      </c>
      <c r="N198" s="356">
        <f t="shared" si="54"/>
        <v>175</v>
      </c>
      <c r="O198" s="357">
        <f t="shared" si="59"/>
        <v>14</v>
      </c>
      <c r="P198" s="357">
        <f t="shared" si="60"/>
        <v>7</v>
      </c>
      <c r="Q198" s="357">
        <f t="shared" si="61"/>
        <v>14</v>
      </c>
      <c r="R198" s="356">
        <f t="shared" si="55"/>
        <v>2795951.8023511674</v>
      </c>
      <c r="S198" s="356">
        <f>+IF($G$4="mensual",S192,IF($G$4="trimestral",S192,IF($G$4="semestral",S192,0)))</f>
        <v>10000</v>
      </c>
      <c r="U198" s="356">
        <f t="shared" si="62"/>
        <v>22375.05370868383</v>
      </c>
      <c r="V198" s="356">
        <f t="shared" si="63"/>
        <v>-131.95374530733372</v>
      </c>
      <c r="X198" s="356">
        <f t="shared" si="47"/>
        <v>-2828.3268560598513</v>
      </c>
      <c r="Y198" s="356">
        <f t="shared" si="48"/>
        <v>2825366.575458484</v>
      </c>
      <c r="AA198" s="357">
        <f>+Bono!J198</f>
        <v>205186.6898714419</v>
      </c>
      <c r="AC198" s="378">
        <f t="shared" si="49"/>
        <v>14.583333333333334</v>
      </c>
      <c r="AD198" s="356">
        <f t="shared" si="50"/>
        <v>3375847.9212144604</v>
      </c>
    </row>
    <row r="199" spans="2:30" x14ac:dyDescent="0.25">
      <c r="B199" s="356">
        <f t="shared" si="51"/>
        <v>176</v>
      </c>
      <c r="C199" s="357">
        <f t="shared" si="56"/>
        <v>14</v>
      </c>
      <c r="D199" s="357">
        <f t="shared" si="57"/>
        <v>8</v>
      </c>
      <c r="E199" s="357">
        <f t="shared" si="58"/>
        <v>43</v>
      </c>
      <c r="F199" s="356">
        <f t="shared" si="52"/>
        <v>345294.6558845348</v>
      </c>
      <c r="H199" s="356">
        <f t="shared" si="45"/>
        <v>2753.4280753732824</v>
      </c>
      <c r="I199" s="356">
        <v>0</v>
      </c>
      <c r="J199" s="356">
        <v>0</v>
      </c>
      <c r="K199" s="356">
        <f t="shared" si="53"/>
        <v>-348.0480839599081</v>
      </c>
      <c r="L199" s="356">
        <f t="shared" si="46"/>
        <v>347700.0358759482</v>
      </c>
      <c r="N199" s="356">
        <f t="shared" si="54"/>
        <v>176</v>
      </c>
      <c r="O199" s="357">
        <f t="shared" si="59"/>
        <v>14</v>
      </c>
      <c r="P199" s="357">
        <f t="shared" si="60"/>
        <v>8</v>
      </c>
      <c r="Q199" s="357">
        <f t="shared" si="61"/>
        <v>14</v>
      </c>
      <c r="R199" s="356">
        <f t="shared" si="55"/>
        <v>2825366.575458484</v>
      </c>
      <c r="S199" s="356">
        <f>IF($G$4="mensual",S198,0)</f>
        <v>10000</v>
      </c>
      <c r="U199" s="356">
        <f t="shared" si="62"/>
        <v>22609.611240125912</v>
      </c>
      <c r="V199" s="356">
        <f t="shared" si="63"/>
        <v>-131.95374530733372</v>
      </c>
      <c r="X199" s="356">
        <f t="shared" si="47"/>
        <v>-2857.9761866986096</v>
      </c>
      <c r="Y199" s="356">
        <f t="shared" si="48"/>
        <v>2854986.2567666033</v>
      </c>
      <c r="AA199" s="357">
        <f>+Bono!J199</f>
        <v>206458.87114882772</v>
      </c>
      <c r="AC199" s="378">
        <f t="shared" si="49"/>
        <v>14.666666666666666</v>
      </c>
      <c r="AD199" s="356">
        <f t="shared" si="50"/>
        <v>3409145.163791379</v>
      </c>
    </row>
    <row r="200" spans="2:30" x14ac:dyDescent="0.25">
      <c r="B200" s="356">
        <f t="shared" si="51"/>
        <v>177</v>
      </c>
      <c r="C200" s="357">
        <f t="shared" si="56"/>
        <v>14</v>
      </c>
      <c r="D200" s="357">
        <f t="shared" si="57"/>
        <v>9</v>
      </c>
      <c r="E200" s="357">
        <f t="shared" si="58"/>
        <v>43</v>
      </c>
      <c r="F200" s="356">
        <f t="shared" si="52"/>
        <v>347700.0358759482</v>
      </c>
      <c r="H200" s="356">
        <f t="shared" si="45"/>
        <v>2772.6089132096877</v>
      </c>
      <c r="I200" s="356">
        <v>0</v>
      </c>
      <c r="J200" s="360">
        <f>-SUM(F200:H200)*$J$21</f>
        <v>-3154.2538031024214</v>
      </c>
      <c r="K200" s="356">
        <f t="shared" si="53"/>
        <v>-347.3183909860555</v>
      </c>
      <c r="L200" s="356">
        <f t="shared" si="46"/>
        <v>346971.0725950694</v>
      </c>
      <c r="N200" s="356">
        <f t="shared" si="54"/>
        <v>177</v>
      </c>
      <c r="O200" s="357">
        <f t="shared" si="59"/>
        <v>14</v>
      </c>
      <c r="P200" s="357">
        <f t="shared" si="60"/>
        <v>9</v>
      </c>
      <c r="Q200" s="357">
        <f t="shared" si="61"/>
        <v>14</v>
      </c>
      <c r="R200" s="356">
        <f t="shared" si="55"/>
        <v>2854986.2567666033</v>
      </c>
      <c r="S200" s="356">
        <f>IF($G$4="mensual",S199,0)</f>
        <v>10000</v>
      </c>
      <c r="U200" s="356">
        <f t="shared" si="62"/>
        <v>22845.80273833623</v>
      </c>
      <c r="V200" s="356">
        <f t="shared" si="63"/>
        <v>-131.95374530733372</v>
      </c>
      <c r="X200" s="356">
        <f t="shared" si="47"/>
        <v>-2887.83205950494</v>
      </c>
      <c r="Y200" s="356">
        <f t="shared" si="48"/>
        <v>2884812.2737001274</v>
      </c>
      <c r="AA200" s="357">
        <f>+Bono!J200</f>
        <v>205867.4181148351</v>
      </c>
      <c r="AC200" s="378">
        <f t="shared" si="49"/>
        <v>14.75</v>
      </c>
      <c r="AD200" s="356">
        <f t="shared" si="50"/>
        <v>3437650.764410032</v>
      </c>
    </row>
    <row r="201" spans="2:30" x14ac:dyDescent="0.25">
      <c r="B201" s="356">
        <f t="shared" si="51"/>
        <v>178</v>
      </c>
      <c r="C201" s="357">
        <f t="shared" si="56"/>
        <v>14</v>
      </c>
      <c r="D201" s="357">
        <f t="shared" si="57"/>
        <v>10</v>
      </c>
      <c r="E201" s="357">
        <f t="shared" si="58"/>
        <v>43</v>
      </c>
      <c r="F201" s="356">
        <f t="shared" si="52"/>
        <v>346971.0725950694</v>
      </c>
      <c r="H201" s="356">
        <f t="shared" si="45"/>
        <v>2766.796057640446</v>
      </c>
      <c r="I201" s="356">
        <v>0</v>
      </c>
      <c r="J201" s="356">
        <v>0</v>
      </c>
      <c r="K201" s="356">
        <f t="shared" si="53"/>
        <v>-349.7378686527099</v>
      </c>
      <c r="L201" s="356">
        <f t="shared" si="46"/>
        <v>349388.13078405714</v>
      </c>
      <c r="N201" s="356">
        <f t="shared" si="54"/>
        <v>178</v>
      </c>
      <c r="O201" s="357">
        <f t="shared" si="59"/>
        <v>14</v>
      </c>
      <c r="P201" s="357">
        <f t="shared" si="60"/>
        <v>10</v>
      </c>
      <c r="Q201" s="357">
        <f t="shared" si="61"/>
        <v>14</v>
      </c>
      <c r="R201" s="356">
        <f t="shared" si="55"/>
        <v>2884812.2737001274</v>
      </c>
      <c r="S201" s="356">
        <f>IF($G$4="mensual",S192,IF($G$4="trimestral",S192,0))</f>
        <v>10000</v>
      </c>
      <c r="U201" s="356">
        <f t="shared" si="62"/>
        <v>23083.639585799014</v>
      </c>
      <c r="V201" s="356">
        <f t="shared" si="63"/>
        <v>-131.95374530733372</v>
      </c>
      <c r="X201" s="356">
        <f t="shared" si="47"/>
        <v>-2917.8959132859263</v>
      </c>
      <c r="Y201" s="356">
        <f t="shared" si="48"/>
        <v>2914846.063627333</v>
      </c>
      <c r="AA201" s="357">
        <f>+Bono!J201</f>
        <v>207143.81998628957</v>
      </c>
      <c r="AC201" s="378">
        <f t="shared" si="49"/>
        <v>14.833333333333334</v>
      </c>
      <c r="AD201" s="356">
        <f t="shared" si="50"/>
        <v>3471378.0143976794</v>
      </c>
    </row>
    <row r="202" spans="2:30" x14ac:dyDescent="0.25">
      <c r="B202" s="356">
        <f t="shared" si="51"/>
        <v>179</v>
      </c>
      <c r="C202" s="357">
        <f t="shared" si="56"/>
        <v>14</v>
      </c>
      <c r="D202" s="357">
        <f t="shared" si="57"/>
        <v>11</v>
      </c>
      <c r="E202" s="357">
        <f t="shared" si="58"/>
        <v>43</v>
      </c>
      <c r="F202" s="356">
        <f t="shared" si="52"/>
        <v>349388.13078405714</v>
      </c>
      <c r="H202" s="356">
        <f t="shared" si="45"/>
        <v>2786.070019064266</v>
      </c>
      <c r="I202" s="356">
        <v>0</v>
      </c>
      <c r="J202" s="356">
        <v>0</v>
      </c>
      <c r="K202" s="356">
        <f t="shared" si="53"/>
        <v>-352.1742008031214</v>
      </c>
      <c r="L202" s="356">
        <f t="shared" si="46"/>
        <v>351822.0266023183</v>
      </c>
      <c r="N202" s="356">
        <f t="shared" si="54"/>
        <v>179</v>
      </c>
      <c r="O202" s="357">
        <f t="shared" si="59"/>
        <v>14</v>
      </c>
      <c r="P202" s="357">
        <f t="shared" si="60"/>
        <v>11</v>
      </c>
      <c r="Q202" s="357">
        <f t="shared" si="61"/>
        <v>14</v>
      </c>
      <c r="R202" s="356">
        <f t="shared" si="55"/>
        <v>2914846.063627333</v>
      </c>
      <c r="S202" s="356">
        <f>IF($G$17="si",S190*(1+$G$20),S190)</f>
        <v>10000</v>
      </c>
      <c r="U202" s="356">
        <f t="shared" si="62"/>
        <v>23323.133244290748</v>
      </c>
      <c r="V202" s="356">
        <f t="shared" si="63"/>
        <v>-131.95374530733372</v>
      </c>
      <c r="X202" s="356">
        <f t="shared" si="47"/>
        <v>-2948.169196871624</v>
      </c>
      <c r="Y202" s="356">
        <f t="shared" si="48"/>
        <v>2945089.073929445</v>
      </c>
      <c r="AA202" s="357">
        <f>+Bono!J202</f>
        <v>208428.13569740052</v>
      </c>
      <c r="AC202" s="378">
        <f t="shared" si="49"/>
        <v>14.916666666666666</v>
      </c>
      <c r="AD202" s="356">
        <f t="shared" si="50"/>
        <v>3505339.2362291636</v>
      </c>
    </row>
    <row r="203" spans="2:30" x14ac:dyDescent="0.25">
      <c r="B203" s="356">
        <f t="shared" si="51"/>
        <v>180</v>
      </c>
      <c r="C203" s="357">
        <f t="shared" si="56"/>
        <v>14</v>
      </c>
      <c r="D203" s="357">
        <f t="shared" si="57"/>
        <v>12</v>
      </c>
      <c r="E203" s="357">
        <f t="shared" si="58"/>
        <v>43</v>
      </c>
      <c r="F203" s="356">
        <f t="shared" si="52"/>
        <v>351822.0266023183</v>
      </c>
      <c r="H203" s="356">
        <f t="shared" si="45"/>
        <v>2805.478246108402</v>
      </c>
      <c r="I203" s="356">
        <v>0</v>
      </c>
      <c r="J203" s="360">
        <f>-SUM(F203:H203)*$J$21</f>
        <v>-3191.6475436358405</v>
      </c>
      <c r="K203" s="356">
        <f t="shared" si="53"/>
        <v>-351.43585730479083</v>
      </c>
      <c r="L203" s="356">
        <f t="shared" si="46"/>
        <v>351084.42144748603</v>
      </c>
      <c r="N203" s="356">
        <f t="shared" si="54"/>
        <v>180</v>
      </c>
      <c r="O203" s="357">
        <f t="shared" si="59"/>
        <v>14</v>
      </c>
      <c r="P203" s="357">
        <f t="shared" si="60"/>
        <v>12</v>
      </c>
      <c r="Q203" s="357">
        <f t="shared" si="61"/>
        <v>14</v>
      </c>
      <c r="R203" s="356">
        <f t="shared" si="55"/>
        <v>2945089.073929445</v>
      </c>
      <c r="S203" s="356">
        <f>IF($G$4="mensual",S202,0)</f>
        <v>10000</v>
      </c>
      <c r="U203" s="356">
        <f t="shared" si="62"/>
        <v>23564.29525543257</v>
      </c>
      <c r="V203" s="356">
        <f t="shared" si="63"/>
        <v>-131.95374530733372</v>
      </c>
      <c r="X203" s="356">
        <f t="shared" si="47"/>
        <v>-2978.653369184877</v>
      </c>
      <c r="Y203" s="356">
        <f t="shared" si="48"/>
        <v>2975542.762070385</v>
      </c>
      <c r="AA203" s="357">
        <f>+Bono!J203</f>
        <v>207831.0412129558</v>
      </c>
      <c r="AC203" s="378">
        <f t="shared" si="49"/>
        <v>15</v>
      </c>
      <c r="AD203" s="356">
        <f t="shared" si="50"/>
        <v>3534458.224730827</v>
      </c>
    </row>
    <row r="204" spans="2:30" x14ac:dyDescent="0.25">
      <c r="B204" s="356">
        <f t="shared" si="51"/>
        <v>181</v>
      </c>
      <c r="C204" s="357">
        <f t="shared" si="56"/>
        <v>15</v>
      </c>
      <c r="D204" s="357">
        <f t="shared" si="57"/>
        <v>1</v>
      </c>
      <c r="E204" s="357">
        <f t="shared" si="58"/>
        <v>44</v>
      </c>
      <c r="F204" s="356">
        <f t="shared" si="52"/>
        <v>351084.42144748603</v>
      </c>
      <c r="H204" s="356">
        <f t="shared" si="45"/>
        <v>2799.5964790226863</v>
      </c>
      <c r="I204" s="356">
        <v>0</v>
      </c>
      <c r="J204" s="356">
        <v>0</v>
      </c>
      <c r="K204" s="356">
        <f t="shared" si="53"/>
        <v>-353.88401792650876</v>
      </c>
      <c r="L204" s="356">
        <f t="shared" si="46"/>
        <v>353530.1339085822</v>
      </c>
      <c r="N204" s="356">
        <f t="shared" si="54"/>
        <v>181</v>
      </c>
      <c r="O204" s="357">
        <f t="shared" si="59"/>
        <v>15</v>
      </c>
      <c r="P204" s="357">
        <f t="shared" si="60"/>
        <v>1</v>
      </c>
      <c r="Q204" s="357">
        <f t="shared" si="61"/>
        <v>15</v>
      </c>
      <c r="R204" s="356">
        <f t="shared" si="55"/>
        <v>2975542.762070385</v>
      </c>
      <c r="S204" s="356">
        <f>IF($G$17="si",S192*(1+$G$20),S192)</f>
        <v>10000</v>
      </c>
      <c r="U204" s="356">
        <f t="shared" si="62"/>
        <v>23807.137241246466</v>
      </c>
      <c r="V204" s="356">
        <f>V203*(1+$G$18)</f>
        <v>-137.23189511962707</v>
      </c>
      <c r="X204" s="356">
        <f t="shared" si="47"/>
        <v>-3009.3498993116314</v>
      </c>
      <c r="Y204" s="356">
        <f t="shared" si="48"/>
        <v>3006203.3175172005</v>
      </c>
      <c r="AA204" s="357">
        <f>+Bono!J204</f>
        <v>209119.6177753848</v>
      </c>
      <c r="AC204" s="378">
        <f t="shared" si="49"/>
        <v>15.083333333333334</v>
      </c>
      <c r="AD204" s="356">
        <f t="shared" si="50"/>
        <v>3568853.0692011677</v>
      </c>
    </row>
    <row r="205" spans="2:30" x14ac:dyDescent="0.25">
      <c r="B205" s="356">
        <f t="shared" si="51"/>
        <v>182</v>
      </c>
      <c r="C205" s="357">
        <f t="shared" si="56"/>
        <v>15</v>
      </c>
      <c r="D205" s="357">
        <f t="shared" si="57"/>
        <v>2</v>
      </c>
      <c r="E205" s="357">
        <f t="shared" si="58"/>
        <v>44</v>
      </c>
      <c r="F205" s="356">
        <f t="shared" si="52"/>
        <v>353530.1339085822</v>
      </c>
      <c r="H205" s="356">
        <f t="shared" si="45"/>
        <v>2819.0989336361868</v>
      </c>
      <c r="I205" s="356">
        <v>0</v>
      </c>
      <c r="J205" s="356">
        <v>0</v>
      </c>
      <c r="K205" s="356">
        <f t="shared" si="53"/>
        <v>-356.34923284221844</v>
      </c>
      <c r="L205" s="356">
        <f t="shared" si="46"/>
        <v>355992.8836093762</v>
      </c>
      <c r="N205" s="356">
        <f t="shared" si="54"/>
        <v>182</v>
      </c>
      <c r="O205" s="357">
        <f t="shared" si="59"/>
        <v>15</v>
      </c>
      <c r="P205" s="357">
        <f t="shared" si="60"/>
        <v>2</v>
      </c>
      <c r="Q205" s="357">
        <f t="shared" si="61"/>
        <v>15</v>
      </c>
      <c r="R205" s="356">
        <f t="shared" si="55"/>
        <v>3006203.3175172005</v>
      </c>
      <c r="S205" s="356">
        <f>IF($G$4="mensual",S204,0)</f>
        <v>10000</v>
      </c>
      <c r="U205" s="356">
        <f t="shared" si="62"/>
        <v>24051.628816007567</v>
      </c>
      <c r="V205" s="356">
        <f>V204</f>
        <v>-137.23189511962707</v>
      </c>
      <c r="X205" s="356">
        <f t="shared" si="47"/>
        <v>-3040.2549463332084</v>
      </c>
      <c r="Y205" s="356">
        <f t="shared" si="48"/>
        <v>3037077.4594917553</v>
      </c>
      <c r="AA205" s="357">
        <f>+Bono!J205</f>
        <v>210416.1836619665</v>
      </c>
      <c r="AC205" s="378">
        <f t="shared" si="49"/>
        <v>15.166666666666666</v>
      </c>
      <c r="AD205" s="356">
        <f t="shared" si="50"/>
        <v>3603486.5267630983</v>
      </c>
    </row>
    <row r="206" spans="2:30" x14ac:dyDescent="0.25">
      <c r="B206" s="356">
        <f t="shared" si="51"/>
        <v>183</v>
      </c>
      <c r="C206" s="357">
        <f t="shared" si="56"/>
        <v>15</v>
      </c>
      <c r="D206" s="357">
        <f t="shared" si="57"/>
        <v>3</v>
      </c>
      <c r="E206" s="357">
        <f t="shared" si="58"/>
        <v>44</v>
      </c>
      <c r="F206" s="356">
        <f t="shared" si="52"/>
        <v>355992.8836093762</v>
      </c>
      <c r="H206" s="356">
        <f t="shared" si="45"/>
        <v>2838.7372455915593</v>
      </c>
      <c r="I206" s="356">
        <v>0</v>
      </c>
      <c r="J206" s="360">
        <f>-SUM(F206:H206)*$J$21</f>
        <v>-3229.48458769471</v>
      </c>
      <c r="K206" s="356">
        <f t="shared" si="53"/>
        <v>-355.60213626727307</v>
      </c>
      <c r="L206" s="356">
        <f t="shared" si="46"/>
        <v>355246.53413100576</v>
      </c>
      <c r="N206" s="356">
        <f t="shared" si="54"/>
        <v>183</v>
      </c>
      <c r="O206" s="357">
        <f t="shared" si="59"/>
        <v>15</v>
      </c>
      <c r="P206" s="357">
        <f t="shared" si="60"/>
        <v>3</v>
      </c>
      <c r="Q206" s="357">
        <f t="shared" si="61"/>
        <v>15</v>
      </c>
      <c r="R206" s="356">
        <f t="shared" si="55"/>
        <v>3037077.4594917553</v>
      </c>
      <c r="S206" s="356">
        <f>IF($G$4="mensual",S205,0)</f>
        <v>10000</v>
      </c>
      <c r="U206" s="356">
        <f t="shared" si="62"/>
        <v>24297.823559734577</v>
      </c>
      <c r="V206" s="356">
        <f t="shared" si="63"/>
        <v>-137.23189511962707</v>
      </c>
      <c r="X206" s="356">
        <f t="shared" si="47"/>
        <v>-3071.37528305149</v>
      </c>
      <c r="Y206" s="356">
        <f t="shared" si="48"/>
        <v>3068166.675873319</v>
      </c>
      <c r="AA206" s="357">
        <f>+Bono!J206</f>
        <v>209813.39391728025</v>
      </c>
      <c r="AC206" s="378">
        <f t="shared" si="49"/>
        <v>15.25</v>
      </c>
      <c r="AD206" s="356">
        <f t="shared" si="50"/>
        <v>3633226.6039216053</v>
      </c>
    </row>
    <row r="207" spans="2:30" x14ac:dyDescent="0.25">
      <c r="B207" s="356">
        <f t="shared" si="51"/>
        <v>184</v>
      </c>
      <c r="C207" s="357">
        <f t="shared" si="56"/>
        <v>15</v>
      </c>
      <c r="D207" s="357">
        <f t="shared" si="57"/>
        <v>4</v>
      </c>
      <c r="E207" s="357">
        <f t="shared" si="58"/>
        <v>44</v>
      </c>
      <c r="F207" s="356">
        <f t="shared" si="52"/>
        <v>355246.53413100576</v>
      </c>
      <c r="H207" s="356">
        <f t="shared" si="45"/>
        <v>2832.785750041994</v>
      </c>
      <c r="I207" s="356">
        <v>0</v>
      </c>
      <c r="J207" s="356">
        <v>0</v>
      </c>
      <c r="K207" s="356">
        <f t="shared" si="53"/>
        <v>-358.07931988104775</v>
      </c>
      <c r="L207" s="356">
        <f t="shared" si="46"/>
        <v>357721.2405611667</v>
      </c>
      <c r="N207" s="356">
        <f t="shared" si="54"/>
        <v>184</v>
      </c>
      <c r="O207" s="357">
        <f t="shared" si="59"/>
        <v>15</v>
      </c>
      <c r="P207" s="357">
        <f t="shared" si="60"/>
        <v>4</v>
      </c>
      <c r="Q207" s="357">
        <f t="shared" si="61"/>
        <v>15</v>
      </c>
      <c r="R207" s="356">
        <f t="shared" si="55"/>
        <v>3068166.675873319</v>
      </c>
      <c r="S207" s="356">
        <f>IF($G$4="mensual",S204,IF($G$4="trimestral",S204,0))</f>
        <v>10000</v>
      </c>
      <c r="U207" s="356">
        <f t="shared" si="62"/>
        <v>24545.733336985744</v>
      </c>
      <c r="V207" s="356">
        <f t="shared" si="63"/>
        <v>-137.23189511962707</v>
      </c>
      <c r="X207" s="356">
        <f t="shared" si="47"/>
        <v>-3102.712409210305</v>
      </c>
      <c r="Y207" s="356">
        <f t="shared" si="48"/>
        <v>3099472.464905975</v>
      </c>
      <c r="AA207" s="357">
        <f>+Bono!J207</f>
        <v>211114.26129641474</v>
      </c>
      <c r="AC207" s="378">
        <f t="shared" si="49"/>
        <v>15.333333333333334</v>
      </c>
      <c r="AD207" s="356">
        <f t="shared" si="50"/>
        <v>3668307.9667635565</v>
      </c>
    </row>
    <row r="208" spans="2:30" x14ac:dyDescent="0.25">
      <c r="B208" s="356">
        <f t="shared" si="51"/>
        <v>185</v>
      </c>
      <c r="C208" s="357">
        <f t="shared" si="56"/>
        <v>15</v>
      </c>
      <c r="D208" s="357">
        <f t="shared" si="57"/>
        <v>5</v>
      </c>
      <c r="E208" s="357">
        <f t="shared" si="58"/>
        <v>44</v>
      </c>
      <c r="F208" s="356">
        <f t="shared" si="52"/>
        <v>357721.2405611667</v>
      </c>
      <c r="H208" s="356">
        <f t="shared" si="45"/>
        <v>2852.519406636409</v>
      </c>
      <c r="I208" s="356">
        <v>0</v>
      </c>
      <c r="J208" s="356">
        <v>0</v>
      </c>
      <c r="K208" s="356">
        <f t="shared" si="53"/>
        <v>-360.57375996780314</v>
      </c>
      <c r="L208" s="356">
        <f t="shared" si="46"/>
        <v>360213.18620783533</v>
      </c>
      <c r="N208" s="356">
        <f t="shared" si="54"/>
        <v>185</v>
      </c>
      <c r="O208" s="357">
        <f t="shared" si="59"/>
        <v>15</v>
      </c>
      <c r="P208" s="357">
        <f t="shared" si="60"/>
        <v>5</v>
      </c>
      <c r="Q208" s="357">
        <f t="shared" si="61"/>
        <v>15</v>
      </c>
      <c r="R208" s="356">
        <f t="shared" si="55"/>
        <v>3099472.464905975</v>
      </c>
      <c r="S208" s="356">
        <f>IF($G$4="mensual",S207,0)</f>
        <v>10000</v>
      </c>
      <c r="U208" s="356">
        <f t="shared" si="62"/>
        <v>24795.370094969778</v>
      </c>
      <c r="V208" s="356">
        <f t="shared" si="63"/>
        <v>-137.23189511962707</v>
      </c>
      <c r="X208" s="356">
        <f t="shared" si="47"/>
        <v>-3134.267835000945</v>
      </c>
      <c r="Y208" s="356">
        <f t="shared" si="48"/>
        <v>3130996.3352708244</v>
      </c>
      <c r="AA208" s="357">
        <f>+Bono!J208</f>
        <v>212423.19420419115</v>
      </c>
      <c r="AC208" s="378">
        <f t="shared" si="49"/>
        <v>15.416666666666666</v>
      </c>
      <c r="AD208" s="356">
        <f t="shared" si="50"/>
        <v>3703632.715682851</v>
      </c>
    </row>
    <row r="209" spans="2:30" x14ac:dyDescent="0.25">
      <c r="B209" s="356">
        <f t="shared" si="51"/>
        <v>186</v>
      </c>
      <c r="C209" s="357">
        <f t="shared" si="56"/>
        <v>15</v>
      </c>
      <c r="D209" s="357">
        <f t="shared" si="57"/>
        <v>6</v>
      </c>
      <c r="E209" s="357">
        <f t="shared" si="58"/>
        <v>44</v>
      </c>
      <c r="F209" s="356">
        <f t="shared" si="52"/>
        <v>360213.18620783533</v>
      </c>
      <c r="H209" s="356">
        <f t="shared" si="45"/>
        <v>2872.3905311641397</v>
      </c>
      <c r="I209" s="356">
        <v>0</v>
      </c>
      <c r="J209" s="360">
        <f>-SUM(F209:H209)*$J$21</f>
        <v>-3267.7701906509956</v>
      </c>
      <c r="K209" s="356">
        <f t="shared" si="53"/>
        <v>-359.81780654834847</v>
      </c>
      <c r="L209" s="356">
        <f t="shared" si="46"/>
        <v>359457.98874180013</v>
      </c>
      <c r="N209" s="356">
        <f t="shared" si="54"/>
        <v>186</v>
      </c>
      <c r="O209" s="357">
        <f t="shared" si="59"/>
        <v>15</v>
      </c>
      <c r="P209" s="357">
        <f t="shared" si="60"/>
        <v>6</v>
      </c>
      <c r="Q209" s="357">
        <f t="shared" si="61"/>
        <v>15</v>
      </c>
      <c r="R209" s="356">
        <f t="shared" si="55"/>
        <v>3130996.3352708244</v>
      </c>
      <c r="S209" s="356">
        <f>IF($G$4="mensual",S208,0)</f>
        <v>10000</v>
      </c>
      <c r="U209" s="356">
        <f t="shared" si="62"/>
        <v>25046.745864121644</v>
      </c>
      <c r="V209" s="356">
        <f t="shared" si="63"/>
        <v>-137.23189511962707</v>
      </c>
      <c r="X209" s="356">
        <f t="shared" si="47"/>
        <v>-3166.043081134946</v>
      </c>
      <c r="Y209" s="356">
        <f t="shared" si="48"/>
        <v>3162739.8061586916</v>
      </c>
      <c r="AA209" s="357">
        <f>+Bono!J209</f>
        <v>211814.6548762206</v>
      </c>
      <c r="AC209" s="378">
        <f t="shared" si="49"/>
        <v>15.5</v>
      </c>
      <c r="AD209" s="356">
        <f t="shared" si="50"/>
        <v>3734012.4497767123</v>
      </c>
    </row>
    <row r="210" spans="2:30" x14ac:dyDescent="0.25">
      <c r="B210" s="356">
        <f t="shared" si="51"/>
        <v>187</v>
      </c>
      <c r="C210" s="357">
        <f t="shared" si="56"/>
        <v>15</v>
      </c>
      <c r="D210" s="357">
        <f t="shared" si="57"/>
        <v>7</v>
      </c>
      <c r="E210" s="357">
        <f t="shared" si="58"/>
        <v>44</v>
      </c>
      <c r="F210" s="356">
        <f t="shared" si="52"/>
        <v>359457.98874180013</v>
      </c>
      <c r="H210" s="356">
        <f t="shared" si="45"/>
        <v>2866.3684805184225</v>
      </c>
      <c r="I210" s="356">
        <v>0</v>
      </c>
      <c r="J210" s="356">
        <v>0</v>
      </c>
      <c r="K210" s="356">
        <f t="shared" si="53"/>
        <v>-362.32435722231855</v>
      </c>
      <c r="L210" s="356">
        <f t="shared" si="46"/>
        <v>361962.03286509623</v>
      </c>
      <c r="N210" s="356">
        <f t="shared" si="54"/>
        <v>187</v>
      </c>
      <c r="O210" s="357">
        <f t="shared" si="59"/>
        <v>15</v>
      </c>
      <c r="P210" s="357">
        <f t="shared" si="60"/>
        <v>7</v>
      </c>
      <c r="Q210" s="357">
        <f t="shared" si="61"/>
        <v>15</v>
      </c>
      <c r="R210" s="356">
        <f t="shared" si="55"/>
        <v>3162739.8061586916</v>
      </c>
      <c r="S210" s="356">
        <f>+IF($G$4="mensual",S204,IF($G$4="trimestral",S204,IF($G$4="semestral",S204,0)))</f>
        <v>10000</v>
      </c>
      <c r="U210" s="356">
        <f t="shared" si="62"/>
        <v>25299.872758682315</v>
      </c>
      <c r="V210" s="356">
        <f t="shared" si="63"/>
        <v>-137.23189511962707</v>
      </c>
      <c r="X210" s="356">
        <f t="shared" si="47"/>
        <v>-3198.039678917374</v>
      </c>
      <c r="Y210" s="356">
        <f t="shared" si="48"/>
        <v>3194704.4073433373</v>
      </c>
      <c r="AA210" s="357">
        <f>+Bono!J210</f>
        <v>213127.93030543244</v>
      </c>
      <c r="AC210" s="378">
        <f t="shared" si="49"/>
        <v>15.583333333333334</v>
      </c>
      <c r="AD210" s="356">
        <f t="shared" si="50"/>
        <v>3769794.370513866</v>
      </c>
    </row>
    <row r="211" spans="2:30" x14ac:dyDescent="0.25">
      <c r="B211" s="356">
        <f t="shared" si="51"/>
        <v>188</v>
      </c>
      <c r="C211" s="357">
        <f t="shared" si="56"/>
        <v>15</v>
      </c>
      <c r="D211" s="357">
        <f t="shared" si="57"/>
        <v>8</v>
      </c>
      <c r="E211" s="357">
        <f t="shared" si="58"/>
        <v>44</v>
      </c>
      <c r="F211" s="356">
        <f t="shared" si="52"/>
        <v>361962.03286509623</v>
      </c>
      <c r="H211" s="356">
        <f t="shared" si="45"/>
        <v>2886.3360799977568</v>
      </c>
      <c r="I211" s="356">
        <v>0</v>
      </c>
      <c r="J211" s="356">
        <v>0</v>
      </c>
      <c r="K211" s="356">
        <f t="shared" si="53"/>
        <v>-364.848368945094</v>
      </c>
      <c r="L211" s="356">
        <f t="shared" si="46"/>
        <v>364483.52057614893</v>
      </c>
      <c r="N211" s="356">
        <f t="shared" si="54"/>
        <v>188</v>
      </c>
      <c r="O211" s="357">
        <f t="shared" si="59"/>
        <v>15</v>
      </c>
      <c r="P211" s="357">
        <f t="shared" si="60"/>
        <v>8</v>
      </c>
      <c r="Q211" s="357">
        <f t="shared" si="61"/>
        <v>15</v>
      </c>
      <c r="R211" s="356">
        <f t="shared" si="55"/>
        <v>3194704.4073433373</v>
      </c>
      <c r="S211" s="356">
        <f>IF($G$4="mensual",S210,0)</f>
        <v>10000</v>
      </c>
      <c r="U211" s="356">
        <f t="shared" si="62"/>
        <v>25554.762977282582</v>
      </c>
      <c r="V211" s="356">
        <f t="shared" si="63"/>
        <v>-137.23189511962707</v>
      </c>
      <c r="X211" s="356">
        <f t="shared" si="47"/>
        <v>-3230.25917032062</v>
      </c>
      <c r="Y211" s="356">
        <f t="shared" si="48"/>
        <v>3226891.6792551796</v>
      </c>
      <c r="AA211" s="357">
        <f>+Bono!J211</f>
        <v>214449.3481946359</v>
      </c>
      <c r="AC211" s="378">
        <f t="shared" si="49"/>
        <v>15.666666666666666</v>
      </c>
      <c r="AD211" s="356">
        <f t="shared" si="50"/>
        <v>3805824.5480259643</v>
      </c>
    </row>
    <row r="212" spans="2:30" x14ac:dyDescent="0.25">
      <c r="B212" s="356">
        <f t="shared" si="51"/>
        <v>189</v>
      </c>
      <c r="C212" s="357">
        <f t="shared" si="56"/>
        <v>15</v>
      </c>
      <c r="D212" s="357">
        <f t="shared" si="57"/>
        <v>9</v>
      </c>
      <c r="E212" s="357">
        <f t="shared" si="58"/>
        <v>44</v>
      </c>
      <c r="F212" s="356">
        <f t="shared" si="52"/>
        <v>364483.52057614893</v>
      </c>
      <c r="H212" s="356">
        <f t="shared" si="45"/>
        <v>2906.442777095446</v>
      </c>
      <c r="I212" s="356">
        <v>0</v>
      </c>
      <c r="J212" s="360">
        <f>-SUM(F212:H212)*$J$21</f>
        <v>-3306.5096701791995</v>
      </c>
      <c r="K212" s="356">
        <f t="shared" si="53"/>
        <v>-364.08345368306516</v>
      </c>
      <c r="L212" s="356">
        <f t="shared" si="46"/>
        <v>363719.37022938207</v>
      </c>
      <c r="N212" s="356">
        <f t="shared" si="54"/>
        <v>189</v>
      </c>
      <c r="O212" s="357">
        <f t="shared" si="59"/>
        <v>15</v>
      </c>
      <c r="P212" s="357">
        <f t="shared" si="60"/>
        <v>9</v>
      </c>
      <c r="Q212" s="357">
        <f t="shared" si="61"/>
        <v>15</v>
      </c>
      <c r="R212" s="356">
        <f t="shared" si="55"/>
        <v>3226891.6792551796</v>
      </c>
      <c r="S212" s="356">
        <f>IF($G$4="mensual",S211,0)</f>
        <v>10000</v>
      </c>
      <c r="U212" s="356">
        <f t="shared" si="62"/>
        <v>25811.428803530922</v>
      </c>
      <c r="V212" s="356">
        <f t="shared" si="63"/>
        <v>-137.23189511962707</v>
      </c>
      <c r="X212" s="356">
        <f t="shared" si="47"/>
        <v>-3262.7031080587108</v>
      </c>
      <c r="Y212" s="356">
        <f t="shared" si="48"/>
        <v>3259303.1730555324</v>
      </c>
      <c r="AA212" s="357">
        <f>+Bono!J212</f>
        <v>213835.00444218935</v>
      </c>
      <c r="AC212" s="378">
        <f t="shared" si="49"/>
        <v>15.75</v>
      </c>
      <c r="AD212" s="356">
        <f t="shared" si="50"/>
        <v>3836857.547727104</v>
      </c>
    </row>
    <row r="213" spans="2:30" x14ac:dyDescent="0.25">
      <c r="B213" s="356">
        <f t="shared" si="51"/>
        <v>190</v>
      </c>
      <c r="C213" s="357">
        <f t="shared" si="56"/>
        <v>15</v>
      </c>
      <c r="D213" s="357">
        <f t="shared" si="57"/>
        <v>10</v>
      </c>
      <c r="E213" s="357">
        <f t="shared" si="58"/>
        <v>44</v>
      </c>
      <c r="F213" s="356">
        <f t="shared" si="52"/>
        <v>363719.37022938207</v>
      </c>
      <c r="H213" s="356">
        <f t="shared" si="45"/>
        <v>2900.349334921532</v>
      </c>
      <c r="I213" s="356">
        <v>0</v>
      </c>
      <c r="J213" s="356">
        <v>0</v>
      </c>
      <c r="K213" s="356">
        <f t="shared" si="53"/>
        <v>-366.6197195643036</v>
      </c>
      <c r="L213" s="356">
        <f t="shared" si="46"/>
        <v>366253.09984473925</v>
      </c>
      <c r="N213" s="356">
        <f t="shared" si="54"/>
        <v>190</v>
      </c>
      <c r="O213" s="357">
        <f t="shared" si="59"/>
        <v>15</v>
      </c>
      <c r="P213" s="357">
        <f t="shared" si="60"/>
        <v>10</v>
      </c>
      <c r="Q213" s="357">
        <f t="shared" si="61"/>
        <v>15</v>
      </c>
      <c r="R213" s="356">
        <f t="shared" si="55"/>
        <v>3259303.1730555324</v>
      </c>
      <c r="S213" s="356">
        <f>IF($G$4="mensual",S204,IF($G$4="trimestral",S204,0))</f>
        <v>10000</v>
      </c>
      <c r="U213" s="356">
        <f t="shared" si="62"/>
        <v>26069.88260660548</v>
      </c>
      <c r="V213" s="356">
        <f t="shared" si="63"/>
        <v>-137.23189511962707</v>
      </c>
      <c r="X213" s="356">
        <f t="shared" si="47"/>
        <v>-3295.373055662138</v>
      </c>
      <c r="Y213" s="356">
        <f t="shared" si="48"/>
        <v>3291940.4507113565</v>
      </c>
      <c r="AA213" s="357">
        <f>+Bono!J213</f>
        <v>215160.80627305622</v>
      </c>
      <c r="AC213" s="378">
        <f t="shared" si="49"/>
        <v>15.833333333333334</v>
      </c>
      <c r="AD213" s="356">
        <f t="shared" si="50"/>
        <v>3873354.356829152</v>
      </c>
    </row>
    <row r="214" spans="2:30" x14ac:dyDescent="0.25">
      <c r="B214" s="356">
        <f t="shared" si="51"/>
        <v>191</v>
      </c>
      <c r="C214" s="357">
        <f t="shared" si="56"/>
        <v>15</v>
      </c>
      <c r="D214" s="357">
        <f t="shared" si="57"/>
        <v>11</v>
      </c>
      <c r="E214" s="357">
        <f t="shared" si="58"/>
        <v>44</v>
      </c>
      <c r="F214" s="356">
        <f t="shared" si="52"/>
        <v>366253.09984473925</v>
      </c>
      <c r="H214" s="356">
        <f t="shared" si="45"/>
        <v>2920.5536506832623</v>
      </c>
      <c r="I214" s="356">
        <v>0</v>
      </c>
      <c r="J214" s="356">
        <v>0</v>
      </c>
      <c r="K214" s="356">
        <f t="shared" si="53"/>
        <v>-369.1736534954225</v>
      </c>
      <c r="L214" s="356">
        <f t="shared" si="46"/>
        <v>368804.47984192707</v>
      </c>
      <c r="N214" s="356">
        <f t="shared" si="54"/>
        <v>191</v>
      </c>
      <c r="O214" s="357">
        <f t="shared" si="59"/>
        <v>15</v>
      </c>
      <c r="P214" s="357">
        <f t="shared" si="60"/>
        <v>11</v>
      </c>
      <c r="Q214" s="357">
        <f t="shared" si="61"/>
        <v>15</v>
      </c>
      <c r="R214" s="356">
        <f t="shared" si="55"/>
        <v>3291940.4507113565</v>
      </c>
      <c r="S214" s="356">
        <f>IF($G$17="si",S202*(1+$G$20),S202)</f>
        <v>10000</v>
      </c>
      <c r="U214" s="356">
        <f t="shared" si="62"/>
        <v>26330.136841850144</v>
      </c>
      <c r="V214" s="356">
        <f t="shared" si="63"/>
        <v>-137.23189511962707</v>
      </c>
      <c r="X214" s="356">
        <f t="shared" si="47"/>
        <v>-3328.270587553207</v>
      </c>
      <c r="Y214" s="356">
        <f t="shared" si="48"/>
        <v>3324805.085070534</v>
      </c>
      <c r="AA214" s="357">
        <f>+Bono!J214</f>
        <v>216494.82822905798</v>
      </c>
      <c r="AC214" s="378">
        <f t="shared" si="49"/>
        <v>15.916666666666666</v>
      </c>
      <c r="AD214" s="356">
        <f t="shared" si="50"/>
        <v>3910104.3931415193</v>
      </c>
    </row>
    <row r="215" spans="2:30" x14ac:dyDescent="0.25">
      <c r="B215" s="356">
        <f t="shared" si="51"/>
        <v>192</v>
      </c>
      <c r="C215" s="357">
        <f t="shared" si="56"/>
        <v>15</v>
      </c>
      <c r="D215" s="357">
        <f t="shared" si="57"/>
        <v>12</v>
      </c>
      <c r="E215" s="357">
        <f t="shared" si="58"/>
        <v>44</v>
      </c>
      <c r="F215" s="356">
        <f t="shared" si="52"/>
        <v>368804.47984192707</v>
      </c>
      <c r="H215" s="356">
        <f t="shared" si="45"/>
        <v>2940.898713068334</v>
      </c>
      <c r="I215" s="356">
        <v>0</v>
      </c>
      <c r="J215" s="360">
        <f>-SUM(F215:H215)*$J$21</f>
        <v>-3345.708406994959</v>
      </c>
      <c r="K215" s="356">
        <f t="shared" si="53"/>
        <v>-368.3996701480005</v>
      </c>
      <c r="L215" s="356">
        <f t="shared" si="46"/>
        <v>368031.2704778525</v>
      </c>
      <c r="N215" s="356">
        <f t="shared" si="54"/>
        <v>192</v>
      </c>
      <c r="O215" s="357">
        <f t="shared" si="59"/>
        <v>15</v>
      </c>
      <c r="P215" s="357">
        <f t="shared" si="60"/>
        <v>12</v>
      </c>
      <c r="Q215" s="357">
        <f t="shared" si="61"/>
        <v>15</v>
      </c>
      <c r="R215" s="356">
        <f t="shared" si="55"/>
        <v>3324805.085070534</v>
      </c>
      <c r="S215" s="356">
        <f>IF($G$4="mensual",S214,0)</f>
        <v>10000</v>
      </c>
      <c r="U215" s="356">
        <f t="shared" si="62"/>
        <v>26592.204051374803</v>
      </c>
      <c r="V215" s="356">
        <f t="shared" si="63"/>
        <v>-137.23189511962707</v>
      </c>
      <c r="X215" s="356">
        <f t="shared" si="47"/>
        <v>-3361.397289121909</v>
      </c>
      <c r="Y215" s="356">
        <f t="shared" si="48"/>
        <v>3357898.6599376677</v>
      </c>
      <c r="AA215" s="357">
        <f>+Bono!J215</f>
        <v>215874.6246878525</v>
      </c>
      <c r="AC215" s="378">
        <f t="shared" si="49"/>
        <v>16</v>
      </c>
      <c r="AD215" s="356">
        <f t="shared" si="50"/>
        <v>3941804.5551033723</v>
      </c>
    </row>
    <row r="216" spans="2:30" x14ac:dyDescent="0.25">
      <c r="B216" s="356">
        <f t="shared" si="51"/>
        <v>193</v>
      </c>
      <c r="C216" s="357">
        <f t="shared" si="56"/>
        <v>16</v>
      </c>
      <c r="D216" s="357">
        <f t="shared" si="57"/>
        <v>1</v>
      </c>
      <c r="E216" s="357">
        <f t="shared" si="58"/>
        <v>45</v>
      </c>
      <c r="F216" s="356">
        <f t="shared" si="52"/>
        <v>368031.2704778525</v>
      </c>
      <c r="H216" s="356">
        <f t="shared" ref="H216:H279" si="64">SUM(F216:G216)*$G$8</f>
        <v>2934.73303301826</v>
      </c>
      <c r="I216" s="356">
        <v>0</v>
      </c>
      <c r="J216" s="356">
        <v>0</v>
      </c>
      <c r="K216" s="356">
        <f t="shared" si="53"/>
        <v>-370.96600351087073</v>
      </c>
      <c r="L216" s="356">
        <f t="shared" ref="L216:L279" si="65">SUM(F216:K216)</f>
        <v>370595.03750735987</v>
      </c>
      <c r="N216" s="356">
        <f t="shared" si="54"/>
        <v>193</v>
      </c>
      <c r="O216" s="357">
        <f t="shared" si="59"/>
        <v>16</v>
      </c>
      <c r="P216" s="357">
        <f t="shared" si="60"/>
        <v>1</v>
      </c>
      <c r="Q216" s="357">
        <f t="shared" si="61"/>
        <v>16</v>
      </c>
      <c r="R216" s="356">
        <f t="shared" si="55"/>
        <v>3357898.6599376677</v>
      </c>
      <c r="S216" s="356">
        <f>IF($G$17="si",S204*(1+$G$20),S204)</f>
        <v>10000</v>
      </c>
      <c r="U216" s="356">
        <f t="shared" si="62"/>
        <v>26856.096864659765</v>
      </c>
      <c r="V216" s="356">
        <f>V215*(1+$G$18)</f>
        <v>-142.72117092441215</v>
      </c>
      <c r="X216" s="356">
        <f t="shared" ref="X216:X279" si="66">-SUM(R216:U216)*0.1%</f>
        <v>-3394.7547568023274</v>
      </c>
      <c r="Y216" s="356">
        <f t="shared" ref="Y216:Y279" si="67">SUM(R216:X216)</f>
        <v>3391217.2808746006</v>
      </c>
      <c r="AA216" s="357">
        <f>+Bono!J216</f>
        <v>217213.0724008238</v>
      </c>
      <c r="AC216" s="378">
        <f t="shared" ref="AC216:AC279" si="68">+B216/12</f>
        <v>16.083333333333332</v>
      </c>
      <c r="AD216" s="356">
        <f t="shared" ref="AD216:AD279" si="69">+AA216+Y216+L216</f>
        <v>3979025.390782784</v>
      </c>
    </row>
    <row r="217" spans="2:30" x14ac:dyDescent="0.25">
      <c r="B217" s="356">
        <f t="shared" ref="B217:B280" si="70">+B216+1</f>
        <v>194</v>
      </c>
      <c r="C217" s="357">
        <f t="shared" si="56"/>
        <v>16</v>
      </c>
      <c r="D217" s="357">
        <f t="shared" si="57"/>
        <v>2</v>
      </c>
      <c r="E217" s="357">
        <f t="shared" si="58"/>
        <v>45</v>
      </c>
      <c r="F217" s="356">
        <f t="shared" ref="F217:F280" si="71">L216</f>
        <v>370595.03750735987</v>
      </c>
      <c r="H217" s="356">
        <f t="shared" si="64"/>
        <v>2955.1768713385454</v>
      </c>
      <c r="I217" s="356">
        <v>0</v>
      </c>
      <c r="J217" s="356">
        <v>0</v>
      </c>
      <c r="K217" s="356">
        <f t="shared" ref="K217:K280" si="72">-SUM(F217:J217)*0.1%</f>
        <v>-373.55021437869846</v>
      </c>
      <c r="L217" s="356">
        <f t="shared" si="65"/>
        <v>373176.66416431975</v>
      </c>
      <c r="N217" s="356">
        <f t="shared" ref="N217:N280" si="73">+N216+1</f>
        <v>194</v>
      </c>
      <c r="O217" s="357">
        <f t="shared" si="59"/>
        <v>16</v>
      </c>
      <c r="P217" s="357">
        <f t="shared" si="60"/>
        <v>2</v>
      </c>
      <c r="Q217" s="357">
        <f t="shared" si="61"/>
        <v>16</v>
      </c>
      <c r="R217" s="356">
        <f t="shared" ref="R217:R280" si="74">Y216</f>
        <v>3391217.2808746006</v>
      </c>
      <c r="S217" s="356">
        <f>IF($G$4="mensual",S216,0)</f>
        <v>10000</v>
      </c>
      <c r="U217" s="356">
        <f t="shared" si="62"/>
        <v>27121.784226908283</v>
      </c>
      <c r="V217" s="356">
        <f>V216</f>
        <v>-142.72117092441215</v>
      </c>
      <c r="X217" s="356">
        <f t="shared" si="66"/>
        <v>-3428.3390651015093</v>
      </c>
      <c r="Y217" s="356">
        <f t="shared" si="67"/>
        <v>3424768.004865483</v>
      </c>
      <c r="AA217" s="357">
        <f>+Bono!J217</f>
        <v>218559.81864486582</v>
      </c>
      <c r="AC217" s="378">
        <f t="shared" si="68"/>
        <v>16.166666666666668</v>
      </c>
      <c r="AD217" s="356">
        <f t="shared" si="69"/>
        <v>4016504.4876746684</v>
      </c>
    </row>
    <row r="218" spans="2:30" x14ac:dyDescent="0.25">
      <c r="B218" s="356">
        <f t="shared" si="70"/>
        <v>195</v>
      </c>
      <c r="C218" s="357">
        <f t="shared" si="56"/>
        <v>16</v>
      </c>
      <c r="D218" s="357">
        <f t="shared" si="57"/>
        <v>3</v>
      </c>
      <c r="E218" s="357">
        <f t="shared" si="58"/>
        <v>45</v>
      </c>
      <c r="F218" s="356">
        <f t="shared" si="71"/>
        <v>373176.66416431975</v>
      </c>
      <c r="H218" s="356">
        <f t="shared" si="64"/>
        <v>2975.763124836145</v>
      </c>
      <c r="I218" s="356">
        <v>0</v>
      </c>
      <c r="J218" s="360">
        <f>-SUM(F218:H218)*$J$21</f>
        <v>-3385.3718456024035</v>
      </c>
      <c r="K218" s="356">
        <f t="shared" si="72"/>
        <v>-372.7670554435535</v>
      </c>
      <c r="L218" s="356">
        <f t="shared" si="65"/>
        <v>372394.28838810994</v>
      </c>
      <c r="N218" s="356">
        <f t="shared" si="73"/>
        <v>195</v>
      </c>
      <c r="O218" s="357">
        <f t="shared" si="59"/>
        <v>16</v>
      </c>
      <c r="P218" s="357">
        <f t="shared" si="60"/>
        <v>3</v>
      </c>
      <c r="Q218" s="357">
        <f t="shared" si="61"/>
        <v>16</v>
      </c>
      <c r="R218" s="356">
        <f t="shared" si="74"/>
        <v>3424768.004865483</v>
      </c>
      <c r="S218" s="356">
        <f>IF($G$4="mensual",S217,0)</f>
        <v>10000</v>
      </c>
      <c r="U218" s="356">
        <f t="shared" si="62"/>
        <v>27389.32241150297</v>
      </c>
      <c r="V218" s="356">
        <f t="shared" si="63"/>
        <v>-142.72117092441215</v>
      </c>
      <c r="X218" s="356">
        <f t="shared" si="66"/>
        <v>-3462.157327276986</v>
      </c>
      <c r="Y218" s="356">
        <f t="shared" si="67"/>
        <v>3458552.4487787844</v>
      </c>
      <c r="AA218" s="357">
        <f>+Bono!J218</f>
        <v>217933.69942253802</v>
      </c>
      <c r="AC218" s="378">
        <f t="shared" si="68"/>
        <v>16.25</v>
      </c>
      <c r="AD218" s="356">
        <f t="shared" si="69"/>
        <v>4048880.436589432</v>
      </c>
    </row>
    <row r="219" spans="2:30" x14ac:dyDescent="0.25">
      <c r="B219" s="356">
        <f t="shared" si="70"/>
        <v>196</v>
      </c>
      <c r="C219" s="357">
        <f t="shared" si="56"/>
        <v>16</v>
      </c>
      <c r="D219" s="357">
        <f t="shared" si="57"/>
        <v>4</v>
      </c>
      <c r="E219" s="357">
        <f t="shared" si="58"/>
        <v>45</v>
      </c>
      <c r="F219" s="356">
        <f t="shared" si="71"/>
        <v>372394.28838810994</v>
      </c>
      <c r="H219" s="356">
        <f t="shared" si="64"/>
        <v>2969.524350528475</v>
      </c>
      <c r="I219" s="356">
        <v>0</v>
      </c>
      <c r="J219" s="356">
        <v>0</v>
      </c>
      <c r="K219" s="356">
        <f t="shared" si="72"/>
        <v>-375.36381273863844</v>
      </c>
      <c r="L219" s="356">
        <f t="shared" si="65"/>
        <v>374988.4489258998</v>
      </c>
      <c r="N219" s="356">
        <f t="shared" si="73"/>
        <v>196</v>
      </c>
      <c r="O219" s="357">
        <f t="shared" si="59"/>
        <v>16</v>
      </c>
      <c r="P219" s="357">
        <f t="shared" si="60"/>
        <v>4</v>
      </c>
      <c r="Q219" s="357">
        <f t="shared" si="61"/>
        <v>16</v>
      </c>
      <c r="R219" s="356">
        <f t="shared" si="74"/>
        <v>3458552.4487787844</v>
      </c>
      <c r="S219" s="356">
        <f>IF($G$4="mensual",S216,IF($G$4="trimestral",S216,0))</f>
        <v>10000</v>
      </c>
      <c r="U219" s="356">
        <f t="shared" si="62"/>
        <v>27658.72431158006</v>
      </c>
      <c r="V219" s="356">
        <f t="shared" si="63"/>
        <v>-142.72117092441215</v>
      </c>
      <c r="X219" s="356">
        <f t="shared" si="66"/>
        <v>-3496.2111730903644</v>
      </c>
      <c r="Y219" s="356">
        <f t="shared" si="67"/>
        <v>3492572.2407463496</v>
      </c>
      <c r="AA219" s="357">
        <f>+Bono!J219</f>
        <v>219284.91363770224</v>
      </c>
      <c r="AC219" s="378">
        <f t="shared" si="68"/>
        <v>16.333333333333332</v>
      </c>
      <c r="AD219" s="356">
        <f t="shared" si="69"/>
        <v>4086845.6033099517</v>
      </c>
    </row>
    <row r="220" spans="2:30" x14ac:dyDescent="0.25">
      <c r="B220" s="356">
        <f t="shared" si="70"/>
        <v>197</v>
      </c>
      <c r="C220" s="357">
        <f t="shared" si="56"/>
        <v>16</v>
      </c>
      <c r="D220" s="357">
        <f t="shared" si="57"/>
        <v>5</v>
      </c>
      <c r="E220" s="357">
        <f t="shared" si="58"/>
        <v>45</v>
      </c>
      <c r="F220" s="356">
        <f t="shared" si="71"/>
        <v>374988.4489258998</v>
      </c>
      <c r="H220" s="356">
        <f t="shared" si="64"/>
        <v>2990.210550951932</v>
      </c>
      <c r="I220" s="356">
        <v>0</v>
      </c>
      <c r="J220" s="356">
        <v>0</v>
      </c>
      <c r="K220" s="356">
        <f t="shared" si="72"/>
        <v>-377.97865947685176</v>
      </c>
      <c r="L220" s="356">
        <f t="shared" si="65"/>
        <v>377600.6808173749</v>
      </c>
      <c r="N220" s="356">
        <f t="shared" si="73"/>
        <v>197</v>
      </c>
      <c r="O220" s="357">
        <f t="shared" si="59"/>
        <v>16</v>
      </c>
      <c r="P220" s="357">
        <f t="shared" si="60"/>
        <v>5</v>
      </c>
      <c r="Q220" s="357">
        <f t="shared" si="61"/>
        <v>16</v>
      </c>
      <c r="R220" s="356">
        <f t="shared" si="74"/>
        <v>3492572.2407463496</v>
      </c>
      <c r="S220" s="356">
        <f>IF($G$4="mensual",S219,0)</f>
        <v>10000</v>
      </c>
      <c r="U220" s="356">
        <f t="shared" si="62"/>
        <v>27930.002910091516</v>
      </c>
      <c r="V220" s="356">
        <f t="shared" si="63"/>
        <v>-142.72117092441215</v>
      </c>
      <c r="X220" s="356">
        <f t="shared" si="66"/>
        <v>-3530.5022436564414</v>
      </c>
      <c r="Y220" s="356">
        <f t="shared" si="67"/>
        <v>3526829.02024186</v>
      </c>
      <c r="AA220" s="357">
        <f>+Bono!J220</f>
        <v>220644.50553773163</v>
      </c>
      <c r="AC220" s="378">
        <f t="shared" si="68"/>
        <v>16.416666666666668</v>
      </c>
      <c r="AD220" s="356">
        <f t="shared" si="69"/>
        <v>4125074.2065969664</v>
      </c>
    </row>
    <row r="221" spans="2:30" x14ac:dyDescent="0.25">
      <c r="B221" s="356">
        <f t="shared" si="70"/>
        <v>198</v>
      </c>
      <c r="C221" s="357">
        <f t="shared" si="56"/>
        <v>16</v>
      </c>
      <c r="D221" s="357">
        <f t="shared" si="57"/>
        <v>6</v>
      </c>
      <c r="E221" s="357">
        <f t="shared" si="58"/>
        <v>45</v>
      </c>
      <c r="F221" s="356">
        <f t="shared" si="71"/>
        <v>377600.6808173749</v>
      </c>
      <c r="H221" s="356">
        <f t="shared" si="64"/>
        <v>3011.040854887415</v>
      </c>
      <c r="I221" s="356">
        <v>0</v>
      </c>
      <c r="J221" s="360">
        <f>-SUM(F221:H221)*$J$21</f>
        <v>-3425.505495050361</v>
      </c>
      <c r="K221" s="356">
        <f t="shared" si="72"/>
        <v>-377.186216177212</v>
      </c>
      <c r="L221" s="356">
        <f t="shared" si="65"/>
        <v>376809.0299610348</v>
      </c>
      <c r="N221" s="356">
        <f t="shared" si="73"/>
        <v>198</v>
      </c>
      <c r="O221" s="357">
        <f t="shared" si="59"/>
        <v>16</v>
      </c>
      <c r="P221" s="357">
        <f t="shared" si="60"/>
        <v>6</v>
      </c>
      <c r="Q221" s="357">
        <f t="shared" si="61"/>
        <v>16</v>
      </c>
      <c r="R221" s="356">
        <f t="shared" si="74"/>
        <v>3526829.02024186</v>
      </c>
      <c r="S221" s="356">
        <f>IF($G$4="mensual",S220,0)</f>
        <v>10000</v>
      </c>
      <c r="U221" s="356">
        <f t="shared" si="62"/>
        <v>28203.171280430706</v>
      </c>
      <c r="V221" s="356">
        <f t="shared" si="63"/>
        <v>-142.72117092441215</v>
      </c>
      <c r="X221" s="356">
        <f t="shared" si="66"/>
        <v>-3565.0321915222908</v>
      </c>
      <c r="Y221" s="356">
        <f t="shared" si="67"/>
        <v>3561324.4381598434</v>
      </c>
      <c r="AA221" s="357">
        <f>+Bono!J221</f>
        <v>220012.41420880044</v>
      </c>
      <c r="AC221" s="378">
        <f t="shared" si="68"/>
        <v>16.5</v>
      </c>
      <c r="AD221" s="356">
        <f t="shared" si="69"/>
        <v>4158145.8823296786</v>
      </c>
    </row>
    <row r="222" spans="2:30" x14ac:dyDescent="0.25">
      <c r="B222" s="356">
        <f t="shared" si="70"/>
        <v>199</v>
      </c>
      <c r="C222" s="357">
        <f t="shared" si="56"/>
        <v>16</v>
      </c>
      <c r="D222" s="357">
        <f t="shared" si="57"/>
        <v>7</v>
      </c>
      <c r="E222" s="357">
        <f t="shared" si="58"/>
        <v>45</v>
      </c>
      <c r="F222" s="356">
        <f t="shared" si="71"/>
        <v>376809.0299610348</v>
      </c>
      <c r="H222" s="356">
        <f t="shared" si="64"/>
        <v>3004.728119788297</v>
      </c>
      <c r="I222" s="356">
        <v>0</v>
      </c>
      <c r="J222" s="356">
        <v>0</v>
      </c>
      <c r="K222" s="356">
        <f t="shared" si="72"/>
        <v>-379.81375808082305</v>
      </c>
      <c r="L222" s="356">
        <f t="shared" si="65"/>
        <v>379433.94432274223</v>
      </c>
      <c r="N222" s="356">
        <f t="shared" si="73"/>
        <v>199</v>
      </c>
      <c r="O222" s="357">
        <f t="shared" si="59"/>
        <v>16</v>
      </c>
      <c r="P222" s="357">
        <f t="shared" si="60"/>
        <v>7</v>
      </c>
      <c r="Q222" s="357">
        <f t="shared" si="61"/>
        <v>16</v>
      </c>
      <c r="R222" s="356">
        <f t="shared" si="74"/>
        <v>3561324.4381598434</v>
      </c>
      <c r="S222" s="356">
        <f>+IF($G$4="mensual",S216,IF($G$4="trimestral",S216,IF($G$4="semestral",S216,0)))</f>
        <v>10000</v>
      </c>
      <c r="U222" s="356">
        <f t="shared" si="62"/>
        <v>28478.24258706243</v>
      </c>
      <c r="V222" s="356">
        <f t="shared" si="63"/>
        <v>-142.72117092441215</v>
      </c>
      <c r="X222" s="356">
        <f t="shared" si="66"/>
        <v>-3599.802680746906</v>
      </c>
      <c r="Y222" s="356">
        <f t="shared" si="67"/>
        <v>3596060.1568952342</v>
      </c>
      <c r="AA222" s="357">
        <f>+Bono!J222</f>
        <v>221376.5166967555</v>
      </c>
      <c r="AC222" s="378">
        <f t="shared" si="68"/>
        <v>16.583333333333332</v>
      </c>
      <c r="AD222" s="356">
        <f t="shared" si="69"/>
        <v>4196870.617914732</v>
      </c>
    </row>
    <row r="223" spans="2:30" x14ac:dyDescent="0.25">
      <c r="B223" s="356">
        <f t="shared" si="70"/>
        <v>200</v>
      </c>
      <c r="C223" s="357">
        <f t="shared" si="56"/>
        <v>16</v>
      </c>
      <c r="D223" s="357">
        <f t="shared" si="57"/>
        <v>8</v>
      </c>
      <c r="E223" s="357">
        <f t="shared" si="58"/>
        <v>45</v>
      </c>
      <c r="F223" s="356">
        <f t="shared" si="71"/>
        <v>379433.94432274223</v>
      </c>
      <c r="H223" s="356">
        <f t="shared" si="64"/>
        <v>3025.659555522399</v>
      </c>
      <c r="I223" s="356">
        <v>0</v>
      </c>
      <c r="J223" s="356">
        <v>0</v>
      </c>
      <c r="K223" s="356">
        <f t="shared" si="72"/>
        <v>-382.4596038782646</v>
      </c>
      <c r="L223" s="356">
        <f t="shared" si="65"/>
        <v>382077.14427438634</v>
      </c>
      <c r="N223" s="356">
        <f t="shared" si="73"/>
        <v>200</v>
      </c>
      <c r="O223" s="357">
        <f t="shared" si="59"/>
        <v>16</v>
      </c>
      <c r="P223" s="357">
        <f t="shared" si="60"/>
        <v>8</v>
      </c>
      <c r="Q223" s="357">
        <f t="shared" si="61"/>
        <v>16</v>
      </c>
      <c r="R223" s="356">
        <f t="shared" si="74"/>
        <v>3596060.1568952342</v>
      </c>
      <c r="S223" s="356">
        <f>IF($G$4="mensual",S222,0)</f>
        <v>10000</v>
      </c>
      <c r="U223" s="356">
        <f t="shared" si="62"/>
        <v>28755.23008615734</v>
      </c>
      <c r="V223" s="356">
        <f t="shared" si="63"/>
        <v>-142.72117092441215</v>
      </c>
      <c r="X223" s="356">
        <f t="shared" si="66"/>
        <v>-3634.815386981392</v>
      </c>
      <c r="Y223" s="356">
        <f t="shared" si="67"/>
        <v>3631037.850423486</v>
      </c>
      <c r="AA223" s="357">
        <f>+Bono!J223</f>
        <v>222749.07677836198</v>
      </c>
      <c r="AC223" s="378">
        <f t="shared" si="68"/>
        <v>16.666666666666668</v>
      </c>
      <c r="AD223" s="356">
        <f t="shared" si="69"/>
        <v>4235864.071476234</v>
      </c>
    </row>
    <row r="224" spans="2:30" x14ac:dyDescent="0.25">
      <c r="B224" s="356">
        <f t="shared" si="70"/>
        <v>201</v>
      </c>
      <c r="C224" s="357">
        <f t="shared" si="56"/>
        <v>16</v>
      </c>
      <c r="D224" s="357">
        <f t="shared" si="57"/>
        <v>9</v>
      </c>
      <c r="E224" s="357">
        <f t="shared" si="58"/>
        <v>45</v>
      </c>
      <c r="F224" s="356">
        <f t="shared" si="71"/>
        <v>382077.14427438634</v>
      </c>
      <c r="H224" s="356">
        <f t="shared" si="64"/>
        <v>3046.7368031184806</v>
      </c>
      <c r="I224" s="356">
        <v>0</v>
      </c>
      <c r="J224" s="360">
        <f>-SUM(F224:H224)*$J$21</f>
        <v>-3466.114929697544</v>
      </c>
      <c r="K224" s="356">
        <f t="shared" si="72"/>
        <v>-381.6577661478073</v>
      </c>
      <c r="L224" s="356">
        <f t="shared" si="65"/>
        <v>381276.1083816595</v>
      </c>
      <c r="N224" s="356">
        <f t="shared" si="73"/>
        <v>201</v>
      </c>
      <c r="O224" s="357">
        <f t="shared" si="59"/>
        <v>16</v>
      </c>
      <c r="P224" s="357">
        <f t="shared" si="60"/>
        <v>9</v>
      </c>
      <c r="Q224" s="357">
        <f t="shared" si="61"/>
        <v>16</v>
      </c>
      <c r="R224" s="356">
        <f t="shared" si="74"/>
        <v>3631037.850423486</v>
      </c>
      <c r="S224" s="356">
        <f>IF($G$4="mensual",S223,0)</f>
        <v>10000</v>
      </c>
      <c r="U224" s="356">
        <f t="shared" si="62"/>
        <v>29034.147126230775</v>
      </c>
      <c r="V224" s="356">
        <f t="shared" si="63"/>
        <v>-142.72117092441215</v>
      </c>
      <c r="X224" s="356">
        <f t="shared" si="66"/>
        <v>-3670.071997549717</v>
      </c>
      <c r="Y224" s="356">
        <f t="shared" si="67"/>
        <v>3666259.2043812424</v>
      </c>
      <c r="AA224" s="357">
        <f>+Bono!J224</f>
        <v>222110.95637914387</v>
      </c>
      <c r="AC224" s="378">
        <f t="shared" si="68"/>
        <v>16.75</v>
      </c>
      <c r="AD224" s="356">
        <f t="shared" si="69"/>
        <v>4269646.269142046</v>
      </c>
    </row>
    <row r="225" spans="2:30" x14ac:dyDescent="0.25">
      <c r="B225" s="356">
        <f t="shared" si="70"/>
        <v>202</v>
      </c>
      <c r="C225" s="357">
        <f t="shared" si="56"/>
        <v>16</v>
      </c>
      <c r="D225" s="357">
        <f t="shared" si="57"/>
        <v>10</v>
      </c>
      <c r="E225" s="357">
        <f t="shared" si="58"/>
        <v>45</v>
      </c>
      <c r="F225" s="356">
        <f t="shared" si="71"/>
        <v>381276.1083816595</v>
      </c>
      <c r="H225" s="356">
        <f t="shared" si="64"/>
        <v>3040.349230421284</v>
      </c>
      <c r="I225" s="356">
        <v>0</v>
      </c>
      <c r="J225" s="356">
        <v>0</v>
      </c>
      <c r="K225" s="356">
        <f t="shared" si="72"/>
        <v>-384.3164576120808</v>
      </c>
      <c r="L225" s="356">
        <f t="shared" si="65"/>
        <v>383932.1411544687</v>
      </c>
      <c r="N225" s="356">
        <f t="shared" si="73"/>
        <v>202</v>
      </c>
      <c r="O225" s="357">
        <f t="shared" si="59"/>
        <v>16</v>
      </c>
      <c r="P225" s="357">
        <f t="shared" si="60"/>
        <v>10</v>
      </c>
      <c r="Q225" s="357">
        <f t="shared" si="61"/>
        <v>16</v>
      </c>
      <c r="R225" s="356">
        <f t="shared" si="74"/>
        <v>3666259.2043812424</v>
      </c>
      <c r="S225" s="356">
        <f>IF($G$4="mensual",S216,IF($G$4="trimestral",S216,0))</f>
        <v>10000</v>
      </c>
      <c r="U225" s="356">
        <f t="shared" si="62"/>
        <v>29315.00714878605</v>
      </c>
      <c r="V225" s="356">
        <f t="shared" si="63"/>
        <v>-142.72117092441215</v>
      </c>
      <c r="X225" s="356">
        <f t="shared" si="66"/>
        <v>-3705.5742115300286</v>
      </c>
      <c r="Y225" s="356">
        <f t="shared" si="67"/>
        <v>3701725.916147574</v>
      </c>
      <c r="AA225" s="357">
        <f>+Bono!J225</f>
        <v>223488.07007197087</v>
      </c>
      <c r="AC225" s="378">
        <f t="shared" si="68"/>
        <v>16.833333333333332</v>
      </c>
      <c r="AD225" s="356">
        <f t="shared" si="69"/>
        <v>4309146.127374014</v>
      </c>
    </row>
    <row r="226" spans="2:30" x14ac:dyDescent="0.25">
      <c r="B226" s="356">
        <f t="shared" si="70"/>
        <v>203</v>
      </c>
      <c r="C226" s="357">
        <f t="shared" si="56"/>
        <v>16</v>
      </c>
      <c r="D226" s="357">
        <f t="shared" si="57"/>
        <v>11</v>
      </c>
      <c r="E226" s="357">
        <f t="shared" si="58"/>
        <v>45</v>
      </c>
      <c r="F226" s="356">
        <f t="shared" si="71"/>
        <v>383932.1411544687</v>
      </c>
      <c r="H226" s="356">
        <f t="shared" si="64"/>
        <v>3061.5288087354356</v>
      </c>
      <c r="I226" s="356">
        <v>0</v>
      </c>
      <c r="J226" s="356">
        <v>0</v>
      </c>
      <c r="K226" s="356">
        <f t="shared" si="72"/>
        <v>-386.9936699632041</v>
      </c>
      <c r="L226" s="356">
        <f t="shared" si="65"/>
        <v>386606.6762932409</v>
      </c>
      <c r="N226" s="356">
        <f t="shared" si="73"/>
        <v>203</v>
      </c>
      <c r="O226" s="357">
        <f t="shared" si="59"/>
        <v>16</v>
      </c>
      <c r="P226" s="357">
        <f t="shared" si="60"/>
        <v>11</v>
      </c>
      <c r="Q226" s="357">
        <f t="shared" si="61"/>
        <v>16</v>
      </c>
      <c r="R226" s="356">
        <f t="shared" si="74"/>
        <v>3701725.916147574</v>
      </c>
      <c r="S226" s="356">
        <f>IF($G$17="si",S214*(1+$G$20),S214)</f>
        <v>10000</v>
      </c>
      <c r="U226" s="356">
        <f t="shared" si="62"/>
        <v>29597.82368896223</v>
      </c>
      <c r="V226" s="356">
        <f t="shared" si="63"/>
        <v>-142.72117092441215</v>
      </c>
      <c r="X226" s="356">
        <f t="shared" si="66"/>
        <v>-3741.323739836536</v>
      </c>
      <c r="Y226" s="356">
        <f t="shared" si="67"/>
        <v>3737439.694925775</v>
      </c>
      <c r="AA226" s="357">
        <f>+Bono!J226</f>
        <v>224873.7220294287</v>
      </c>
      <c r="AC226" s="378">
        <f t="shared" si="68"/>
        <v>16.916666666666668</v>
      </c>
      <c r="AD226" s="356">
        <f t="shared" si="69"/>
        <v>4348920.093248445</v>
      </c>
    </row>
    <row r="227" spans="2:30" x14ac:dyDescent="0.25">
      <c r="B227" s="356">
        <f t="shared" si="70"/>
        <v>204</v>
      </c>
      <c r="C227" s="357">
        <f t="shared" si="56"/>
        <v>16</v>
      </c>
      <c r="D227" s="357">
        <f t="shared" si="57"/>
        <v>12</v>
      </c>
      <c r="E227" s="357">
        <f t="shared" si="58"/>
        <v>45</v>
      </c>
      <c r="F227" s="356">
        <f t="shared" si="71"/>
        <v>386606.6762932409</v>
      </c>
      <c r="H227" s="356">
        <f t="shared" si="64"/>
        <v>3082.855927514043</v>
      </c>
      <c r="I227" s="356">
        <v>0</v>
      </c>
      <c r="J227" s="360">
        <f>-SUM(F227:H227)*$J$21</f>
        <v>-3507.205789986795</v>
      </c>
      <c r="K227" s="356">
        <f t="shared" si="72"/>
        <v>-386.1823264307681</v>
      </c>
      <c r="L227" s="356">
        <f t="shared" si="65"/>
        <v>385796.1441043374</v>
      </c>
      <c r="N227" s="356">
        <f t="shared" si="73"/>
        <v>204</v>
      </c>
      <c r="O227" s="357">
        <f t="shared" si="59"/>
        <v>16</v>
      </c>
      <c r="P227" s="357">
        <f t="shared" si="60"/>
        <v>12</v>
      </c>
      <c r="Q227" s="357">
        <f t="shared" si="61"/>
        <v>16</v>
      </c>
      <c r="R227" s="356">
        <f t="shared" si="74"/>
        <v>3737439.694925775</v>
      </c>
      <c r="S227" s="356">
        <f>IF($G$4="mensual",S226,0)</f>
        <v>10000</v>
      </c>
      <c r="U227" s="356">
        <f t="shared" si="62"/>
        <v>29882.61037618641</v>
      </c>
      <c r="V227" s="356">
        <f t="shared" si="63"/>
        <v>-142.72117092441215</v>
      </c>
      <c r="X227" s="356">
        <f t="shared" si="66"/>
        <v>-3777.322305301961</v>
      </c>
      <c r="Y227" s="356">
        <f t="shared" si="67"/>
        <v>3773402.2618257343</v>
      </c>
      <c r="AA227" s="357">
        <f>+Bono!J227</f>
        <v>224229.51505290385</v>
      </c>
      <c r="AC227" s="378">
        <f t="shared" si="68"/>
        <v>17</v>
      </c>
      <c r="AD227" s="356">
        <f t="shared" si="69"/>
        <v>4383427.9209829755</v>
      </c>
    </row>
    <row r="228" spans="2:30" x14ac:dyDescent="0.25">
      <c r="B228" s="356">
        <f t="shared" si="70"/>
        <v>205</v>
      </c>
      <c r="C228" s="357">
        <f t="shared" ref="C228:C291" si="75">C216+1</f>
        <v>17</v>
      </c>
      <c r="D228" s="357">
        <f t="shared" ref="D228:D291" si="76">D216</f>
        <v>1</v>
      </c>
      <c r="E228" s="357">
        <f t="shared" ref="E228:E291" si="77">E216+1</f>
        <v>46</v>
      </c>
      <c r="F228" s="356">
        <f t="shared" si="71"/>
        <v>385796.1441043374</v>
      </c>
      <c r="H228" s="356">
        <f t="shared" si="64"/>
        <v>3076.3926300175794</v>
      </c>
      <c r="I228" s="356">
        <v>0</v>
      </c>
      <c r="J228" s="356">
        <v>0</v>
      </c>
      <c r="K228" s="356">
        <f t="shared" si="72"/>
        <v>-388.872536734355</v>
      </c>
      <c r="L228" s="356">
        <f t="shared" si="65"/>
        <v>388483.66419762064</v>
      </c>
      <c r="N228" s="356">
        <f t="shared" si="73"/>
        <v>205</v>
      </c>
      <c r="O228" s="357">
        <f t="shared" ref="O228:O291" si="78">O216+1</f>
        <v>17</v>
      </c>
      <c r="P228" s="357">
        <f t="shared" ref="P228:P291" si="79">P216</f>
        <v>1</v>
      </c>
      <c r="Q228" s="357">
        <f t="shared" ref="Q228:Q291" si="80">Q216+1</f>
        <v>17</v>
      </c>
      <c r="R228" s="356">
        <f t="shared" si="74"/>
        <v>3773402.2618257343</v>
      </c>
      <c r="S228" s="356">
        <f>IF($G$17="si",S216*(1+$G$20),S216)</f>
        <v>10000</v>
      </c>
      <c r="U228" s="356">
        <f t="shared" ref="U228:U291" si="81">SUM(R228:T228)*$G$8</f>
        <v>30169.380934830533</v>
      </c>
      <c r="V228" s="356">
        <f>V227*(1+$G$18)</f>
        <v>-148.43001776138863</v>
      </c>
      <c r="X228" s="356">
        <f t="shared" si="66"/>
        <v>-3813.5716427605653</v>
      </c>
      <c r="Y228" s="356">
        <f t="shared" si="67"/>
        <v>3809609.641100043</v>
      </c>
      <c r="AA228" s="357">
        <f>+Bono!J228</f>
        <v>225619.76405524576</v>
      </c>
      <c r="AC228" s="378">
        <f t="shared" si="68"/>
        <v>17.083333333333332</v>
      </c>
      <c r="AD228" s="356">
        <f t="shared" si="69"/>
        <v>4423713.069352909</v>
      </c>
    </row>
    <row r="229" spans="2:30" x14ac:dyDescent="0.25">
      <c r="B229" s="356">
        <f t="shared" si="70"/>
        <v>206</v>
      </c>
      <c r="C229" s="357">
        <f t="shared" si="75"/>
        <v>17</v>
      </c>
      <c r="D229" s="357">
        <f t="shared" si="76"/>
        <v>2</v>
      </c>
      <c r="E229" s="357">
        <f t="shared" si="77"/>
        <v>46</v>
      </c>
      <c r="F229" s="356">
        <f t="shared" si="71"/>
        <v>388483.66419762064</v>
      </c>
      <c r="H229" s="356">
        <f t="shared" si="64"/>
        <v>3097.8232926469204</v>
      </c>
      <c r="I229" s="356">
        <v>0</v>
      </c>
      <c r="J229" s="356">
        <v>0</v>
      </c>
      <c r="K229" s="356">
        <f t="shared" si="72"/>
        <v>-391.58148749026753</v>
      </c>
      <c r="L229" s="356">
        <f t="shared" si="65"/>
        <v>391189.9060027773</v>
      </c>
      <c r="N229" s="356">
        <f t="shared" si="73"/>
        <v>206</v>
      </c>
      <c r="O229" s="357">
        <f t="shared" si="78"/>
        <v>17</v>
      </c>
      <c r="P229" s="357">
        <f t="shared" si="79"/>
        <v>2</v>
      </c>
      <c r="Q229" s="357">
        <f t="shared" si="80"/>
        <v>17</v>
      </c>
      <c r="R229" s="356">
        <f t="shared" si="74"/>
        <v>3809609.641100043</v>
      </c>
      <c r="S229" s="356">
        <f>IF($G$4="mensual",S228,0)</f>
        <v>10000</v>
      </c>
      <c r="U229" s="356">
        <f t="shared" si="81"/>
        <v>30458.10366172645</v>
      </c>
      <c r="V229" s="356">
        <f>V228</f>
        <v>-148.43001776138863</v>
      </c>
      <c r="X229" s="356">
        <f t="shared" si="66"/>
        <v>-3850.067744761769</v>
      </c>
      <c r="Y229" s="356">
        <f t="shared" si="67"/>
        <v>3846069.246999246</v>
      </c>
      <c r="AA229" s="357">
        <f>+Bono!J229</f>
        <v>227018.63276266112</v>
      </c>
      <c r="AC229" s="378">
        <f t="shared" si="68"/>
        <v>17.166666666666668</v>
      </c>
      <c r="AD229" s="356">
        <f t="shared" si="69"/>
        <v>4464277.785764685</v>
      </c>
    </row>
    <row r="230" spans="2:30" x14ac:dyDescent="0.25">
      <c r="B230" s="356">
        <f t="shared" si="70"/>
        <v>207</v>
      </c>
      <c r="C230" s="357">
        <f t="shared" si="75"/>
        <v>17</v>
      </c>
      <c r="D230" s="357">
        <f t="shared" si="76"/>
        <v>3</v>
      </c>
      <c r="E230" s="357">
        <f t="shared" si="77"/>
        <v>46</v>
      </c>
      <c r="F230" s="356">
        <f t="shared" si="71"/>
        <v>391189.9060027773</v>
      </c>
      <c r="H230" s="356">
        <f t="shared" si="64"/>
        <v>3119.40324483581</v>
      </c>
      <c r="I230" s="356">
        <v>0</v>
      </c>
      <c r="J230" s="360">
        <f>-SUM(F230:H230)*$J$21</f>
        <v>-3548.783783228518</v>
      </c>
      <c r="K230" s="356">
        <f t="shared" si="72"/>
        <v>-390.76052546438456</v>
      </c>
      <c r="L230" s="356">
        <f t="shared" si="65"/>
        <v>390369.76493892015</v>
      </c>
      <c r="N230" s="356">
        <f t="shared" si="73"/>
        <v>207</v>
      </c>
      <c r="O230" s="357">
        <f t="shared" si="78"/>
        <v>17</v>
      </c>
      <c r="P230" s="357">
        <f t="shared" si="79"/>
        <v>3</v>
      </c>
      <c r="Q230" s="357">
        <f t="shared" si="80"/>
        <v>17</v>
      </c>
      <c r="R230" s="356">
        <f t="shared" si="74"/>
        <v>3846069.246999246</v>
      </c>
      <c r="S230" s="356">
        <f>IF($G$4="mensual",S229,0)</f>
        <v>10000</v>
      </c>
      <c r="U230" s="356">
        <f t="shared" si="81"/>
        <v>30748.837679149183</v>
      </c>
      <c r="V230" s="356">
        <f t="shared" si="63"/>
        <v>-148.43001776138863</v>
      </c>
      <c r="X230" s="356">
        <f t="shared" si="66"/>
        <v>-3886.8180846783953</v>
      </c>
      <c r="Y230" s="356">
        <f t="shared" si="67"/>
        <v>3882782.836575955</v>
      </c>
      <c r="AA230" s="357">
        <f>+Bono!J230</f>
        <v>226368.28115329123</v>
      </c>
      <c r="AC230" s="378">
        <f t="shared" si="68"/>
        <v>17.25</v>
      </c>
      <c r="AD230" s="356">
        <f t="shared" si="69"/>
        <v>4499520.882668166</v>
      </c>
    </row>
    <row r="231" spans="2:30" x14ac:dyDescent="0.25">
      <c r="B231" s="356">
        <f t="shared" si="70"/>
        <v>208</v>
      </c>
      <c r="C231" s="357">
        <f t="shared" si="75"/>
        <v>17</v>
      </c>
      <c r="D231" s="357">
        <f t="shared" si="76"/>
        <v>4</v>
      </c>
      <c r="E231" s="357">
        <f t="shared" si="77"/>
        <v>46</v>
      </c>
      <c r="F231" s="356">
        <f t="shared" si="71"/>
        <v>390369.76493892015</v>
      </c>
      <c r="H231" s="356">
        <f t="shared" si="64"/>
        <v>3112.863324821102</v>
      </c>
      <c r="I231" s="356">
        <v>0</v>
      </c>
      <c r="J231" s="356">
        <v>0</v>
      </c>
      <c r="K231" s="356">
        <f t="shared" si="72"/>
        <v>-393.4826282637413</v>
      </c>
      <c r="L231" s="356">
        <f t="shared" si="65"/>
        <v>393089.1456354775</v>
      </c>
      <c r="N231" s="356">
        <f t="shared" si="73"/>
        <v>208</v>
      </c>
      <c r="O231" s="357">
        <f t="shared" si="78"/>
        <v>17</v>
      </c>
      <c r="P231" s="357">
        <f t="shared" si="79"/>
        <v>4</v>
      </c>
      <c r="Q231" s="357">
        <f t="shared" si="80"/>
        <v>17</v>
      </c>
      <c r="R231" s="356">
        <f t="shared" si="74"/>
        <v>3882782.836575955</v>
      </c>
      <c r="S231" s="356">
        <f>IF($G$4="mensual",S228,IF($G$4="trimestral",S228,0))</f>
        <v>10000</v>
      </c>
      <c r="U231" s="356">
        <f t="shared" si="81"/>
        <v>31041.596998082998</v>
      </c>
      <c r="V231" s="356">
        <f t="shared" si="63"/>
        <v>-148.43001776138863</v>
      </c>
      <c r="X231" s="356">
        <f t="shared" si="66"/>
        <v>-3923.8244335740383</v>
      </c>
      <c r="Y231" s="356">
        <f t="shared" si="67"/>
        <v>3919752.1791227027</v>
      </c>
      <c r="AA231" s="357">
        <f>+Bono!J231</f>
        <v>227771.79075353706</v>
      </c>
      <c r="AC231" s="378">
        <f t="shared" si="68"/>
        <v>17.333333333333332</v>
      </c>
      <c r="AD231" s="356">
        <f t="shared" si="69"/>
        <v>4540613.115511717</v>
      </c>
    </row>
    <row r="232" spans="2:30" x14ac:dyDescent="0.25">
      <c r="B232" s="356">
        <f t="shared" si="70"/>
        <v>209</v>
      </c>
      <c r="C232" s="357">
        <f t="shared" si="75"/>
        <v>17</v>
      </c>
      <c r="D232" s="357">
        <f t="shared" si="76"/>
        <v>5</v>
      </c>
      <c r="E232" s="357">
        <f t="shared" si="77"/>
        <v>46</v>
      </c>
      <c r="F232" s="356">
        <f t="shared" si="71"/>
        <v>393089.1456354775</v>
      </c>
      <c r="H232" s="356">
        <f t="shared" si="64"/>
        <v>3134.5480483751007</v>
      </c>
      <c r="I232" s="356">
        <v>0</v>
      </c>
      <c r="J232" s="356">
        <v>0</v>
      </c>
      <c r="K232" s="356">
        <f t="shared" si="72"/>
        <v>-396.2236936838526</v>
      </c>
      <c r="L232" s="356">
        <f t="shared" si="65"/>
        <v>395827.46999016876</v>
      </c>
      <c r="N232" s="356">
        <f t="shared" si="73"/>
        <v>209</v>
      </c>
      <c r="O232" s="357">
        <f t="shared" si="78"/>
        <v>17</v>
      </c>
      <c r="P232" s="357">
        <f t="shared" si="79"/>
        <v>5</v>
      </c>
      <c r="Q232" s="357">
        <f t="shared" si="80"/>
        <v>17</v>
      </c>
      <c r="R232" s="356">
        <f t="shared" si="74"/>
        <v>3919752.1791227027</v>
      </c>
      <c r="S232" s="356">
        <f>IF($G$4="mensual",S231,0)</f>
        <v>10000</v>
      </c>
      <c r="U232" s="356">
        <f t="shared" si="81"/>
        <v>31336.39572711501</v>
      </c>
      <c r="V232" s="356">
        <f t="shared" si="63"/>
        <v>-148.43001776138863</v>
      </c>
      <c r="X232" s="356">
        <f t="shared" si="66"/>
        <v>-3961.088574849818</v>
      </c>
      <c r="Y232" s="356">
        <f t="shared" si="67"/>
        <v>3956979.0562572065</v>
      </c>
      <c r="AA232" s="357">
        <f>+Bono!J232</f>
        <v>229184.00227610147</v>
      </c>
      <c r="AC232" s="378">
        <f t="shared" si="68"/>
        <v>17.416666666666668</v>
      </c>
      <c r="AD232" s="356">
        <f t="shared" si="69"/>
        <v>4581990.528523477</v>
      </c>
    </row>
    <row r="233" spans="2:30" x14ac:dyDescent="0.25">
      <c r="B233" s="356">
        <f t="shared" si="70"/>
        <v>210</v>
      </c>
      <c r="C233" s="357">
        <f t="shared" si="75"/>
        <v>17</v>
      </c>
      <c r="D233" s="357">
        <f t="shared" si="76"/>
        <v>6</v>
      </c>
      <c r="E233" s="357">
        <f t="shared" si="77"/>
        <v>46</v>
      </c>
      <c r="F233" s="356">
        <f t="shared" si="71"/>
        <v>395827.46999016876</v>
      </c>
      <c r="H233" s="356">
        <f t="shared" si="64"/>
        <v>3156.383831319296</v>
      </c>
      <c r="I233" s="356">
        <v>0</v>
      </c>
      <c r="J233" s="360">
        <f>-SUM(F233:H233)*$J$21</f>
        <v>-3590.8546843933927</v>
      </c>
      <c r="K233" s="356">
        <f t="shared" si="72"/>
        <v>-395.39299913709465</v>
      </c>
      <c r="L233" s="356">
        <f t="shared" si="65"/>
        <v>394997.60613795754</v>
      </c>
      <c r="N233" s="356">
        <f t="shared" si="73"/>
        <v>210</v>
      </c>
      <c r="O233" s="357">
        <f t="shared" si="78"/>
        <v>17</v>
      </c>
      <c r="P233" s="357">
        <f t="shared" si="79"/>
        <v>6</v>
      </c>
      <c r="Q233" s="357">
        <f t="shared" si="80"/>
        <v>17</v>
      </c>
      <c r="R233" s="356">
        <f t="shared" si="74"/>
        <v>3956979.0562572065</v>
      </c>
      <c r="S233" s="356">
        <f>IF($G$4="mensual",S232,0)</f>
        <v>10000</v>
      </c>
      <c r="U233" s="356">
        <f t="shared" si="81"/>
        <v>31633.24807311509</v>
      </c>
      <c r="V233" s="356">
        <f t="shared" si="63"/>
        <v>-148.43001776138863</v>
      </c>
      <c r="X233" s="356">
        <f t="shared" si="66"/>
        <v>-3998.6123043303214</v>
      </c>
      <c r="Y233" s="356">
        <f t="shared" si="67"/>
        <v>3994465.2620082297</v>
      </c>
      <c r="AA233" s="357">
        <f>+Bono!J233</f>
        <v>228527.44742459763</v>
      </c>
      <c r="AC233" s="378">
        <f t="shared" si="68"/>
        <v>17.5</v>
      </c>
      <c r="AD233" s="356">
        <f t="shared" si="69"/>
        <v>4617990.315570785</v>
      </c>
    </row>
    <row r="234" spans="2:30" x14ac:dyDescent="0.25">
      <c r="B234" s="356">
        <f t="shared" si="70"/>
        <v>211</v>
      </c>
      <c r="C234" s="357">
        <f t="shared" si="75"/>
        <v>17</v>
      </c>
      <c r="D234" s="357">
        <f t="shared" si="76"/>
        <v>7</v>
      </c>
      <c r="E234" s="357">
        <f t="shared" si="77"/>
        <v>46</v>
      </c>
      <c r="F234" s="356">
        <f t="shared" si="71"/>
        <v>394997.60613795754</v>
      </c>
      <c r="H234" s="356">
        <f t="shared" si="64"/>
        <v>3149.7663804248928</v>
      </c>
      <c r="I234" s="356">
        <v>0</v>
      </c>
      <c r="J234" s="356">
        <v>0</v>
      </c>
      <c r="K234" s="356">
        <f t="shared" si="72"/>
        <v>-398.14737251838244</v>
      </c>
      <c r="L234" s="356">
        <f t="shared" si="65"/>
        <v>397749.22514586407</v>
      </c>
      <c r="N234" s="356">
        <f t="shared" si="73"/>
        <v>211</v>
      </c>
      <c r="O234" s="357">
        <f t="shared" si="78"/>
        <v>17</v>
      </c>
      <c r="P234" s="357">
        <f t="shared" si="79"/>
        <v>7</v>
      </c>
      <c r="Q234" s="357">
        <f t="shared" si="80"/>
        <v>17</v>
      </c>
      <c r="R234" s="356">
        <f t="shared" si="74"/>
        <v>3994465.2620082297</v>
      </c>
      <c r="S234" s="356">
        <f>+IF($G$4="mensual",S228,IF($G$4="trimestral",S228,IF($G$4="semestral",S228,0)))</f>
        <v>10000</v>
      </c>
      <c r="U234" s="356">
        <f t="shared" si="81"/>
        <v>31932.16834192053</v>
      </c>
      <c r="V234" s="356">
        <f t="shared" si="63"/>
        <v>-148.43001776138863</v>
      </c>
      <c r="X234" s="356">
        <f t="shared" si="66"/>
        <v>-4036.3974303501504</v>
      </c>
      <c r="Y234" s="356">
        <f t="shared" si="67"/>
        <v>4032212.602902039</v>
      </c>
      <c r="AA234" s="357">
        <f>+Bono!J234</f>
        <v>229944.34410617335</v>
      </c>
      <c r="AC234" s="378">
        <f t="shared" si="68"/>
        <v>17.583333333333332</v>
      </c>
      <c r="AD234" s="356">
        <f t="shared" si="69"/>
        <v>4659906.172154076</v>
      </c>
    </row>
    <row r="235" spans="2:30" x14ac:dyDescent="0.25">
      <c r="B235" s="356">
        <f t="shared" si="70"/>
        <v>212</v>
      </c>
      <c r="C235" s="357">
        <f t="shared" si="75"/>
        <v>17</v>
      </c>
      <c r="D235" s="357">
        <f t="shared" si="76"/>
        <v>8</v>
      </c>
      <c r="E235" s="357">
        <f t="shared" si="77"/>
        <v>46</v>
      </c>
      <c r="F235" s="356">
        <f t="shared" si="71"/>
        <v>397749.22514586407</v>
      </c>
      <c r="H235" s="356">
        <f t="shared" si="64"/>
        <v>3171.7081768007806</v>
      </c>
      <c r="I235" s="356">
        <v>0</v>
      </c>
      <c r="J235" s="356">
        <v>0</v>
      </c>
      <c r="K235" s="356">
        <f t="shared" si="72"/>
        <v>-400.9209333226649</v>
      </c>
      <c r="L235" s="356">
        <f t="shared" si="65"/>
        <v>400520.0123893422</v>
      </c>
      <c r="N235" s="356">
        <f t="shared" si="73"/>
        <v>212</v>
      </c>
      <c r="O235" s="357">
        <f t="shared" si="78"/>
        <v>17</v>
      </c>
      <c r="P235" s="357">
        <f t="shared" si="79"/>
        <v>8</v>
      </c>
      <c r="Q235" s="357">
        <f t="shared" si="80"/>
        <v>17</v>
      </c>
      <c r="R235" s="356">
        <f t="shared" si="74"/>
        <v>4032212.602902039</v>
      </c>
      <c r="S235" s="356">
        <f>IF($G$4="mensual",S234,0)</f>
        <v>10000</v>
      </c>
      <c r="U235" s="356">
        <f t="shared" si="81"/>
        <v>32233.170939025465</v>
      </c>
      <c r="V235" s="356">
        <f t="shared" si="63"/>
        <v>-148.43001776138863</v>
      </c>
      <c r="X235" s="356">
        <f t="shared" si="66"/>
        <v>-4074.4457738410647</v>
      </c>
      <c r="Y235" s="356">
        <f t="shared" si="67"/>
        <v>4070222.898049462</v>
      </c>
      <c r="AA235" s="357">
        <f>+Bono!J235</f>
        <v>231370.02571152468</v>
      </c>
      <c r="AC235" s="378">
        <f t="shared" si="68"/>
        <v>17.666666666666668</v>
      </c>
      <c r="AD235" s="356">
        <f t="shared" si="69"/>
        <v>4702112.936150329</v>
      </c>
    </row>
    <row r="236" spans="2:30" x14ac:dyDescent="0.25">
      <c r="B236" s="356">
        <f t="shared" si="70"/>
        <v>213</v>
      </c>
      <c r="C236" s="357">
        <f t="shared" si="75"/>
        <v>17</v>
      </c>
      <c r="D236" s="357">
        <f t="shared" si="76"/>
        <v>9</v>
      </c>
      <c r="E236" s="357">
        <f t="shared" si="77"/>
        <v>46</v>
      </c>
      <c r="F236" s="356">
        <f t="shared" si="71"/>
        <v>400520.0123893422</v>
      </c>
      <c r="H236" s="356">
        <f t="shared" si="64"/>
        <v>3193.80282337889</v>
      </c>
      <c r="I236" s="356">
        <v>0</v>
      </c>
      <c r="J236" s="360">
        <f>-SUM(F236:H236)*$J$21</f>
        <v>-3633.42433691449</v>
      </c>
      <c r="K236" s="356">
        <f t="shared" si="72"/>
        <v>-400.0803908758066</v>
      </c>
      <c r="L236" s="356">
        <f t="shared" si="65"/>
        <v>399680.31048493076</v>
      </c>
      <c r="N236" s="356">
        <f t="shared" si="73"/>
        <v>213</v>
      </c>
      <c r="O236" s="357">
        <f t="shared" si="78"/>
        <v>17</v>
      </c>
      <c r="P236" s="357">
        <f t="shared" si="79"/>
        <v>9</v>
      </c>
      <c r="Q236" s="357">
        <f t="shared" si="80"/>
        <v>17</v>
      </c>
      <c r="R236" s="356">
        <f t="shared" si="74"/>
        <v>4070222.898049462</v>
      </c>
      <c r="S236" s="356">
        <f>IF($G$4="mensual",S235,0)</f>
        <v>10000</v>
      </c>
      <c r="U236" s="356">
        <f t="shared" si="81"/>
        <v>32536.2703702751</v>
      </c>
      <c r="V236" s="356">
        <f t="shared" si="63"/>
        <v>-148.43001776138863</v>
      </c>
      <c r="X236" s="356">
        <f t="shared" si="66"/>
        <v>-4112.759168419738</v>
      </c>
      <c r="Y236" s="356">
        <f t="shared" si="67"/>
        <v>4108497.9792335564</v>
      </c>
      <c r="AA236" s="357">
        <f>+Bono!J236</f>
        <v>230707.2084495656</v>
      </c>
      <c r="AC236" s="378">
        <f t="shared" si="68"/>
        <v>17.75</v>
      </c>
      <c r="AD236" s="356">
        <f t="shared" si="69"/>
        <v>4738885.498168053</v>
      </c>
    </row>
    <row r="237" spans="2:30" x14ac:dyDescent="0.25">
      <c r="B237" s="356">
        <f t="shared" si="70"/>
        <v>214</v>
      </c>
      <c r="C237" s="357">
        <f t="shared" si="75"/>
        <v>17</v>
      </c>
      <c r="D237" s="357">
        <f t="shared" si="76"/>
        <v>10</v>
      </c>
      <c r="E237" s="357">
        <f t="shared" si="77"/>
        <v>46</v>
      </c>
      <c r="F237" s="356">
        <f t="shared" si="71"/>
        <v>399680.31048493076</v>
      </c>
      <c r="H237" s="356">
        <f t="shared" si="64"/>
        <v>3187.1069224746952</v>
      </c>
      <c r="I237" s="356">
        <v>0</v>
      </c>
      <c r="J237" s="356">
        <v>0</v>
      </c>
      <c r="K237" s="356">
        <f t="shared" si="72"/>
        <v>-402.86741740740547</v>
      </c>
      <c r="L237" s="356">
        <f t="shared" si="65"/>
        <v>402464.54998999805</v>
      </c>
      <c r="N237" s="356">
        <f t="shared" si="73"/>
        <v>214</v>
      </c>
      <c r="O237" s="357">
        <f t="shared" si="78"/>
        <v>17</v>
      </c>
      <c r="P237" s="357">
        <f t="shared" si="79"/>
        <v>10</v>
      </c>
      <c r="Q237" s="357">
        <f t="shared" si="80"/>
        <v>17</v>
      </c>
      <c r="R237" s="356">
        <f t="shared" si="74"/>
        <v>4108497.9792335564</v>
      </c>
      <c r="S237" s="356">
        <f>IF($G$4="mensual",S228,IF($G$4="trimestral",S228,0))</f>
        <v>10000</v>
      </c>
      <c r="U237" s="356">
        <f t="shared" si="81"/>
        <v>32841.48124256476</v>
      </c>
      <c r="V237" s="356">
        <f t="shared" si="63"/>
        <v>-148.43001776138863</v>
      </c>
      <c r="X237" s="356">
        <f t="shared" si="66"/>
        <v>-4151.3394604761215</v>
      </c>
      <c r="Y237" s="356">
        <f t="shared" si="67"/>
        <v>4147039.6909978837</v>
      </c>
      <c r="AA237" s="357">
        <f>+Bono!J237</f>
        <v>232137.61990233272</v>
      </c>
      <c r="AC237" s="378">
        <f t="shared" si="68"/>
        <v>17.833333333333332</v>
      </c>
      <c r="AD237" s="356">
        <f t="shared" si="69"/>
        <v>4781641.860890214</v>
      </c>
    </row>
    <row r="238" spans="2:30" x14ac:dyDescent="0.25">
      <c r="B238" s="356">
        <f t="shared" si="70"/>
        <v>215</v>
      </c>
      <c r="C238" s="357">
        <f t="shared" si="75"/>
        <v>17</v>
      </c>
      <c r="D238" s="357">
        <f t="shared" si="76"/>
        <v>11</v>
      </c>
      <c r="E238" s="357">
        <f t="shared" si="77"/>
        <v>46</v>
      </c>
      <c r="F238" s="356">
        <f t="shared" si="71"/>
        <v>402464.54998999805</v>
      </c>
      <c r="H238" s="356">
        <f t="shared" si="64"/>
        <v>3209.3088392758036</v>
      </c>
      <c r="I238" s="356">
        <v>0</v>
      </c>
      <c r="J238" s="356">
        <v>0</v>
      </c>
      <c r="K238" s="356">
        <f t="shared" si="72"/>
        <v>-405.67385882927385</v>
      </c>
      <c r="L238" s="356">
        <f t="shared" si="65"/>
        <v>405268.1849704446</v>
      </c>
      <c r="N238" s="356">
        <f t="shared" si="73"/>
        <v>215</v>
      </c>
      <c r="O238" s="357">
        <f t="shared" si="78"/>
        <v>17</v>
      </c>
      <c r="P238" s="357">
        <f t="shared" si="79"/>
        <v>11</v>
      </c>
      <c r="Q238" s="357">
        <f t="shared" si="80"/>
        <v>17</v>
      </c>
      <c r="R238" s="356">
        <f t="shared" si="74"/>
        <v>4147039.6909978837</v>
      </c>
      <c r="S238" s="356">
        <f>IF($G$17="si",S226*(1+$G$20),S226)</f>
        <v>10000</v>
      </c>
      <c r="U238" s="356">
        <f t="shared" si="81"/>
        <v>33148.818264543836</v>
      </c>
      <c r="V238" s="356">
        <f t="shared" si="63"/>
        <v>-148.43001776138863</v>
      </c>
      <c r="X238" s="356">
        <f t="shared" si="66"/>
        <v>-4190.188509262428</v>
      </c>
      <c r="Y238" s="356">
        <f t="shared" si="67"/>
        <v>4185849.8907354036</v>
      </c>
      <c r="AA238" s="357">
        <f>+Bono!J238</f>
        <v>233576.9000720245</v>
      </c>
      <c r="AC238" s="378">
        <f t="shared" si="68"/>
        <v>17.916666666666668</v>
      </c>
      <c r="AD238" s="356">
        <f t="shared" si="69"/>
        <v>4824694.975777873</v>
      </c>
    </row>
    <row r="239" spans="2:30" x14ac:dyDescent="0.25">
      <c r="B239" s="356">
        <f t="shared" si="70"/>
        <v>216</v>
      </c>
      <c r="C239" s="357">
        <f t="shared" si="75"/>
        <v>17</v>
      </c>
      <c r="D239" s="357">
        <f t="shared" si="76"/>
        <v>12</v>
      </c>
      <c r="E239" s="357">
        <f t="shared" si="77"/>
        <v>46</v>
      </c>
      <c r="F239" s="356">
        <f t="shared" si="71"/>
        <v>405268.1849704446</v>
      </c>
      <c r="H239" s="356">
        <f t="shared" si="64"/>
        <v>3231.6654183212713</v>
      </c>
      <c r="I239" s="356">
        <v>0</v>
      </c>
      <c r="J239" s="360">
        <f>-SUM(F239:H239)*$J$21</f>
        <v>-3676.498653498893</v>
      </c>
      <c r="K239" s="356">
        <f t="shared" si="72"/>
        <v>-404.82335173526695</v>
      </c>
      <c r="L239" s="356">
        <f t="shared" si="65"/>
        <v>404418.5283835317</v>
      </c>
      <c r="N239" s="356">
        <f t="shared" si="73"/>
        <v>216</v>
      </c>
      <c r="O239" s="357">
        <f t="shared" si="78"/>
        <v>17</v>
      </c>
      <c r="P239" s="357">
        <f t="shared" si="79"/>
        <v>12</v>
      </c>
      <c r="Q239" s="357">
        <f t="shared" si="80"/>
        <v>17</v>
      </c>
      <c r="R239" s="356">
        <f t="shared" si="74"/>
        <v>4185849.8907354036</v>
      </c>
      <c r="S239" s="356">
        <f>IF($G$4="mensual",S238,0)</f>
        <v>10000</v>
      </c>
      <c r="U239" s="356">
        <f t="shared" si="81"/>
        <v>33458.29624732462</v>
      </c>
      <c r="V239" s="356">
        <f t="shared" si="63"/>
        <v>-148.43001776138863</v>
      </c>
      <c r="X239" s="356">
        <f t="shared" si="66"/>
        <v>-4229.308186982728</v>
      </c>
      <c r="Y239" s="356">
        <f t="shared" si="67"/>
        <v>4224930.448777985</v>
      </c>
      <c r="AA239" s="357">
        <f>+Bono!J239</f>
        <v>232907.7606669243</v>
      </c>
      <c r="AC239" s="378">
        <f t="shared" si="68"/>
        <v>18</v>
      </c>
      <c r="AD239" s="356">
        <f t="shared" si="69"/>
        <v>4862256.737828441</v>
      </c>
    </row>
    <row r="240" spans="2:30" x14ac:dyDescent="0.25">
      <c r="B240" s="356">
        <f t="shared" si="70"/>
        <v>217</v>
      </c>
      <c r="C240" s="357">
        <f t="shared" si="75"/>
        <v>18</v>
      </c>
      <c r="D240" s="357">
        <f t="shared" si="76"/>
        <v>1</v>
      </c>
      <c r="E240" s="357">
        <f t="shared" si="77"/>
        <v>47</v>
      </c>
      <c r="F240" s="356">
        <f t="shared" si="71"/>
        <v>404418.5283835317</v>
      </c>
      <c r="H240" s="356">
        <f t="shared" si="64"/>
        <v>3224.890137380885</v>
      </c>
      <c r="I240" s="356">
        <v>0</v>
      </c>
      <c r="J240" s="356">
        <v>0</v>
      </c>
      <c r="K240" s="356">
        <f t="shared" si="72"/>
        <v>-407.6434185209126</v>
      </c>
      <c r="L240" s="356">
        <f t="shared" si="65"/>
        <v>407235.77510239166</v>
      </c>
      <c r="N240" s="356">
        <f t="shared" si="73"/>
        <v>217</v>
      </c>
      <c r="O240" s="357">
        <f t="shared" si="78"/>
        <v>18</v>
      </c>
      <c r="P240" s="357">
        <f t="shared" si="79"/>
        <v>1</v>
      </c>
      <c r="Q240" s="357">
        <f t="shared" si="80"/>
        <v>18</v>
      </c>
      <c r="R240" s="356">
        <f t="shared" si="74"/>
        <v>4224930.448777985</v>
      </c>
      <c r="S240" s="356">
        <f>IF($G$17="si",S228*(1+$G$20),S228)</f>
        <v>10000</v>
      </c>
      <c r="U240" s="356">
        <f t="shared" si="81"/>
        <v>33769.930105196094</v>
      </c>
      <c r="V240" s="356">
        <f>V239*(1+$G$18)</f>
        <v>-154.36721847184418</v>
      </c>
      <c r="X240" s="356">
        <f t="shared" si="66"/>
        <v>-4268.700378883182</v>
      </c>
      <c r="Y240" s="356">
        <f t="shared" si="67"/>
        <v>4264277.311285825</v>
      </c>
      <c r="AA240" s="357">
        <f>+Bono!J240</f>
        <v>234351.8157986873</v>
      </c>
      <c r="AC240" s="378">
        <f t="shared" si="68"/>
        <v>18.083333333333332</v>
      </c>
      <c r="AD240" s="356">
        <f t="shared" si="69"/>
        <v>4905864.902186905</v>
      </c>
    </row>
    <row r="241" spans="2:30" x14ac:dyDescent="0.25">
      <c r="B241" s="356">
        <f t="shared" si="70"/>
        <v>218</v>
      </c>
      <c r="C241" s="357">
        <f t="shared" si="75"/>
        <v>18</v>
      </c>
      <c r="D241" s="357">
        <f t="shared" si="76"/>
        <v>2</v>
      </c>
      <c r="E241" s="357">
        <f t="shared" si="77"/>
        <v>47</v>
      </c>
      <c r="F241" s="356">
        <f t="shared" si="71"/>
        <v>407235.77510239166</v>
      </c>
      <c r="H241" s="356">
        <f t="shared" si="64"/>
        <v>3247.3552583399423</v>
      </c>
      <c r="I241" s="356">
        <v>0</v>
      </c>
      <c r="J241" s="356">
        <v>0</v>
      </c>
      <c r="K241" s="356">
        <f t="shared" si="72"/>
        <v>-410.48313036073165</v>
      </c>
      <c r="L241" s="356">
        <f t="shared" si="65"/>
        <v>410072.6472303709</v>
      </c>
      <c r="N241" s="356">
        <f t="shared" si="73"/>
        <v>218</v>
      </c>
      <c r="O241" s="357">
        <f t="shared" si="78"/>
        <v>18</v>
      </c>
      <c r="P241" s="357">
        <f t="shared" si="79"/>
        <v>2</v>
      </c>
      <c r="Q241" s="357">
        <f t="shared" si="80"/>
        <v>18</v>
      </c>
      <c r="R241" s="356">
        <f t="shared" si="74"/>
        <v>4264277.311285825</v>
      </c>
      <c r="S241" s="356">
        <f>IF($G$4="mensual",S240,0)</f>
        <v>10000</v>
      </c>
      <c r="U241" s="356">
        <f t="shared" si="81"/>
        <v>34083.68751227038</v>
      </c>
      <c r="V241" s="356">
        <f>V240</f>
        <v>-154.36721847184418</v>
      </c>
      <c r="X241" s="356">
        <f t="shared" si="66"/>
        <v>-4308.360998798095</v>
      </c>
      <c r="Y241" s="356">
        <f t="shared" si="67"/>
        <v>4303898.270580825</v>
      </c>
      <c r="AA241" s="357">
        <f>+Bono!J241</f>
        <v>235804.8242397673</v>
      </c>
      <c r="AC241" s="378">
        <f t="shared" si="68"/>
        <v>18.166666666666668</v>
      </c>
      <c r="AD241" s="356">
        <f t="shared" si="69"/>
        <v>4949775.742050963</v>
      </c>
    </row>
    <row r="242" spans="2:30" x14ac:dyDescent="0.25">
      <c r="B242" s="356">
        <f t="shared" si="70"/>
        <v>219</v>
      </c>
      <c r="C242" s="357">
        <f t="shared" si="75"/>
        <v>18</v>
      </c>
      <c r="D242" s="357">
        <f t="shared" si="76"/>
        <v>3</v>
      </c>
      <c r="E242" s="357">
        <f t="shared" si="77"/>
        <v>47</v>
      </c>
      <c r="F242" s="356">
        <f t="shared" si="71"/>
        <v>410072.6472303709</v>
      </c>
      <c r="H242" s="356">
        <f t="shared" si="64"/>
        <v>3269.976875067292</v>
      </c>
      <c r="I242" s="356">
        <v>0</v>
      </c>
      <c r="J242" s="360">
        <f>-SUM(F242:H242)*$J$21</f>
        <v>-3720.083616948944</v>
      </c>
      <c r="K242" s="356">
        <f t="shared" si="72"/>
        <v>-409.6225404884893</v>
      </c>
      <c r="L242" s="356">
        <f t="shared" si="65"/>
        <v>409212.9179480008</v>
      </c>
      <c r="N242" s="356">
        <f t="shared" si="73"/>
        <v>219</v>
      </c>
      <c r="O242" s="357">
        <f t="shared" si="78"/>
        <v>18</v>
      </c>
      <c r="P242" s="357">
        <f t="shared" si="79"/>
        <v>3</v>
      </c>
      <c r="Q242" s="357">
        <f t="shared" si="80"/>
        <v>18</v>
      </c>
      <c r="R242" s="356">
        <f t="shared" si="74"/>
        <v>4303898.270580825</v>
      </c>
      <c r="S242" s="356">
        <f>IF($G$4="mensual",S241,0)</f>
        <v>10000</v>
      </c>
      <c r="U242" s="356">
        <f t="shared" si="81"/>
        <v>34399.63060561659</v>
      </c>
      <c r="V242" s="356">
        <f t="shared" si="63"/>
        <v>-154.36721847184418</v>
      </c>
      <c r="X242" s="356">
        <f t="shared" si="66"/>
        <v>-4348.297901186442</v>
      </c>
      <c r="Y242" s="356">
        <f t="shared" si="67"/>
        <v>4343795.236066784</v>
      </c>
      <c r="AA242" s="357">
        <f>+Bono!J242</f>
        <v>235129.30238909242</v>
      </c>
      <c r="AC242" s="378">
        <f t="shared" si="68"/>
        <v>18.25</v>
      </c>
      <c r="AD242" s="356">
        <f t="shared" si="69"/>
        <v>4988137.456403878</v>
      </c>
    </row>
    <row r="243" spans="2:30" x14ac:dyDescent="0.25">
      <c r="B243" s="356">
        <f t="shared" si="70"/>
        <v>220</v>
      </c>
      <c r="C243" s="357">
        <f t="shared" si="75"/>
        <v>18</v>
      </c>
      <c r="D243" s="357">
        <f t="shared" si="76"/>
        <v>4</v>
      </c>
      <c r="E243" s="357">
        <f t="shared" si="77"/>
        <v>47</v>
      </c>
      <c r="F243" s="356">
        <f t="shared" si="71"/>
        <v>409212.9179480008</v>
      </c>
      <c r="H243" s="356">
        <f t="shared" si="64"/>
        <v>3263.121273038832</v>
      </c>
      <c r="I243" s="356">
        <v>0</v>
      </c>
      <c r="J243" s="356">
        <v>0</v>
      </c>
      <c r="K243" s="356">
        <f t="shared" si="72"/>
        <v>-412.4760392210396</v>
      </c>
      <c r="L243" s="356">
        <f t="shared" si="65"/>
        <v>412063.5631818186</v>
      </c>
      <c r="N243" s="356">
        <f t="shared" si="73"/>
        <v>220</v>
      </c>
      <c r="O243" s="357">
        <f t="shared" si="78"/>
        <v>18</v>
      </c>
      <c r="P243" s="357">
        <f t="shared" si="79"/>
        <v>4</v>
      </c>
      <c r="Q243" s="357">
        <f t="shared" si="80"/>
        <v>18</v>
      </c>
      <c r="R243" s="356">
        <f t="shared" si="74"/>
        <v>4343795.236066784</v>
      </c>
      <c r="S243" s="356">
        <f>IF($G$4="mensual",S240,IF($G$4="trimestral",S240,0))</f>
        <v>10000</v>
      </c>
      <c r="U243" s="356">
        <f t="shared" si="81"/>
        <v>34717.774611088746</v>
      </c>
      <c r="V243" s="356">
        <f t="shared" si="63"/>
        <v>-154.36721847184418</v>
      </c>
      <c r="X243" s="356">
        <f t="shared" si="66"/>
        <v>-4388.513010677872</v>
      </c>
      <c r="Y243" s="356">
        <f t="shared" si="67"/>
        <v>4383970.130448722</v>
      </c>
      <c r="AA243" s="357">
        <f>+Bono!J243</f>
        <v>236587.13133721577</v>
      </c>
      <c r="AC243" s="378">
        <f t="shared" si="68"/>
        <v>18.333333333333332</v>
      </c>
      <c r="AD243" s="356">
        <f t="shared" si="69"/>
        <v>5032620.824967757</v>
      </c>
    </row>
    <row r="244" spans="2:30" x14ac:dyDescent="0.25">
      <c r="B244" s="356">
        <f t="shared" si="70"/>
        <v>221</v>
      </c>
      <c r="C244" s="357">
        <f t="shared" si="75"/>
        <v>18</v>
      </c>
      <c r="D244" s="357">
        <f t="shared" si="76"/>
        <v>5</v>
      </c>
      <c r="E244" s="357">
        <f t="shared" si="77"/>
        <v>47</v>
      </c>
      <c r="F244" s="356">
        <f t="shared" si="71"/>
        <v>412063.5631818186</v>
      </c>
      <c r="H244" s="356">
        <f t="shared" si="64"/>
        <v>3285.85271844628</v>
      </c>
      <c r="I244" s="356">
        <v>0</v>
      </c>
      <c r="J244" s="356">
        <v>0</v>
      </c>
      <c r="K244" s="356">
        <f t="shared" si="72"/>
        <v>-415.3494159002649</v>
      </c>
      <c r="L244" s="356">
        <f t="shared" si="65"/>
        <v>414934.0664843646</v>
      </c>
      <c r="N244" s="356">
        <f t="shared" si="73"/>
        <v>221</v>
      </c>
      <c r="O244" s="357">
        <f t="shared" si="78"/>
        <v>18</v>
      </c>
      <c r="P244" s="357">
        <f t="shared" si="79"/>
        <v>5</v>
      </c>
      <c r="Q244" s="357">
        <f t="shared" si="80"/>
        <v>18</v>
      </c>
      <c r="R244" s="356">
        <f t="shared" si="74"/>
        <v>4383970.130448722</v>
      </c>
      <c r="S244" s="356">
        <f>IF($G$4="mensual",S243,0)</f>
        <v>10000</v>
      </c>
      <c r="U244" s="356">
        <f t="shared" si="81"/>
        <v>35038.134860606704</v>
      </c>
      <c r="V244" s="356">
        <f t="shared" si="63"/>
        <v>-154.36721847184418</v>
      </c>
      <c r="X244" s="356">
        <f t="shared" si="66"/>
        <v>-4429.0082653093295</v>
      </c>
      <c r="Y244" s="356">
        <f t="shared" si="67"/>
        <v>4424424.889825548</v>
      </c>
      <c r="AA244" s="357">
        <f>+Bono!J244</f>
        <v>238053.9989939152</v>
      </c>
      <c r="AC244" s="378">
        <f t="shared" si="68"/>
        <v>18.416666666666668</v>
      </c>
      <c r="AD244" s="356">
        <f t="shared" si="69"/>
        <v>5077412.955303828</v>
      </c>
    </row>
    <row r="245" spans="2:30" x14ac:dyDescent="0.25">
      <c r="B245" s="356">
        <f t="shared" si="70"/>
        <v>222</v>
      </c>
      <c r="C245" s="357">
        <f t="shared" si="75"/>
        <v>18</v>
      </c>
      <c r="D245" s="357">
        <f t="shared" si="76"/>
        <v>6</v>
      </c>
      <c r="E245" s="357">
        <f t="shared" si="77"/>
        <v>47</v>
      </c>
      <c r="F245" s="356">
        <f t="shared" si="71"/>
        <v>414934.0664843646</v>
      </c>
      <c r="H245" s="356">
        <f t="shared" si="64"/>
        <v>3308.7425148824145</v>
      </c>
      <c r="I245" s="356">
        <v>0</v>
      </c>
      <c r="J245" s="360">
        <f>-SUM(F245:H245)*$J$21</f>
        <v>-3764.185280993224</v>
      </c>
      <c r="K245" s="356">
        <f t="shared" si="72"/>
        <v>-414.4786237182538</v>
      </c>
      <c r="L245" s="356">
        <f t="shared" si="65"/>
        <v>414064.14509453555</v>
      </c>
      <c r="N245" s="356">
        <f t="shared" si="73"/>
        <v>222</v>
      </c>
      <c r="O245" s="357">
        <f t="shared" si="78"/>
        <v>18</v>
      </c>
      <c r="P245" s="357">
        <f t="shared" si="79"/>
        <v>6</v>
      </c>
      <c r="Q245" s="357">
        <f t="shared" si="80"/>
        <v>18</v>
      </c>
      <c r="R245" s="356">
        <f t="shared" si="74"/>
        <v>4424424.889825548</v>
      </c>
      <c r="S245" s="356">
        <f>IF($G$4="mensual",S244,0)</f>
        <v>10000</v>
      </c>
      <c r="U245" s="356">
        <f t="shared" si="81"/>
        <v>35360.726792895024</v>
      </c>
      <c r="V245" s="356">
        <f t="shared" si="63"/>
        <v>-154.36721847184418</v>
      </c>
      <c r="X245" s="356">
        <f t="shared" si="66"/>
        <v>-4469.785616618444</v>
      </c>
      <c r="Y245" s="356">
        <f t="shared" si="67"/>
        <v>4465161.463783353</v>
      </c>
      <c r="AA245" s="357">
        <f>+Bono!J245</f>
        <v>237372.03382005</v>
      </c>
      <c r="AC245" s="378">
        <f t="shared" si="68"/>
        <v>18.5</v>
      </c>
      <c r="AD245" s="356">
        <f t="shared" si="69"/>
        <v>5116597.642697938</v>
      </c>
    </row>
    <row r="246" spans="2:30" x14ac:dyDescent="0.25">
      <c r="B246" s="356">
        <f t="shared" si="70"/>
        <v>223</v>
      </c>
      <c r="C246" s="357">
        <f t="shared" si="75"/>
        <v>18</v>
      </c>
      <c r="D246" s="357">
        <f t="shared" si="76"/>
        <v>7</v>
      </c>
      <c r="E246" s="357">
        <f t="shared" si="77"/>
        <v>47</v>
      </c>
      <c r="F246" s="356">
        <f t="shared" si="71"/>
        <v>414064.14509453555</v>
      </c>
      <c r="H246" s="356">
        <f t="shared" si="64"/>
        <v>3301.80563955781</v>
      </c>
      <c r="I246" s="356">
        <v>0</v>
      </c>
      <c r="J246" s="356">
        <v>0</v>
      </c>
      <c r="K246" s="356">
        <f t="shared" si="72"/>
        <v>-417.36595073409336</v>
      </c>
      <c r="L246" s="356">
        <f t="shared" si="65"/>
        <v>416948.58478335926</v>
      </c>
      <c r="N246" s="356">
        <f t="shared" si="73"/>
        <v>223</v>
      </c>
      <c r="O246" s="357">
        <f t="shared" si="78"/>
        <v>18</v>
      </c>
      <c r="P246" s="357">
        <f t="shared" si="79"/>
        <v>7</v>
      </c>
      <c r="Q246" s="357">
        <f t="shared" si="80"/>
        <v>18</v>
      </c>
      <c r="R246" s="356">
        <f t="shared" si="74"/>
        <v>4465161.463783353</v>
      </c>
      <c r="S246" s="356">
        <f>+IF($G$4="mensual",S240,IF($G$4="trimestral",S240,IF($G$4="semestral",S240,0)))</f>
        <v>10000</v>
      </c>
      <c r="U246" s="356">
        <f t="shared" si="81"/>
        <v>35685.56595422698</v>
      </c>
      <c r="V246" s="356">
        <f t="shared" si="63"/>
        <v>-154.36721847184418</v>
      </c>
      <c r="X246" s="356">
        <f t="shared" si="66"/>
        <v>-4510.84702973758</v>
      </c>
      <c r="Y246" s="356">
        <f t="shared" si="67"/>
        <v>4506181.81548937</v>
      </c>
      <c r="AA246" s="357">
        <f>+Bono!J246</f>
        <v>238843.76796318605</v>
      </c>
      <c r="AC246" s="378">
        <f t="shared" si="68"/>
        <v>18.583333333333332</v>
      </c>
      <c r="AD246" s="356">
        <f t="shared" si="69"/>
        <v>5161974.168235916</v>
      </c>
    </row>
    <row r="247" spans="2:30" x14ac:dyDescent="0.25">
      <c r="B247" s="356">
        <f t="shared" si="70"/>
        <v>224</v>
      </c>
      <c r="C247" s="357">
        <f t="shared" si="75"/>
        <v>18</v>
      </c>
      <c r="D247" s="357">
        <f t="shared" si="76"/>
        <v>8</v>
      </c>
      <c r="E247" s="357">
        <f t="shared" si="77"/>
        <v>47</v>
      </c>
      <c r="F247" s="356">
        <f t="shared" si="71"/>
        <v>416948.58478335926</v>
      </c>
      <c r="H247" s="356">
        <f t="shared" si="64"/>
        <v>3324.806566695194</v>
      </c>
      <c r="I247" s="356">
        <v>0</v>
      </c>
      <c r="J247" s="356">
        <v>0</v>
      </c>
      <c r="K247" s="356">
        <f t="shared" si="72"/>
        <v>-420.2733913500545</v>
      </c>
      <c r="L247" s="356">
        <f t="shared" si="65"/>
        <v>419853.1179587044</v>
      </c>
      <c r="N247" s="356">
        <f t="shared" si="73"/>
        <v>224</v>
      </c>
      <c r="O247" s="357">
        <f t="shared" si="78"/>
        <v>18</v>
      </c>
      <c r="P247" s="357">
        <f t="shared" si="79"/>
        <v>8</v>
      </c>
      <c r="Q247" s="357">
        <f t="shared" si="80"/>
        <v>18</v>
      </c>
      <c r="R247" s="356">
        <f t="shared" si="74"/>
        <v>4506181.81548937</v>
      </c>
      <c r="S247" s="356">
        <f>IF($G$4="mensual",S246,0)</f>
        <v>10000</v>
      </c>
      <c r="U247" s="356">
        <f t="shared" si="81"/>
        <v>36012.66799917379</v>
      </c>
      <c r="V247" s="356">
        <f t="shared" si="63"/>
        <v>-154.36721847184418</v>
      </c>
      <c r="X247" s="356">
        <f t="shared" si="66"/>
        <v>-4552.194483488544</v>
      </c>
      <c r="Y247" s="356">
        <f t="shared" si="67"/>
        <v>4547487.921786583</v>
      </c>
      <c r="AA247" s="357">
        <f>+Bono!J247</f>
        <v>240324.62702872013</v>
      </c>
      <c r="AC247" s="378">
        <f t="shared" si="68"/>
        <v>18.666666666666668</v>
      </c>
      <c r="AD247" s="356">
        <f t="shared" si="69"/>
        <v>5207665.6667740075</v>
      </c>
    </row>
    <row r="248" spans="2:30" x14ac:dyDescent="0.25">
      <c r="B248" s="356">
        <f t="shared" si="70"/>
        <v>225</v>
      </c>
      <c r="C248" s="357">
        <f t="shared" si="75"/>
        <v>18</v>
      </c>
      <c r="D248" s="357">
        <f t="shared" si="76"/>
        <v>9</v>
      </c>
      <c r="E248" s="357">
        <f t="shared" si="77"/>
        <v>47</v>
      </c>
      <c r="F248" s="356">
        <f t="shared" si="71"/>
        <v>419853.1179587044</v>
      </c>
      <c r="H248" s="356">
        <f t="shared" si="64"/>
        <v>3347.967722115806</v>
      </c>
      <c r="I248" s="356">
        <v>0</v>
      </c>
      <c r="J248" s="360">
        <f>-SUM(F248:H248)*$J$21</f>
        <v>-3808.8097711273826</v>
      </c>
      <c r="K248" s="356">
        <f t="shared" si="72"/>
        <v>-419.3922759096929</v>
      </c>
      <c r="L248" s="356">
        <f t="shared" si="65"/>
        <v>418972.88363378315</v>
      </c>
      <c r="N248" s="356">
        <f t="shared" si="73"/>
        <v>225</v>
      </c>
      <c r="O248" s="357">
        <f t="shared" si="78"/>
        <v>18</v>
      </c>
      <c r="P248" s="357">
        <f t="shared" si="79"/>
        <v>9</v>
      </c>
      <c r="Q248" s="357">
        <f t="shared" si="80"/>
        <v>18</v>
      </c>
      <c r="R248" s="356">
        <f t="shared" si="74"/>
        <v>4547487.921786583</v>
      </c>
      <c r="S248" s="356">
        <f>IF($G$4="mensual",S247,0)</f>
        <v>10000</v>
      </c>
      <c r="U248" s="356">
        <f t="shared" si="81"/>
        <v>36342.04869135899</v>
      </c>
      <c r="V248" s="356">
        <f t="shared" si="63"/>
        <v>-154.36721847184418</v>
      </c>
      <c r="X248" s="356">
        <f t="shared" si="66"/>
        <v>-4593.829970477943</v>
      </c>
      <c r="Y248" s="356">
        <f t="shared" si="67"/>
        <v>4589081.773288992</v>
      </c>
      <c r="AA248" s="357">
        <f>+Bono!J248</f>
        <v>239636.1570733806</v>
      </c>
      <c r="AC248" s="378">
        <f t="shared" si="68"/>
        <v>18.75</v>
      </c>
      <c r="AD248" s="356">
        <f t="shared" si="69"/>
        <v>5247690.813996156</v>
      </c>
    </row>
    <row r="249" spans="2:30" x14ac:dyDescent="0.25">
      <c r="B249" s="356">
        <f t="shared" si="70"/>
        <v>226</v>
      </c>
      <c r="C249" s="357">
        <f t="shared" si="75"/>
        <v>18</v>
      </c>
      <c r="D249" s="357">
        <f t="shared" si="76"/>
        <v>10</v>
      </c>
      <c r="E249" s="357">
        <f t="shared" si="77"/>
        <v>47</v>
      </c>
      <c r="F249" s="356">
        <f t="shared" si="71"/>
        <v>418972.88363378315</v>
      </c>
      <c r="H249" s="356">
        <f t="shared" si="64"/>
        <v>3340.9486099985425</v>
      </c>
      <c r="I249" s="356">
        <v>0</v>
      </c>
      <c r="J249" s="356">
        <v>0</v>
      </c>
      <c r="K249" s="356">
        <f t="shared" si="72"/>
        <v>-422.31383224378175</v>
      </c>
      <c r="L249" s="356">
        <f t="shared" si="65"/>
        <v>421891.5184115379</v>
      </c>
      <c r="N249" s="356">
        <f t="shared" si="73"/>
        <v>226</v>
      </c>
      <c r="O249" s="357">
        <f t="shared" si="78"/>
        <v>18</v>
      </c>
      <c r="P249" s="357">
        <f t="shared" si="79"/>
        <v>10</v>
      </c>
      <c r="Q249" s="357">
        <f t="shared" si="80"/>
        <v>18</v>
      </c>
      <c r="R249" s="356">
        <f t="shared" si="74"/>
        <v>4589081.773288992</v>
      </c>
      <c r="S249" s="356">
        <f>IF($G$4="mensual",S240,IF($G$4="trimestral",S240,0))</f>
        <v>10000</v>
      </c>
      <c r="U249" s="356">
        <f t="shared" si="81"/>
        <v>36673.72390421817</v>
      </c>
      <c r="V249" s="356">
        <f t="shared" si="63"/>
        <v>-154.36721847184418</v>
      </c>
      <c r="X249" s="356">
        <f t="shared" si="66"/>
        <v>-4635.75549719321</v>
      </c>
      <c r="Y249" s="356">
        <f t="shared" si="67"/>
        <v>4630965.374477546</v>
      </c>
      <c r="AA249" s="357">
        <f>+Bono!J249</f>
        <v>241121.92904330933</v>
      </c>
      <c r="AC249" s="378">
        <f t="shared" si="68"/>
        <v>18.833333333333332</v>
      </c>
      <c r="AD249" s="356">
        <f t="shared" si="69"/>
        <v>5293978.821932393</v>
      </c>
    </row>
    <row r="250" spans="2:30" x14ac:dyDescent="0.25">
      <c r="B250" s="356">
        <f t="shared" si="70"/>
        <v>227</v>
      </c>
      <c r="C250" s="357">
        <f t="shared" si="75"/>
        <v>18</v>
      </c>
      <c r="D250" s="357">
        <f t="shared" si="76"/>
        <v>11</v>
      </c>
      <c r="E250" s="357">
        <f t="shared" si="77"/>
        <v>47</v>
      </c>
      <c r="F250" s="356">
        <f t="shared" si="71"/>
        <v>421891.5184115379</v>
      </c>
      <c r="H250" s="356">
        <f t="shared" si="64"/>
        <v>3364.222213577041</v>
      </c>
      <c r="I250" s="356">
        <v>0</v>
      </c>
      <c r="J250" s="356">
        <v>0</v>
      </c>
      <c r="K250" s="356">
        <f t="shared" si="72"/>
        <v>-425.2557406251149</v>
      </c>
      <c r="L250" s="356">
        <f t="shared" si="65"/>
        <v>424830.4848844898</v>
      </c>
      <c r="N250" s="356">
        <f t="shared" si="73"/>
        <v>227</v>
      </c>
      <c r="O250" s="357">
        <f t="shared" si="78"/>
        <v>18</v>
      </c>
      <c r="P250" s="357">
        <f t="shared" si="79"/>
        <v>11</v>
      </c>
      <c r="Q250" s="357">
        <f t="shared" si="80"/>
        <v>18</v>
      </c>
      <c r="R250" s="356">
        <f t="shared" si="74"/>
        <v>4630965.374477546</v>
      </c>
      <c r="S250" s="356">
        <f>IF($G$17="si",S238*(1+$G$20),S238)</f>
        <v>10000</v>
      </c>
      <c r="U250" s="356">
        <f t="shared" si="81"/>
        <v>37007.7096217639</v>
      </c>
      <c r="V250" s="356">
        <f t="shared" si="63"/>
        <v>-154.36721847184418</v>
      </c>
      <c r="X250" s="356">
        <f t="shared" si="66"/>
        <v>-4677.97308409931</v>
      </c>
      <c r="Y250" s="356">
        <f t="shared" si="67"/>
        <v>4673140.743796738</v>
      </c>
      <c r="AA250" s="357">
        <f>+Bono!J250</f>
        <v>242616.9129717905</v>
      </c>
      <c r="AC250" s="378">
        <f t="shared" si="68"/>
        <v>18.916666666666668</v>
      </c>
      <c r="AD250" s="356">
        <f t="shared" si="69"/>
        <v>5340588.141653018</v>
      </c>
    </row>
    <row r="251" spans="2:30" x14ac:dyDescent="0.25">
      <c r="B251" s="356">
        <f t="shared" si="70"/>
        <v>228</v>
      </c>
      <c r="C251" s="357">
        <f t="shared" si="75"/>
        <v>18</v>
      </c>
      <c r="D251" s="357">
        <f t="shared" si="76"/>
        <v>12</v>
      </c>
      <c r="E251" s="357">
        <f t="shared" si="77"/>
        <v>47</v>
      </c>
      <c r="F251" s="356">
        <f t="shared" si="71"/>
        <v>424830.4848844898</v>
      </c>
      <c r="H251" s="356">
        <f t="shared" si="64"/>
        <v>3387.6579449481997</v>
      </c>
      <c r="I251" s="356">
        <v>0</v>
      </c>
      <c r="J251" s="360">
        <f>-SUM(F251:H251)*$J$21</f>
        <v>-3853.963285464942</v>
      </c>
      <c r="K251" s="356">
        <f t="shared" si="72"/>
        <v>-424.364179543973</v>
      </c>
      <c r="L251" s="356">
        <f t="shared" si="65"/>
        <v>423939.815364429</v>
      </c>
      <c r="N251" s="356">
        <f t="shared" si="73"/>
        <v>228</v>
      </c>
      <c r="O251" s="357">
        <f t="shared" si="78"/>
        <v>18</v>
      </c>
      <c r="P251" s="357">
        <f t="shared" si="79"/>
        <v>12</v>
      </c>
      <c r="Q251" s="357">
        <f t="shared" si="80"/>
        <v>18</v>
      </c>
      <c r="R251" s="356">
        <f t="shared" si="74"/>
        <v>4673140.743796738</v>
      </c>
      <c r="S251" s="356">
        <f>IF($G$4="mensual",S250,0)</f>
        <v>10000</v>
      </c>
      <c r="U251" s="356">
        <f t="shared" si="81"/>
        <v>37344.02193935601</v>
      </c>
      <c r="V251" s="356">
        <f t="shared" si="63"/>
        <v>-154.36721847184418</v>
      </c>
      <c r="X251" s="356">
        <f t="shared" si="66"/>
        <v>-4720.484765736094</v>
      </c>
      <c r="Y251" s="356">
        <f t="shared" si="67"/>
        <v>4715609.913751885</v>
      </c>
      <c r="AA251" s="357">
        <f>+Bono!J251</f>
        <v>241921.87619048578</v>
      </c>
      <c r="AC251" s="378">
        <f t="shared" si="68"/>
        <v>19</v>
      </c>
      <c r="AD251" s="356">
        <f t="shared" si="69"/>
        <v>5381471.6053067995</v>
      </c>
    </row>
    <row r="252" spans="2:30" x14ac:dyDescent="0.25">
      <c r="B252" s="356">
        <f t="shared" si="70"/>
        <v>229</v>
      </c>
      <c r="C252" s="357">
        <f t="shared" si="75"/>
        <v>19</v>
      </c>
      <c r="D252" s="357">
        <f t="shared" si="76"/>
        <v>1</v>
      </c>
      <c r="E252" s="357">
        <f t="shared" si="77"/>
        <v>48</v>
      </c>
      <c r="F252" s="356">
        <f t="shared" si="71"/>
        <v>423939.815364429</v>
      </c>
      <c r="H252" s="356">
        <f t="shared" si="64"/>
        <v>3380.5556211194908</v>
      </c>
      <c r="I252" s="356">
        <v>0</v>
      </c>
      <c r="J252" s="356">
        <v>0</v>
      </c>
      <c r="K252" s="356">
        <f t="shared" si="72"/>
        <v>-427.32037098554855</v>
      </c>
      <c r="L252" s="356">
        <f t="shared" si="65"/>
        <v>426893.050614563</v>
      </c>
      <c r="N252" s="356">
        <f t="shared" si="73"/>
        <v>229</v>
      </c>
      <c r="O252" s="357">
        <f t="shared" si="78"/>
        <v>19</v>
      </c>
      <c r="P252" s="357">
        <f t="shared" si="79"/>
        <v>1</v>
      </c>
      <c r="Q252" s="357">
        <f t="shared" si="80"/>
        <v>19</v>
      </c>
      <c r="R252" s="356">
        <f t="shared" si="74"/>
        <v>4715609.913751885</v>
      </c>
      <c r="S252" s="356">
        <f>IF($G$17="si",S240*(1+$G$20),S240)</f>
        <v>10000</v>
      </c>
      <c r="U252" s="356">
        <f t="shared" si="81"/>
        <v>37682.67706447734</v>
      </c>
      <c r="V252" s="356">
        <f>V251*(1+$G$18)</f>
        <v>-160.54190721071797</v>
      </c>
      <c r="X252" s="356">
        <f t="shared" si="66"/>
        <v>-4763.2925908163625</v>
      </c>
      <c r="Y252" s="356">
        <f t="shared" si="67"/>
        <v>4758368.756318335</v>
      </c>
      <c r="AA252" s="357">
        <f>+Bono!J252</f>
        <v>243421.81988406755</v>
      </c>
      <c r="AC252" s="378">
        <f t="shared" si="68"/>
        <v>19.083333333333332</v>
      </c>
      <c r="AD252" s="356">
        <f t="shared" si="69"/>
        <v>5428683.626816966</v>
      </c>
    </row>
    <row r="253" spans="2:30" x14ac:dyDescent="0.25">
      <c r="B253" s="356">
        <f t="shared" si="70"/>
        <v>230</v>
      </c>
      <c r="C253" s="357">
        <f t="shared" si="75"/>
        <v>19</v>
      </c>
      <c r="D253" s="357">
        <f t="shared" si="76"/>
        <v>2</v>
      </c>
      <c r="E253" s="357">
        <f t="shared" si="77"/>
        <v>48</v>
      </c>
      <c r="F253" s="356">
        <f t="shared" si="71"/>
        <v>426893.050614563</v>
      </c>
      <c r="H253" s="356">
        <f t="shared" si="64"/>
        <v>3404.1051337236477</v>
      </c>
      <c r="I253" s="356">
        <v>0</v>
      </c>
      <c r="J253" s="356">
        <v>0</v>
      </c>
      <c r="K253" s="356">
        <f t="shared" si="72"/>
        <v>-430.2971557482866</v>
      </c>
      <c r="L253" s="356">
        <f t="shared" si="65"/>
        <v>429866.85859253834</v>
      </c>
      <c r="N253" s="356">
        <f t="shared" si="73"/>
        <v>230</v>
      </c>
      <c r="O253" s="357">
        <f t="shared" si="78"/>
        <v>19</v>
      </c>
      <c r="P253" s="357">
        <f t="shared" si="79"/>
        <v>2</v>
      </c>
      <c r="Q253" s="357">
        <f t="shared" si="80"/>
        <v>19</v>
      </c>
      <c r="R253" s="356">
        <f t="shared" si="74"/>
        <v>4758368.756318335</v>
      </c>
      <c r="S253" s="356">
        <f>IF($G$4="mensual",S252,0)</f>
        <v>10000</v>
      </c>
      <c r="U253" s="356">
        <f t="shared" si="81"/>
        <v>38023.6420796796</v>
      </c>
      <c r="V253" s="356">
        <f t="shared" ref="V253:V316" si="82">V252</f>
        <v>-160.54190721071797</v>
      </c>
      <c r="X253" s="356">
        <f t="shared" si="66"/>
        <v>-4806.392398398015</v>
      </c>
      <c r="Y253" s="356">
        <f t="shared" si="67"/>
        <v>4801425.4640924055</v>
      </c>
      <c r="AA253" s="357">
        <f>+Bono!J253</f>
        <v>244931.06340253225</v>
      </c>
      <c r="AC253" s="378">
        <f t="shared" si="68"/>
        <v>19.166666666666668</v>
      </c>
      <c r="AD253" s="356">
        <f t="shared" si="69"/>
        <v>5476223.386087476</v>
      </c>
    </row>
    <row r="254" spans="2:30" x14ac:dyDescent="0.25">
      <c r="B254" s="356">
        <f t="shared" si="70"/>
        <v>231</v>
      </c>
      <c r="C254" s="357">
        <f t="shared" si="75"/>
        <v>19</v>
      </c>
      <c r="D254" s="357">
        <f t="shared" si="76"/>
        <v>3</v>
      </c>
      <c r="E254" s="357">
        <f t="shared" si="77"/>
        <v>48</v>
      </c>
      <c r="F254" s="356">
        <f t="shared" si="71"/>
        <v>429866.85859253834</v>
      </c>
      <c r="H254" s="356">
        <f t="shared" si="64"/>
        <v>3427.8186961486176</v>
      </c>
      <c r="I254" s="356">
        <v>0</v>
      </c>
      <c r="J254" s="360">
        <f>-SUM(F254:H254)*$J$21</f>
        <v>-3899.652095598183</v>
      </c>
      <c r="K254" s="356">
        <f t="shared" si="72"/>
        <v>-429.3950251930888</v>
      </c>
      <c r="L254" s="356">
        <f t="shared" si="65"/>
        <v>428965.6301678957</v>
      </c>
      <c r="N254" s="356">
        <f t="shared" si="73"/>
        <v>231</v>
      </c>
      <c r="O254" s="357">
        <f t="shared" si="78"/>
        <v>19</v>
      </c>
      <c r="P254" s="357">
        <f t="shared" si="79"/>
        <v>3</v>
      </c>
      <c r="Q254" s="357">
        <f t="shared" si="80"/>
        <v>19</v>
      </c>
      <c r="R254" s="356">
        <f t="shared" si="74"/>
        <v>4801425.4640924055</v>
      </c>
      <c r="S254" s="356">
        <f>IF($G$4="mensual",S253,0)</f>
        <v>10000</v>
      </c>
      <c r="U254" s="356">
        <f t="shared" si="81"/>
        <v>38366.98231387631</v>
      </c>
      <c r="V254" s="356">
        <f t="shared" si="82"/>
        <v>-160.54190721071797</v>
      </c>
      <c r="X254" s="356">
        <f t="shared" si="66"/>
        <v>-4849.792446406282</v>
      </c>
      <c r="Y254" s="356">
        <f t="shared" si="67"/>
        <v>4844782.112052664</v>
      </c>
      <c r="AA254" s="357">
        <f>+Bono!J254</f>
        <v>244229.3971589731</v>
      </c>
      <c r="AC254" s="378">
        <f t="shared" si="68"/>
        <v>19.25</v>
      </c>
      <c r="AD254" s="356">
        <f t="shared" si="69"/>
        <v>5517977.139379533</v>
      </c>
    </row>
    <row r="255" spans="2:30" x14ac:dyDescent="0.25">
      <c r="B255" s="356">
        <f t="shared" si="70"/>
        <v>232</v>
      </c>
      <c r="C255" s="357">
        <f t="shared" si="75"/>
        <v>19</v>
      </c>
      <c r="D255" s="357">
        <f t="shared" si="76"/>
        <v>4</v>
      </c>
      <c r="E255" s="357">
        <f t="shared" si="77"/>
        <v>48</v>
      </c>
      <c r="F255" s="356">
        <f t="shared" si="71"/>
        <v>428965.6301678957</v>
      </c>
      <c r="H255" s="356">
        <f t="shared" si="64"/>
        <v>3420.632174131997</v>
      </c>
      <c r="I255" s="356">
        <v>0</v>
      </c>
      <c r="J255" s="356">
        <v>0</v>
      </c>
      <c r="K255" s="356">
        <f t="shared" si="72"/>
        <v>-432.3862623420277</v>
      </c>
      <c r="L255" s="356">
        <f t="shared" si="65"/>
        <v>431953.87607968564</v>
      </c>
      <c r="N255" s="356">
        <f t="shared" si="73"/>
        <v>232</v>
      </c>
      <c r="O255" s="357">
        <f t="shared" si="78"/>
        <v>19</v>
      </c>
      <c r="P255" s="357">
        <f t="shared" si="79"/>
        <v>4</v>
      </c>
      <c r="Q255" s="357">
        <f t="shared" si="80"/>
        <v>19</v>
      </c>
      <c r="R255" s="356">
        <f t="shared" si="74"/>
        <v>4844782.112052664</v>
      </c>
      <c r="S255" s="356">
        <f>IF($G$4="mensual",S252,IF($G$4="trimestral",S252,0))</f>
        <v>10000</v>
      </c>
      <c r="U255" s="356">
        <f t="shared" si="81"/>
        <v>38712.71431323796</v>
      </c>
      <c r="V255" s="356">
        <f t="shared" si="82"/>
        <v>-160.54190721071797</v>
      </c>
      <c r="X255" s="356">
        <f t="shared" si="66"/>
        <v>-4893.494826365903</v>
      </c>
      <c r="Y255" s="356">
        <f t="shared" si="67"/>
        <v>4888440.789632325</v>
      </c>
      <c r="AA255" s="357">
        <f>+Bono!J255</f>
        <v>245743.64775021537</v>
      </c>
      <c r="AC255" s="378">
        <f t="shared" si="68"/>
        <v>19.333333333333332</v>
      </c>
      <c r="AD255" s="356">
        <f t="shared" si="69"/>
        <v>5566138.313462227</v>
      </c>
    </row>
    <row r="256" spans="2:30" x14ac:dyDescent="0.25">
      <c r="B256" s="356">
        <f t="shared" si="70"/>
        <v>233</v>
      </c>
      <c r="C256" s="357">
        <f t="shared" si="75"/>
        <v>19</v>
      </c>
      <c r="D256" s="357">
        <f t="shared" si="76"/>
        <v>5</v>
      </c>
      <c r="E256" s="357">
        <f t="shared" si="77"/>
        <v>48</v>
      </c>
      <c r="F256" s="356">
        <f t="shared" si="71"/>
        <v>431953.87607968564</v>
      </c>
      <c r="H256" s="356">
        <f t="shared" si="64"/>
        <v>3444.4608666687077</v>
      </c>
      <c r="I256" s="356">
        <v>0</v>
      </c>
      <c r="J256" s="356">
        <v>0</v>
      </c>
      <c r="K256" s="356">
        <f t="shared" si="72"/>
        <v>-435.3983369463544</v>
      </c>
      <c r="L256" s="356">
        <f t="shared" si="65"/>
        <v>434962.938609408</v>
      </c>
      <c r="N256" s="356">
        <f t="shared" si="73"/>
        <v>233</v>
      </c>
      <c r="O256" s="357">
        <f t="shared" si="78"/>
        <v>19</v>
      </c>
      <c r="P256" s="357">
        <f t="shared" si="79"/>
        <v>5</v>
      </c>
      <c r="Q256" s="357">
        <f t="shared" si="80"/>
        <v>19</v>
      </c>
      <c r="R256" s="356">
        <f t="shared" si="74"/>
        <v>4888440.789632325</v>
      </c>
      <c r="S256" s="356">
        <f>IF($G$4="mensual",S255,0)</f>
        <v>10000</v>
      </c>
      <c r="U256" s="356">
        <f t="shared" si="81"/>
        <v>39060.8547391984</v>
      </c>
      <c r="V256" s="356">
        <f t="shared" si="82"/>
        <v>-160.54190721071797</v>
      </c>
      <c r="X256" s="356">
        <f t="shared" si="66"/>
        <v>-4937.501644371524</v>
      </c>
      <c r="Y256" s="356">
        <f t="shared" si="67"/>
        <v>4932403.600819942</v>
      </c>
      <c r="AA256" s="357">
        <f>+Bono!J256</f>
        <v>247267.28687076556</v>
      </c>
      <c r="AC256" s="378">
        <f t="shared" si="68"/>
        <v>19.416666666666668</v>
      </c>
      <c r="AD256" s="356">
        <f t="shared" si="69"/>
        <v>5614633.826300115</v>
      </c>
    </row>
    <row r="257" spans="2:30" x14ac:dyDescent="0.25">
      <c r="B257" s="356">
        <f t="shared" si="70"/>
        <v>234</v>
      </c>
      <c r="C257" s="357">
        <f t="shared" si="75"/>
        <v>19</v>
      </c>
      <c r="D257" s="357">
        <f t="shared" si="76"/>
        <v>6</v>
      </c>
      <c r="E257" s="357">
        <f t="shared" si="77"/>
        <v>48</v>
      </c>
      <c r="F257" s="356">
        <f t="shared" si="71"/>
        <v>434962.938609408</v>
      </c>
      <c r="H257" s="356">
        <f t="shared" si="64"/>
        <v>3468.4555538400664</v>
      </c>
      <c r="I257" s="356">
        <v>0</v>
      </c>
      <c r="J257" s="360">
        <f>-SUM(F257:H257)*$J$21</f>
        <v>-3945.882547469233</v>
      </c>
      <c r="K257" s="356">
        <f t="shared" si="72"/>
        <v>-434.4855116157789</v>
      </c>
      <c r="L257" s="356">
        <f t="shared" si="65"/>
        <v>434051.0261041631</v>
      </c>
      <c r="N257" s="356">
        <f t="shared" si="73"/>
        <v>234</v>
      </c>
      <c r="O257" s="357">
        <f t="shared" si="78"/>
        <v>19</v>
      </c>
      <c r="P257" s="357">
        <f t="shared" si="79"/>
        <v>6</v>
      </c>
      <c r="Q257" s="357">
        <f t="shared" si="80"/>
        <v>19</v>
      </c>
      <c r="R257" s="356">
        <f t="shared" si="74"/>
        <v>4932403.600819942</v>
      </c>
      <c r="S257" s="356">
        <f>IF($G$4="mensual",S256,0)</f>
        <v>10000</v>
      </c>
      <c r="U257" s="356">
        <f t="shared" si="81"/>
        <v>39411.42036925784</v>
      </c>
      <c r="V257" s="356">
        <f t="shared" si="82"/>
        <v>-160.54190721071797</v>
      </c>
      <c r="X257" s="356">
        <f t="shared" si="66"/>
        <v>-4981.8150211892</v>
      </c>
      <c r="Y257" s="356">
        <f t="shared" si="67"/>
        <v>4976672.6642608</v>
      </c>
      <c r="AA257" s="357">
        <f>+Bono!J257</f>
        <v>246558.9279312196</v>
      </c>
      <c r="AC257" s="378">
        <f t="shared" si="68"/>
        <v>19.5</v>
      </c>
      <c r="AD257" s="356">
        <f t="shared" si="69"/>
        <v>5657282.618296183</v>
      </c>
    </row>
    <row r="258" spans="2:30" x14ac:dyDescent="0.25">
      <c r="B258" s="356">
        <f t="shared" si="70"/>
        <v>235</v>
      </c>
      <c r="C258" s="357">
        <f t="shared" si="75"/>
        <v>19</v>
      </c>
      <c r="D258" s="357">
        <f t="shared" si="76"/>
        <v>7</v>
      </c>
      <c r="E258" s="357">
        <f t="shared" si="77"/>
        <v>48</v>
      </c>
      <c r="F258" s="356">
        <f t="shared" si="71"/>
        <v>434051.0261041631</v>
      </c>
      <c r="H258" s="356">
        <f t="shared" si="64"/>
        <v>3461.18383546437</v>
      </c>
      <c r="I258" s="356">
        <v>0</v>
      </c>
      <c r="J258" s="356">
        <v>0</v>
      </c>
      <c r="K258" s="356">
        <f t="shared" si="72"/>
        <v>-437.51220993962744</v>
      </c>
      <c r="L258" s="356">
        <f t="shared" si="65"/>
        <v>437074.6977296878</v>
      </c>
      <c r="N258" s="356">
        <f t="shared" si="73"/>
        <v>235</v>
      </c>
      <c r="O258" s="357">
        <f t="shared" si="78"/>
        <v>19</v>
      </c>
      <c r="P258" s="357">
        <f t="shared" si="79"/>
        <v>7</v>
      </c>
      <c r="Q258" s="357">
        <f t="shared" si="80"/>
        <v>19</v>
      </c>
      <c r="R258" s="356">
        <f t="shared" si="74"/>
        <v>4976672.6642608</v>
      </c>
      <c r="S258" s="356">
        <f>+IF($G$4="mensual",S252,IF($G$4="trimestral",S252,IF($G$4="semestral",S252,0)))</f>
        <v>10000</v>
      </c>
      <c r="U258" s="356">
        <f t="shared" si="81"/>
        <v>39764.42809779129</v>
      </c>
      <c r="V258" s="356">
        <f t="shared" si="82"/>
        <v>-160.54190721071797</v>
      </c>
      <c r="X258" s="356">
        <f t="shared" si="66"/>
        <v>-5026.437092358591</v>
      </c>
      <c r="Y258" s="356">
        <f t="shared" si="67"/>
        <v>5021250.113359022</v>
      </c>
      <c r="AA258" s="357">
        <f>+Bono!J258</f>
        <v>248087.62188345863</v>
      </c>
      <c r="AC258" s="378">
        <f t="shared" si="68"/>
        <v>19.583333333333332</v>
      </c>
      <c r="AD258" s="356">
        <f t="shared" si="69"/>
        <v>5706412.432972169</v>
      </c>
    </row>
    <row r="259" spans="2:30" x14ac:dyDescent="0.25">
      <c r="B259" s="356">
        <f t="shared" si="70"/>
        <v>236</v>
      </c>
      <c r="C259" s="357">
        <f t="shared" si="75"/>
        <v>19</v>
      </c>
      <c r="D259" s="357">
        <f t="shared" si="76"/>
        <v>8</v>
      </c>
      <c r="E259" s="357">
        <f t="shared" si="77"/>
        <v>48</v>
      </c>
      <c r="F259" s="356">
        <f t="shared" si="71"/>
        <v>437074.6977296878</v>
      </c>
      <c r="H259" s="356">
        <f t="shared" si="64"/>
        <v>3485.2950176171958</v>
      </c>
      <c r="I259" s="356">
        <v>0</v>
      </c>
      <c r="J259" s="356">
        <v>0</v>
      </c>
      <c r="K259" s="356">
        <f t="shared" si="72"/>
        <v>-440.559992747305</v>
      </c>
      <c r="L259" s="356">
        <f t="shared" si="65"/>
        <v>440119.43275455764</v>
      </c>
      <c r="N259" s="356">
        <f t="shared" si="73"/>
        <v>236</v>
      </c>
      <c r="O259" s="357">
        <f t="shared" si="78"/>
        <v>19</v>
      </c>
      <c r="P259" s="357">
        <f t="shared" si="79"/>
        <v>8</v>
      </c>
      <c r="Q259" s="357">
        <f t="shared" si="80"/>
        <v>19</v>
      </c>
      <c r="R259" s="356">
        <f t="shared" si="74"/>
        <v>5021250.113359022</v>
      </c>
      <c r="S259" s="356">
        <f>IF($G$4="mensual",S258,0)</f>
        <v>10000</v>
      </c>
      <c r="U259" s="356">
        <f t="shared" si="81"/>
        <v>40119.894936862824</v>
      </c>
      <c r="V259" s="356">
        <f t="shared" si="82"/>
        <v>-160.54190721071797</v>
      </c>
      <c r="X259" s="356">
        <f t="shared" si="66"/>
        <v>-5071.370008295885</v>
      </c>
      <c r="Y259" s="356">
        <f t="shared" si="67"/>
        <v>5066138.096380377</v>
      </c>
      <c r="AA259" s="357">
        <f>+Bono!J259</f>
        <v>249625.79391551908</v>
      </c>
      <c r="AC259" s="378">
        <f t="shared" si="68"/>
        <v>19.666666666666668</v>
      </c>
      <c r="AD259" s="356">
        <f t="shared" si="69"/>
        <v>5755883.323050454</v>
      </c>
    </row>
    <row r="260" spans="2:30" x14ac:dyDescent="0.25">
      <c r="B260" s="356">
        <f t="shared" si="70"/>
        <v>237</v>
      </c>
      <c r="C260" s="357">
        <f t="shared" si="75"/>
        <v>19</v>
      </c>
      <c r="D260" s="357">
        <f t="shared" si="76"/>
        <v>9</v>
      </c>
      <c r="E260" s="357">
        <f t="shared" si="77"/>
        <v>48</v>
      </c>
      <c r="F260" s="356">
        <f t="shared" si="71"/>
        <v>440119.43275455764</v>
      </c>
      <c r="H260" s="356">
        <f t="shared" si="64"/>
        <v>3509.57416227431</v>
      </c>
      <c r="I260" s="356">
        <v>0</v>
      </c>
      <c r="J260" s="360">
        <f>-SUM(F260:H260)*$J$21</f>
        <v>-3992.661062251488</v>
      </c>
      <c r="K260" s="356">
        <f t="shared" si="72"/>
        <v>-439.6363458545805</v>
      </c>
      <c r="L260" s="356">
        <f t="shared" si="65"/>
        <v>439196.7095087259</v>
      </c>
      <c r="N260" s="356">
        <f t="shared" si="73"/>
        <v>237</v>
      </c>
      <c r="O260" s="357">
        <f t="shared" si="78"/>
        <v>19</v>
      </c>
      <c r="P260" s="357">
        <f t="shared" si="79"/>
        <v>9</v>
      </c>
      <c r="Q260" s="357">
        <f t="shared" si="80"/>
        <v>19</v>
      </c>
      <c r="R260" s="356">
        <f t="shared" si="74"/>
        <v>5066138.096380377</v>
      </c>
      <c r="S260" s="356">
        <f>IF($G$4="mensual",S259,0)</f>
        <v>10000</v>
      </c>
      <c r="U260" s="356">
        <f t="shared" si="81"/>
        <v>40477.83801704536</v>
      </c>
      <c r="V260" s="356">
        <f t="shared" si="82"/>
        <v>-160.54190721071797</v>
      </c>
      <c r="X260" s="356">
        <f t="shared" si="66"/>
        <v>-5116.615934397423</v>
      </c>
      <c r="Y260" s="356">
        <f t="shared" si="67"/>
        <v>5111338.776555815</v>
      </c>
      <c r="AA260" s="357">
        <f>+Bono!J260</f>
        <v>248910.6784431124</v>
      </c>
      <c r="AC260" s="378">
        <f t="shared" si="68"/>
        <v>19.75</v>
      </c>
      <c r="AD260" s="356">
        <f t="shared" si="69"/>
        <v>5799446.164507654</v>
      </c>
    </row>
    <row r="261" spans="2:30" x14ac:dyDescent="0.25">
      <c r="B261" s="356">
        <f t="shared" si="70"/>
        <v>238</v>
      </c>
      <c r="C261" s="357">
        <f t="shared" si="75"/>
        <v>19</v>
      </c>
      <c r="D261" s="357">
        <f t="shared" si="76"/>
        <v>10</v>
      </c>
      <c r="E261" s="357">
        <f t="shared" si="77"/>
        <v>48</v>
      </c>
      <c r="F261" s="356">
        <f t="shared" si="71"/>
        <v>439196.7095087259</v>
      </c>
      <c r="H261" s="356">
        <f t="shared" si="64"/>
        <v>3502.2162375350335</v>
      </c>
      <c r="I261" s="356">
        <v>0</v>
      </c>
      <c r="J261" s="356">
        <v>0</v>
      </c>
      <c r="K261" s="356">
        <f t="shared" si="72"/>
        <v>-442.69892574626095</v>
      </c>
      <c r="L261" s="356">
        <f t="shared" si="65"/>
        <v>442256.2268205147</v>
      </c>
      <c r="N261" s="356">
        <f t="shared" si="73"/>
        <v>238</v>
      </c>
      <c r="O261" s="357">
        <f t="shared" si="78"/>
        <v>19</v>
      </c>
      <c r="P261" s="357">
        <f t="shared" si="79"/>
        <v>10</v>
      </c>
      <c r="Q261" s="357">
        <f t="shared" si="80"/>
        <v>19</v>
      </c>
      <c r="R261" s="356">
        <f t="shared" si="74"/>
        <v>5111338.776555815</v>
      </c>
      <c r="S261" s="356">
        <f>IF($G$4="mensual",S252,IF($G$4="trimestral",S252,0))</f>
        <v>10000</v>
      </c>
      <c r="U261" s="356">
        <f t="shared" si="81"/>
        <v>40838.27458824626</v>
      </c>
      <c r="V261" s="356">
        <f t="shared" si="82"/>
        <v>-160.54190721071797</v>
      </c>
      <c r="X261" s="356">
        <f t="shared" si="66"/>
        <v>-5162.177051144061</v>
      </c>
      <c r="Y261" s="356">
        <f t="shared" si="67"/>
        <v>5156854.332185706</v>
      </c>
      <c r="AA261" s="357">
        <f>+Bono!J261</f>
        <v>250453.95352131137</v>
      </c>
      <c r="AC261" s="378">
        <f t="shared" si="68"/>
        <v>19.833333333333332</v>
      </c>
      <c r="AD261" s="356">
        <f t="shared" si="69"/>
        <v>5849564.512527532</v>
      </c>
    </row>
    <row r="262" spans="2:30" x14ac:dyDescent="0.25">
      <c r="B262" s="356">
        <f t="shared" si="70"/>
        <v>239</v>
      </c>
      <c r="C262" s="357">
        <f t="shared" si="75"/>
        <v>19</v>
      </c>
      <c r="D262" s="357">
        <f t="shared" si="76"/>
        <v>11</v>
      </c>
      <c r="E262" s="357">
        <f t="shared" si="77"/>
        <v>48</v>
      </c>
      <c r="F262" s="356">
        <f t="shared" si="71"/>
        <v>442256.2268205147</v>
      </c>
      <c r="H262" s="356">
        <f t="shared" si="64"/>
        <v>3526.6132582238997</v>
      </c>
      <c r="I262" s="356">
        <v>0</v>
      </c>
      <c r="J262" s="356">
        <v>0</v>
      </c>
      <c r="K262" s="356">
        <f t="shared" si="72"/>
        <v>-445.7828400787386</v>
      </c>
      <c r="L262" s="356">
        <f t="shared" si="65"/>
        <v>445337.0572386599</v>
      </c>
      <c r="N262" s="356">
        <f t="shared" si="73"/>
        <v>239</v>
      </c>
      <c r="O262" s="357">
        <f t="shared" si="78"/>
        <v>19</v>
      </c>
      <c r="P262" s="357">
        <f t="shared" si="79"/>
        <v>11</v>
      </c>
      <c r="Q262" s="357">
        <f t="shared" si="80"/>
        <v>19</v>
      </c>
      <c r="R262" s="356">
        <f t="shared" si="74"/>
        <v>5156854.332185706</v>
      </c>
      <c r="S262" s="356">
        <f>IF($G$17="si",S250*(1+$G$20),S250)</f>
        <v>10000</v>
      </c>
      <c r="U262" s="356">
        <f t="shared" si="81"/>
        <v>41201.2220205386</v>
      </c>
      <c r="V262" s="356">
        <f t="shared" si="82"/>
        <v>-160.54190721071797</v>
      </c>
      <c r="X262" s="356">
        <f t="shared" si="66"/>
        <v>-5208.055554206245</v>
      </c>
      <c r="Y262" s="356">
        <f t="shared" si="67"/>
        <v>5202686.956744827</v>
      </c>
      <c r="AA262" s="357">
        <f>+Bono!J262</f>
        <v>252006.797084004</v>
      </c>
      <c r="AC262" s="378">
        <f t="shared" si="68"/>
        <v>19.916666666666668</v>
      </c>
      <c r="AD262" s="356">
        <f t="shared" si="69"/>
        <v>5900030.811067491</v>
      </c>
    </row>
    <row r="263" spans="2:30" x14ac:dyDescent="0.25">
      <c r="B263" s="356">
        <f t="shared" si="70"/>
        <v>240</v>
      </c>
      <c r="C263" s="357">
        <f t="shared" si="75"/>
        <v>19</v>
      </c>
      <c r="D263" s="357">
        <f t="shared" si="76"/>
        <v>12</v>
      </c>
      <c r="E263" s="357">
        <f t="shared" si="77"/>
        <v>48</v>
      </c>
      <c r="F263" s="356">
        <f t="shared" si="71"/>
        <v>445337.0572386599</v>
      </c>
      <c r="H263" s="356">
        <f t="shared" si="64"/>
        <v>3551.1802326158277</v>
      </c>
      <c r="I263" s="356">
        <v>0</v>
      </c>
      <c r="J263" s="360">
        <f>-SUM(F263:H263)*$J$21</f>
        <v>-4039.994137241482</v>
      </c>
      <c r="K263" s="356">
        <f t="shared" si="72"/>
        <v>-444.84824333403424</v>
      </c>
      <c r="L263" s="356">
        <f t="shared" si="65"/>
        <v>444403.3950907002</v>
      </c>
      <c r="N263" s="356">
        <f t="shared" si="73"/>
        <v>240</v>
      </c>
      <c r="O263" s="357">
        <f t="shared" si="78"/>
        <v>19</v>
      </c>
      <c r="P263" s="357">
        <f t="shared" si="79"/>
        <v>12</v>
      </c>
      <c r="Q263" s="357">
        <f t="shared" si="80"/>
        <v>19</v>
      </c>
      <c r="R263" s="356">
        <f t="shared" si="74"/>
        <v>5202686.956744827</v>
      </c>
      <c r="S263" s="356">
        <f>IF($G$4="mensual",S262,0)</f>
        <v>10000</v>
      </c>
      <c r="U263" s="356">
        <f t="shared" si="81"/>
        <v>41566.69780499826</v>
      </c>
      <c r="V263" s="356">
        <f t="shared" si="82"/>
        <v>-160.54190721071797</v>
      </c>
      <c r="X263" s="356">
        <f t="shared" si="66"/>
        <v>-5254.253654549826</v>
      </c>
      <c r="Y263" s="356">
        <f t="shared" si="67"/>
        <v>5248838.858988065</v>
      </c>
      <c r="AA263" s="357">
        <f>+Bono!J263</f>
        <v>251284.86063296793</v>
      </c>
      <c r="AC263" s="378">
        <f t="shared" si="68"/>
        <v>20</v>
      </c>
      <c r="AD263" s="356">
        <f t="shared" si="69"/>
        <v>5944527.114711734</v>
      </c>
    </row>
    <row r="264" spans="2:30" x14ac:dyDescent="0.25">
      <c r="B264" s="356">
        <f t="shared" si="70"/>
        <v>241</v>
      </c>
      <c r="C264" s="357">
        <f t="shared" si="75"/>
        <v>20</v>
      </c>
      <c r="D264" s="357">
        <f t="shared" si="76"/>
        <v>1</v>
      </c>
      <c r="E264" s="357">
        <f t="shared" si="77"/>
        <v>49</v>
      </c>
      <c r="F264" s="356">
        <f t="shared" si="71"/>
        <v>444403.3950907002</v>
      </c>
      <c r="H264" s="356">
        <f t="shared" si="64"/>
        <v>3543.7350795348448</v>
      </c>
      <c r="I264" s="356">
        <v>0</v>
      </c>
      <c r="J264" s="356">
        <v>0</v>
      </c>
      <c r="K264" s="356">
        <f t="shared" si="72"/>
        <v>-447.947130170235</v>
      </c>
      <c r="L264" s="356">
        <f t="shared" si="65"/>
        <v>447499.18304006476</v>
      </c>
      <c r="N264" s="356">
        <f t="shared" si="73"/>
        <v>241</v>
      </c>
      <c r="O264" s="357">
        <f t="shared" si="78"/>
        <v>20</v>
      </c>
      <c r="P264" s="357">
        <f t="shared" si="79"/>
        <v>1</v>
      </c>
      <c r="Q264" s="357">
        <f t="shared" si="80"/>
        <v>20</v>
      </c>
      <c r="R264" s="356">
        <f t="shared" si="74"/>
        <v>5248838.858988065</v>
      </c>
      <c r="S264" s="356">
        <f>IF($G$17="si",S252*(1+$G$20),S252)</f>
        <v>10000</v>
      </c>
      <c r="U264" s="356">
        <f t="shared" si="81"/>
        <v>41934.71955454687</v>
      </c>
      <c r="V264" s="356">
        <f>V263*(1+$G$18)</f>
        <v>-166.9635834991467</v>
      </c>
      <c r="X264" s="356">
        <f t="shared" si="66"/>
        <v>-5300.773578542613</v>
      </c>
      <c r="Y264" s="356">
        <f t="shared" si="67"/>
        <v>5295305.841380571</v>
      </c>
      <c r="AA264" s="357">
        <f>+Bono!J264</f>
        <v>252842.8559161321</v>
      </c>
      <c r="AC264" s="378">
        <f t="shared" si="68"/>
        <v>20.083333333333332</v>
      </c>
      <c r="AD264" s="356">
        <f t="shared" si="69"/>
        <v>5995647.880336768</v>
      </c>
    </row>
    <row r="265" spans="2:30" x14ac:dyDescent="0.25">
      <c r="B265" s="356">
        <f t="shared" si="70"/>
        <v>242</v>
      </c>
      <c r="C265" s="357">
        <f t="shared" si="75"/>
        <v>20</v>
      </c>
      <c r="D265" s="357">
        <f t="shared" si="76"/>
        <v>2</v>
      </c>
      <c r="E265" s="357">
        <f t="shared" si="77"/>
        <v>49</v>
      </c>
      <c r="F265" s="356">
        <f t="shared" si="71"/>
        <v>447499.18304006476</v>
      </c>
      <c r="H265" s="356">
        <f t="shared" si="64"/>
        <v>3568.421327381186</v>
      </c>
      <c r="I265" s="356">
        <v>0</v>
      </c>
      <c r="J265" s="356">
        <v>0</v>
      </c>
      <c r="K265" s="356">
        <f t="shared" si="72"/>
        <v>-451.06760436744594</v>
      </c>
      <c r="L265" s="356">
        <f t="shared" si="65"/>
        <v>450616.5367630785</v>
      </c>
      <c r="N265" s="356">
        <f t="shared" si="73"/>
        <v>242</v>
      </c>
      <c r="O265" s="357">
        <f t="shared" si="78"/>
        <v>20</v>
      </c>
      <c r="P265" s="357">
        <f t="shared" si="79"/>
        <v>2</v>
      </c>
      <c r="Q265" s="357">
        <f t="shared" si="80"/>
        <v>20</v>
      </c>
      <c r="R265" s="356">
        <f t="shared" si="74"/>
        <v>5295305.841380571</v>
      </c>
      <c r="S265" s="356">
        <f>IF($G$4="mensual",S264,0)</f>
        <v>10000</v>
      </c>
      <c r="U265" s="356">
        <f t="shared" si="81"/>
        <v>42305.25379745211</v>
      </c>
      <c r="V265" s="356">
        <f>V264</f>
        <v>-166.9635834991467</v>
      </c>
      <c r="X265" s="356">
        <f t="shared" si="66"/>
        <v>-5347.611095178023</v>
      </c>
      <c r="Y265" s="356">
        <f t="shared" si="67"/>
        <v>5342096.520499346</v>
      </c>
      <c r="AA265" s="357">
        <f>+Bono!J265</f>
        <v>254410.51095076813</v>
      </c>
      <c r="AC265" s="378">
        <f t="shared" si="68"/>
        <v>20.166666666666668</v>
      </c>
      <c r="AD265" s="356">
        <f t="shared" si="69"/>
        <v>6047123.568213193</v>
      </c>
    </row>
    <row r="266" spans="2:30" x14ac:dyDescent="0.25">
      <c r="B266" s="356">
        <f t="shared" si="70"/>
        <v>243</v>
      </c>
      <c r="C266" s="357">
        <f t="shared" si="75"/>
        <v>20</v>
      </c>
      <c r="D266" s="357">
        <f t="shared" si="76"/>
        <v>3</v>
      </c>
      <c r="E266" s="357">
        <f t="shared" si="77"/>
        <v>49</v>
      </c>
      <c r="F266" s="356">
        <f t="shared" si="71"/>
        <v>450616.5367630785</v>
      </c>
      <c r="H266" s="356">
        <f t="shared" si="64"/>
        <v>3593.2795437350633</v>
      </c>
      <c r="I266" s="356">
        <v>0</v>
      </c>
      <c r="J266" s="360">
        <f>-SUM(F266:H266)*$J$21</f>
        <v>-4087.8883467613227</v>
      </c>
      <c r="K266" s="356">
        <f t="shared" si="72"/>
        <v>-450.12192796005223</v>
      </c>
      <c r="L266" s="356">
        <f t="shared" si="65"/>
        <v>449671.80603209214</v>
      </c>
      <c r="N266" s="356">
        <f t="shared" si="73"/>
        <v>243</v>
      </c>
      <c r="O266" s="357">
        <f t="shared" si="78"/>
        <v>20</v>
      </c>
      <c r="P266" s="357">
        <f t="shared" si="79"/>
        <v>3</v>
      </c>
      <c r="Q266" s="357">
        <f t="shared" si="80"/>
        <v>20</v>
      </c>
      <c r="R266" s="356">
        <f t="shared" si="74"/>
        <v>5342096.520499346</v>
      </c>
      <c r="S266" s="356">
        <f>IF($G$4="mensual",S265,0)</f>
        <v>10000</v>
      </c>
      <c r="U266" s="356">
        <f t="shared" si="81"/>
        <v>42678.369243509</v>
      </c>
      <c r="V266" s="356">
        <f t="shared" si="82"/>
        <v>-166.9635834991467</v>
      </c>
      <c r="X266" s="356">
        <f t="shared" si="66"/>
        <v>-5394.7748897428555</v>
      </c>
      <c r="Y266" s="356">
        <f t="shared" si="67"/>
        <v>5389213.151269613</v>
      </c>
      <c r="AA266" s="357">
        <f>+Bono!J266</f>
        <v>253681.6884606317</v>
      </c>
      <c r="AC266" s="378">
        <f t="shared" si="68"/>
        <v>20.25</v>
      </c>
      <c r="AD266" s="356">
        <f t="shared" si="69"/>
        <v>6092566.645762336</v>
      </c>
    </row>
    <row r="267" spans="2:30" x14ac:dyDescent="0.25">
      <c r="B267" s="356">
        <f t="shared" si="70"/>
        <v>244</v>
      </c>
      <c r="C267" s="357">
        <f t="shared" si="75"/>
        <v>20</v>
      </c>
      <c r="D267" s="357">
        <f t="shared" si="76"/>
        <v>4</v>
      </c>
      <c r="E267" s="357">
        <f t="shared" si="77"/>
        <v>49</v>
      </c>
      <c r="F267" s="356">
        <f t="shared" si="71"/>
        <v>449671.80603209214</v>
      </c>
      <c r="H267" s="356">
        <f t="shared" si="64"/>
        <v>3585.7461282186773</v>
      </c>
      <c r="I267" s="356">
        <v>0</v>
      </c>
      <c r="J267" s="356">
        <v>0</v>
      </c>
      <c r="K267" s="356">
        <f t="shared" si="72"/>
        <v>-453.2575521603108</v>
      </c>
      <c r="L267" s="356">
        <f t="shared" si="65"/>
        <v>452804.2946081505</v>
      </c>
      <c r="N267" s="356">
        <f t="shared" si="73"/>
        <v>244</v>
      </c>
      <c r="O267" s="357">
        <f t="shared" si="78"/>
        <v>20</v>
      </c>
      <c r="P267" s="357">
        <f t="shared" si="79"/>
        <v>4</v>
      </c>
      <c r="Q267" s="357">
        <f t="shared" si="80"/>
        <v>20</v>
      </c>
      <c r="R267" s="356">
        <f t="shared" si="74"/>
        <v>5389213.151269613</v>
      </c>
      <c r="S267" s="356">
        <f>IF($G$4="mensual",S264,IF($G$4="trimestral",S264,0))</f>
        <v>10000</v>
      </c>
      <c r="U267" s="356">
        <f t="shared" si="81"/>
        <v>43054.08387380792</v>
      </c>
      <c r="V267" s="356">
        <f t="shared" si="82"/>
        <v>-166.9635834991467</v>
      </c>
      <c r="X267" s="356">
        <f t="shared" si="66"/>
        <v>-5442.267235143421</v>
      </c>
      <c r="Y267" s="356">
        <f t="shared" si="67"/>
        <v>5436658.004324779</v>
      </c>
      <c r="AA267" s="357">
        <f>+Bono!J267</f>
        <v>255254.5443543422</v>
      </c>
      <c r="AC267" s="378">
        <f t="shared" si="68"/>
        <v>20.333333333333332</v>
      </c>
      <c r="AD267" s="356">
        <f t="shared" si="69"/>
        <v>6144716.843287271</v>
      </c>
    </row>
    <row r="268" spans="2:30" x14ac:dyDescent="0.25">
      <c r="B268" s="356">
        <f t="shared" si="70"/>
        <v>245</v>
      </c>
      <c r="C268" s="357">
        <f t="shared" si="75"/>
        <v>20</v>
      </c>
      <c r="D268" s="357">
        <f t="shared" si="76"/>
        <v>5</v>
      </c>
      <c r="E268" s="357">
        <f t="shared" si="77"/>
        <v>49</v>
      </c>
      <c r="F268" s="356">
        <f t="shared" si="71"/>
        <v>452804.2946081505</v>
      </c>
      <c r="H268" s="356">
        <f t="shared" si="64"/>
        <v>3610.725032016104</v>
      </c>
      <c r="I268" s="356">
        <v>0</v>
      </c>
      <c r="J268" s="356">
        <v>0</v>
      </c>
      <c r="K268" s="356">
        <f t="shared" si="72"/>
        <v>-456.41501964016663</v>
      </c>
      <c r="L268" s="356">
        <f t="shared" si="65"/>
        <v>455958.6046205264</v>
      </c>
      <c r="N268" s="356">
        <f t="shared" si="73"/>
        <v>245</v>
      </c>
      <c r="O268" s="357">
        <f t="shared" si="78"/>
        <v>20</v>
      </c>
      <c r="P268" s="357">
        <f t="shared" si="79"/>
        <v>5</v>
      </c>
      <c r="Q268" s="357">
        <f t="shared" si="80"/>
        <v>20</v>
      </c>
      <c r="R268" s="356">
        <f t="shared" si="74"/>
        <v>5436658.004324779</v>
      </c>
      <c r="S268" s="356">
        <f>IF($G$4="mensual",S267,0)</f>
        <v>10000</v>
      </c>
      <c r="U268" s="356">
        <f t="shared" si="81"/>
        <v>43432.415794698514</v>
      </c>
      <c r="V268" s="356">
        <f t="shared" si="82"/>
        <v>-166.9635834991467</v>
      </c>
      <c r="X268" s="356">
        <f t="shared" si="66"/>
        <v>-5490.090420119477</v>
      </c>
      <c r="Y268" s="356">
        <f t="shared" si="67"/>
        <v>5484433.366115859</v>
      </c>
      <c r="AA268" s="357">
        <f>+Bono!J268</f>
        <v>256837.15213703367</v>
      </c>
      <c r="AC268" s="378">
        <f t="shared" si="68"/>
        <v>20.416666666666668</v>
      </c>
      <c r="AD268" s="356">
        <f t="shared" si="69"/>
        <v>6197229.122873419</v>
      </c>
    </row>
    <row r="269" spans="2:30" x14ac:dyDescent="0.25">
      <c r="B269" s="356">
        <f t="shared" si="70"/>
        <v>246</v>
      </c>
      <c r="C269" s="357">
        <f t="shared" si="75"/>
        <v>20</v>
      </c>
      <c r="D269" s="357">
        <f t="shared" si="76"/>
        <v>6</v>
      </c>
      <c r="E269" s="357">
        <f t="shared" si="77"/>
        <v>49</v>
      </c>
      <c r="F269" s="356">
        <f t="shared" si="71"/>
        <v>455958.6046205264</v>
      </c>
      <c r="H269" s="356">
        <f t="shared" si="64"/>
        <v>3635.8779430110867</v>
      </c>
      <c r="I269" s="356">
        <v>0</v>
      </c>
      <c r="J269" s="360">
        <f>-SUM(F269:H269)*$J$21</f>
        <v>-4136.350343071838</v>
      </c>
      <c r="K269" s="356">
        <f t="shared" si="72"/>
        <v>-455.45813222046564</v>
      </c>
      <c r="L269" s="356">
        <f t="shared" si="65"/>
        <v>455002.67408824514</v>
      </c>
      <c r="N269" s="356">
        <f t="shared" si="73"/>
        <v>246</v>
      </c>
      <c r="O269" s="357">
        <f t="shared" si="78"/>
        <v>20</v>
      </c>
      <c r="P269" s="357">
        <f t="shared" si="79"/>
        <v>6</v>
      </c>
      <c r="Q269" s="357">
        <f t="shared" si="80"/>
        <v>20</v>
      </c>
      <c r="R269" s="356">
        <f t="shared" si="74"/>
        <v>5484433.366115859</v>
      </c>
      <c r="S269" s="356">
        <f>IF($G$4="mensual",S268,0)</f>
        <v>10000</v>
      </c>
      <c r="U269" s="356">
        <f t="shared" si="81"/>
        <v>43813.38323866227</v>
      </c>
      <c r="V269" s="356">
        <f t="shared" si="82"/>
        <v>-166.9635834991467</v>
      </c>
      <c r="X269" s="356">
        <f t="shared" si="66"/>
        <v>-5538.246749354521</v>
      </c>
      <c r="Y269" s="356">
        <f t="shared" si="67"/>
        <v>5532541.539021667</v>
      </c>
      <c r="AA269" s="357">
        <f>+Bono!J269</f>
        <v>256101.37792676027</v>
      </c>
      <c r="AC269" s="378">
        <f t="shared" si="68"/>
        <v>20.5</v>
      </c>
      <c r="AD269" s="356">
        <f t="shared" si="69"/>
        <v>6243645.591036673</v>
      </c>
    </row>
    <row r="270" spans="2:30" x14ac:dyDescent="0.25">
      <c r="B270" s="356">
        <f t="shared" si="70"/>
        <v>247</v>
      </c>
      <c r="C270" s="357">
        <f t="shared" si="75"/>
        <v>20</v>
      </c>
      <c r="D270" s="357">
        <f t="shared" si="76"/>
        <v>7</v>
      </c>
      <c r="E270" s="357">
        <f t="shared" si="77"/>
        <v>49</v>
      </c>
      <c r="F270" s="356">
        <f t="shared" si="71"/>
        <v>455002.67408824514</v>
      </c>
      <c r="H270" s="356">
        <f t="shared" si="64"/>
        <v>3628.255218706399</v>
      </c>
      <c r="I270" s="356">
        <v>0</v>
      </c>
      <c r="J270" s="356">
        <v>0</v>
      </c>
      <c r="K270" s="356">
        <f t="shared" si="72"/>
        <v>-458.63092930695154</v>
      </c>
      <c r="L270" s="356">
        <f t="shared" si="65"/>
        <v>458172.29837764456</v>
      </c>
      <c r="N270" s="356">
        <f t="shared" si="73"/>
        <v>247</v>
      </c>
      <c r="O270" s="357">
        <f t="shared" si="78"/>
        <v>20</v>
      </c>
      <c r="P270" s="357">
        <f t="shared" si="79"/>
        <v>7</v>
      </c>
      <c r="Q270" s="357">
        <f t="shared" si="80"/>
        <v>20</v>
      </c>
      <c r="R270" s="356">
        <f t="shared" si="74"/>
        <v>5532541.539021667</v>
      </c>
      <c r="S270" s="356">
        <f>+IF($G$4="mensual",S264,IF($G$4="trimestral",S264,IF($G$4="semestral",S264,0)))</f>
        <v>10000</v>
      </c>
      <c r="U270" s="356">
        <f t="shared" si="81"/>
        <v>44197.004565191164</v>
      </c>
      <c r="V270" s="356">
        <f t="shared" si="82"/>
        <v>-166.9635834991467</v>
      </c>
      <c r="X270" s="356">
        <f t="shared" si="66"/>
        <v>-5586.738543586858</v>
      </c>
      <c r="Y270" s="356">
        <f t="shared" si="67"/>
        <v>5580984.841459773</v>
      </c>
      <c r="AA270" s="357">
        <f>+Bono!J270</f>
        <v>257689.23617582736</v>
      </c>
      <c r="AC270" s="378">
        <f t="shared" si="68"/>
        <v>20.583333333333332</v>
      </c>
      <c r="AD270" s="356">
        <f t="shared" si="69"/>
        <v>6296846.3760132445</v>
      </c>
    </row>
    <row r="271" spans="2:30" x14ac:dyDescent="0.25">
      <c r="B271" s="356">
        <f t="shared" si="70"/>
        <v>248</v>
      </c>
      <c r="C271" s="357">
        <f t="shared" si="75"/>
        <v>20</v>
      </c>
      <c r="D271" s="357">
        <f t="shared" si="76"/>
        <v>8</v>
      </c>
      <c r="E271" s="357">
        <f t="shared" si="77"/>
        <v>49</v>
      </c>
      <c r="F271" s="356">
        <f t="shared" si="71"/>
        <v>458172.29837764456</v>
      </c>
      <c r="H271" s="356">
        <f t="shared" si="64"/>
        <v>3653.5302478969343</v>
      </c>
      <c r="I271" s="356">
        <v>0</v>
      </c>
      <c r="J271" s="356">
        <v>0</v>
      </c>
      <c r="K271" s="356">
        <f t="shared" si="72"/>
        <v>-461.8258286255415</v>
      </c>
      <c r="L271" s="356">
        <f t="shared" si="65"/>
        <v>461364.00279691594</v>
      </c>
      <c r="N271" s="356">
        <f t="shared" si="73"/>
        <v>248</v>
      </c>
      <c r="O271" s="357">
        <f t="shared" si="78"/>
        <v>20</v>
      </c>
      <c r="P271" s="357">
        <f t="shared" si="79"/>
        <v>8</v>
      </c>
      <c r="Q271" s="357">
        <f t="shared" si="80"/>
        <v>20</v>
      </c>
      <c r="R271" s="356">
        <f t="shared" si="74"/>
        <v>5580984.841459773</v>
      </c>
      <c r="S271" s="356">
        <f>IF($G$4="mensual",S270,0)</f>
        <v>10000</v>
      </c>
      <c r="U271" s="356">
        <f t="shared" si="81"/>
        <v>44583.29826167248</v>
      </c>
      <c r="V271" s="356">
        <f t="shared" si="82"/>
        <v>-166.9635834991467</v>
      </c>
      <c r="X271" s="356">
        <f t="shared" si="66"/>
        <v>-5635.568139721445</v>
      </c>
      <c r="Y271" s="356">
        <f t="shared" si="67"/>
        <v>5629765.607998224</v>
      </c>
      <c r="AA271" s="357">
        <f>+Bono!J271</f>
        <v>259286.93933021883</v>
      </c>
      <c r="AC271" s="378">
        <f t="shared" si="68"/>
        <v>20.666666666666668</v>
      </c>
      <c r="AD271" s="356">
        <f t="shared" si="69"/>
        <v>6350416.550125359</v>
      </c>
    </row>
    <row r="272" spans="2:30" x14ac:dyDescent="0.25">
      <c r="B272" s="356">
        <f t="shared" si="70"/>
        <v>249</v>
      </c>
      <c r="C272" s="357">
        <f t="shared" si="75"/>
        <v>20</v>
      </c>
      <c r="D272" s="357">
        <f t="shared" si="76"/>
        <v>9</v>
      </c>
      <c r="E272" s="357">
        <f t="shared" si="77"/>
        <v>49</v>
      </c>
      <c r="F272" s="356">
        <f t="shared" si="71"/>
        <v>461364.00279691594</v>
      </c>
      <c r="H272" s="356">
        <f t="shared" si="64"/>
        <v>3678.981347143757</v>
      </c>
      <c r="I272" s="356">
        <v>0</v>
      </c>
      <c r="J272" s="360">
        <f>-SUM(F272:H272)*$J$21</f>
        <v>-4185.3868572965375</v>
      </c>
      <c r="K272" s="356">
        <f t="shared" si="72"/>
        <v>-460.8575972867632</v>
      </c>
      <c r="L272" s="356">
        <f t="shared" si="65"/>
        <v>460396.73968947644</v>
      </c>
      <c r="N272" s="356">
        <f t="shared" si="73"/>
        <v>249</v>
      </c>
      <c r="O272" s="357">
        <f t="shared" si="78"/>
        <v>20</v>
      </c>
      <c r="P272" s="357">
        <f t="shared" si="79"/>
        <v>9</v>
      </c>
      <c r="Q272" s="357">
        <f t="shared" si="80"/>
        <v>20</v>
      </c>
      <c r="R272" s="356">
        <f t="shared" si="74"/>
        <v>5629765.607998224</v>
      </c>
      <c r="S272" s="356">
        <f>IF($G$4="mensual",S271,0)</f>
        <v>10000</v>
      </c>
      <c r="U272" s="356">
        <f t="shared" si="81"/>
        <v>44972.28294427966</v>
      </c>
      <c r="V272" s="356">
        <f t="shared" si="82"/>
        <v>-166.9635834991467</v>
      </c>
      <c r="X272" s="356">
        <f t="shared" si="66"/>
        <v>-5684.737890942504</v>
      </c>
      <c r="Y272" s="356">
        <f t="shared" si="67"/>
        <v>5678886.189468062</v>
      </c>
      <c r="AA272" s="357">
        <f>+Bono!J272</f>
        <v>258544.14709228702</v>
      </c>
      <c r="AC272" s="378">
        <f t="shared" si="68"/>
        <v>20.75</v>
      </c>
      <c r="AD272" s="356">
        <f t="shared" si="69"/>
        <v>6397827.076249826</v>
      </c>
    </row>
    <row r="273" spans="2:30" x14ac:dyDescent="0.25">
      <c r="B273" s="356">
        <f t="shared" si="70"/>
        <v>250</v>
      </c>
      <c r="C273" s="357">
        <f t="shared" si="75"/>
        <v>20</v>
      </c>
      <c r="D273" s="357">
        <f t="shared" si="76"/>
        <v>10</v>
      </c>
      <c r="E273" s="357">
        <f t="shared" si="77"/>
        <v>49</v>
      </c>
      <c r="F273" s="356">
        <f t="shared" si="71"/>
        <v>460396.73968947644</v>
      </c>
      <c r="H273" s="356">
        <f t="shared" si="64"/>
        <v>3671.2682552933366</v>
      </c>
      <c r="I273" s="356">
        <v>0</v>
      </c>
      <c r="J273" s="356">
        <v>0</v>
      </c>
      <c r="K273" s="356">
        <f t="shared" si="72"/>
        <v>-464.06800794476976</v>
      </c>
      <c r="L273" s="356">
        <f t="shared" si="65"/>
        <v>463603.93993682496</v>
      </c>
      <c r="N273" s="356">
        <f t="shared" si="73"/>
        <v>250</v>
      </c>
      <c r="O273" s="357">
        <f t="shared" si="78"/>
        <v>20</v>
      </c>
      <c r="P273" s="357">
        <f t="shared" si="79"/>
        <v>10</v>
      </c>
      <c r="Q273" s="357">
        <f t="shared" si="80"/>
        <v>20</v>
      </c>
      <c r="R273" s="356">
        <f t="shared" si="74"/>
        <v>5678886.189468062</v>
      </c>
      <c r="S273" s="356">
        <f>IF($G$4="mensual",S264,IF($G$4="trimestral",S264,0))</f>
        <v>10000</v>
      </c>
      <c r="U273" s="356">
        <f t="shared" si="81"/>
        <v>45363.977358869546</v>
      </c>
      <c r="V273" s="356">
        <f t="shared" si="82"/>
        <v>-166.9635834991467</v>
      </c>
      <c r="X273" s="356">
        <f t="shared" si="66"/>
        <v>-5734.250166826931</v>
      </c>
      <c r="Y273" s="356">
        <f t="shared" si="67"/>
        <v>5728348.953076605</v>
      </c>
      <c r="AA273" s="357">
        <f>+Bono!J273</f>
        <v>260147.15079352408</v>
      </c>
      <c r="AC273" s="378">
        <f t="shared" si="68"/>
        <v>20.833333333333332</v>
      </c>
      <c r="AD273" s="356">
        <f t="shared" si="69"/>
        <v>6452100.043806954</v>
      </c>
    </row>
    <row r="274" spans="2:30" x14ac:dyDescent="0.25">
      <c r="B274" s="356">
        <f t="shared" si="70"/>
        <v>251</v>
      </c>
      <c r="C274" s="357">
        <f t="shared" si="75"/>
        <v>20</v>
      </c>
      <c r="D274" s="357">
        <f t="shared" si="76"/>
        <v>11</v>
      </c>
      <c r="E274" s="357">
        <f t="shared" si="77"/>
        <v>49</v>
      </c>
      <c r="F274" s="356">
        <f t="shared" si="71"/>
        <v>463603.93993682496</v>
      </c>
      <c r="H274" s="356">
        <f t="shared" si="64"/>
        <v>3696.842920449308</v>
      </c>
      <c r="I274" s="356">
        <v>0</v>
      </c>
      <c r="J274" s="356">
        <v>0</v>
      </c>
      <c r="K274" s="356">
        <f t="shared" si="72"/>
        <v>-467.30078285727427</v>
      </c>
      <c r="L274" s="356">
        <f t="shared" si="65"/>
        <v>466833.482074417</v>
      </c>
      <c r="N274" s="356">
        <f t="shared" si="73"/>
        <v>251</v>
      </c>
      <c r="O274" s="357">
        <f t="shared" si="78"/>
        <v>20</v>
      </c>
      <c r="P274" s="357">
        <f t="shared" si="79"/>
        <v>11</v>
      </c>
      <c r="Q274" s="357">
        <f t="shared" si="80"/>
        <v>20</v>
      </c>
      <c r="R274" s="356">
        <f t="shared" si="74"/>
        <v>5728348.953076605</v>
      </c>
      <c r="S274" s="356">
        <f>IF($G$17="si",S262*(1+$G$20),S262)</f>
        <v>10000</v>
      </c>
      <c r="U274" s="356">
        <f t="shared" si="81"/>
        <v>45758.400381885745</v>
      </c>
      <c r="V274" s="356">
        <f t="shared" si="82"/>
        <v>-166.9635834991467</v>
      </c>
      <c r="X274" s="356">
        <f t="shared" si="66"/>
        <v>-5784.10735345849</v>
      </c>
      <c r="Y274" s="356">
        <f t="shared" si="67"/>
        <v>5778156.282521533</v>
      </c>
      <c r="AA274" s="357">
        <f>+Bono!J274</f>
        <v>261760.09330364573</v>
      </c>
      <c r="AC274" s="378">
        <f t="shared" si="68"/>
        <v>20.916666666666668</v>
      </c>
      <c r="AD274" s="356">
        <f t="shared" si="69"/>
        <v>6506749.857899596</v>
      </c>
    </row>
    <row r="275" spans="2:30" x14ac:dyDescent="0.25">
      <c r="B275" s="356">
        <f t="shared" si="70"/>
        <v>252</v>
      </c>
      <c r="C275" s="357">
        <f t="shared" si="75"/>
        <v>20</v>
      </c>
      <c r="D275" s="357">
        <f t="shared" si="76"/>
        <v>12</v>
      </c>
      <c r="E275" s="357">
        <f t="shared" si="77"/>
        <v>49</v>
      </c>
      <c r="F275" s="356">
        <f t="shared" si="71"/>
        <v>466833.482074417</v>
      </c>
      <c r="H275" s="356">
        <f t="shared" si="64"/>
        <v>3722.5957429755294</v>
      </c>
      <c r="I275" s="356">
        <v>0</v>
      </c>
      <c r="J275" s="360">
        <f>-SUM(F275:H275)*$J$21</f>
        <v>-4235.004700356533</v>
      </c>
      <c r="K275" s="356">
        <f t="shared" si="72"/>
        <v>-466.321073117036</v>
      </c>
      <c r="L275" s="356">
        <f t="shared" si="65"/>
        <v>465854.752043919</v>
      </c>
      <c r="N275" s="356">
        <f t="shared" si="73"/>
        <v>252</v>
      </c>
      <c r="O275" s="357">
        <f t="shared" si="78"/>
        <v>20</v>
      </c>
      <c r="P275" s="357">
        <f t="shared" si="79"/>
        <v>12</v>
      </c>
      <c r="Q275" s="357">
        <f t="shared" si="80"/>
        <v>20</v>
      </c>
      <c r="R275" s="356">
        <f t="shared" si="74"/>
        <v>5778156.282521533</v>
      </c>
      <c r="S275" s="356">
        <f>IF($G$4="mensual",S274,0)</f>
        <v>10000</v>
      </c>
      <c r="U275" s="356">
        <f t="shared" si="81"/>
        <v>46155.571021268275</v>
      </c>
      <c r="V275" s="356">
        <f t="shared" si="82"/>
        <v>-166.9635834991467</v>
      </c>
      <c r="X275" s="356">
        <f t="shared" si="66"/>
        <v>-5834.311853542801</v>
      </c>
      <c r="Y275" s="356">
        <f t="shared" si="67"/>
        <v>5828310.578105759</v>
      </c>
      <c r="AA275" s="357">
        <f>+Bono!J275</f>
        <v>261010.21609807372</v>
      </c>
      <c r="AC275" s="378">
        <f t="shared" si="68"/>
        <v>21</v>
      </c>
      <c r="AD275" s="356">
        <f t="shared" si="69"/>
        <v>6555175.546247751</v>
      </c>
    </row>
    <row r="276" spans="2:30" x14ac:dyDescent="0.25">
      <c r="B276" s="356">
        <f t="shared" si="70"/>
        <v>253</v>
      </c>
      <c r="C276" s="357">
        <f t="shared" si="75"/>
        <v>21</v>
      </c>
      <c r="D276" s="357">
        <f t="shared" si="76"/>
        <v>1</v>
      </c>
      <c r="E276" s="357">
        <f t="shared" si="77"/>
        <v>50</v>
      </c>
      <c r="F276" s="356">
        <f t="shared" si="71"/>
        <v>465854.752043919</v>
      </c>
      <c r="H276" s="356">
        <f t="shared" si="64"/>
        <v>3714.791212270353</v>
      </c>
      <c r="I276" s="356">
        <v>0</v>
      </c>
      <c r="J276" s="356">
        <v>0</v>
      </c>
      <c r="K276" s="356">
        <f t="shared" si="72"/>
        <v>-469.5695432561893</v>
      </c>
      <c r="L276" s="356">
        <f t="shared" si="65"/>
        <v>469099.97371293313</v>
      </c>
      <c r="N276" s="356">
        <f t="shared" si="73"/>
        <v>253</v>
      </c>
      <c r="O276" s="357">
        <f t="shared" si="78"/>
        <v>21</v>
      </c>
      <c r="P276" s="357">
        <f t="shared" si="79"/>
        <v>1</v>
      </c>
      <c r="Q276" s="357">
        <f t="shared" si="80"/>
        <v>21</v>
      </c>
      <c r="R276" s="356">
        <f t="shared" si="74"/>
        <v>5828310.578105759</v>
      </c>
      <c r="S276" s="356">
        <f>IF($G$17="si",S264*(1+$G$20),S264)</f>
        <v>10000</v>
      </c>
      <c r="U276" s="356">
        <f t="shared" si="81"/>
        <v>46555.50841736964</v>
      </c>
      <c r="V276" s="356">
        <f>V275*(1+$G$18)</f>
        <v>-173.64212683911256</v>
      </c>
      <c r="X276" s="356">
        <f t="shared" si="66"/>
        <v>-5884.866086523129</v>
      </c>
      <c r="Y276" s="356">
        <f t="shared" si="67"/>
        <v>5878807.578309767</v>
      </c>
      <c r="AA276" s="357">
        <f>+Bono!J276</f>
        <v>262628.50971319294</v>
      </c>
      <c r="AC276" s="378">
        <f t="shared" si="68"/>
        <v>21.083333333333332</v>
      </c>
      <c r="AD276" s="356">
        <f t="shared" si="69"/>
        <v>6610536.061735894</v>
      </c>
    </row>
    <row r="277" spans="2:30" x14ac:dyDescent="0.25">
      <c r="B277" s="356">
        <f t="shared" si="70"/>
        <v>254</v>
      </c>
      <c r="C277" s="357">
        <f t="shared" si="75"/>
        <v>21</v>
      </c>
      <c r="D277" s="357">
        <f t="shared" si="76"/>
        <v>2</v>
      </c>
      <c r="E277" s="357">
        <f t="shared" si="77"/>
        <v>50</v>
      </c>
      <c r="F277" s="356">
        <f t="shared" si="71"/>
        <v>469099.97371293313</v>
      </c>
      <c r="H277" s="356">
        <f t="shared" si="64"/>
        <v>3740.669065581993</v>
      </c>
      <c r="I277" s="356">
        <v>0</v>
      </c>
      <c r="J277" s="356">
        <v>0</v>
      </c>
      <c r="K277" s="356">
        <f t="shared" si="72"/>
        <v>-472.84064277851513</v>
      </c>
      <c r="L277" s="356">
        <f t="shared" si="65"/>
        <v>472367.8021357366</v>
      </c>
      <c r="N277" s="356">
        <f t="shared" si="73"/>
        <v>254</v>
      </c>
      <c r="O277" s="357">
        <f t="shared" si="78"/>
        <v>21</v>
      </c>
      <c r="P277" s="357">
        <f t="shared" si="79"/>
        <v>2</v>
      </c>
      <c r="Q277" s="357">
        <f t="shared" si="80"/>
        <v>21</v>
      </c>
      <c r="R277" s="356">
        <f t="shared" si="74"/>
        <v>5878807.578309767</v>
      </c>
      <c r="S277" s="356">
        <f>IF($G$4="mensual",S276,0)</f>
        <v>10000</v>
      </c>
      <c r="U277" s="356">
        <f t="shared" si="81"/>
        <v>46958.17858823478</v>
      </c>
      <c r="V277" s="356">
        <f>V276</f>
        <v>-173.64212683911256</v>
      </c>
      <c r="X277" s="356">
        <f t="shared" si="66"/>
        <v>-5935.765756898002</v>
      </c>
      <c r="Y277" s="356">
        <f t="shared" si="67"/>
        <v>5929656.349014265</v>
      </c>
      <c r="AA277" s="357">
        <f>+Bono!J277</f>
        <v>264256.83693643636</v>
      </c>
      <c r="AC277" s="378">
        <f t="shared" si="68"/>
        <v>21.166666666666668</v>
      </c>
      <c r="AD277" s="356">
        <f t="shared" si="69"/>
        <v>6666280.988086439</v>
      </c>
    </row>
    <row r="278" spans="2:30" x14ac:dyDescent="0.25">
      <c r="B278" s="356">
        <f t="shared" si="70"/>
        <v>255</v>
      </c>
      <c r="C278" s="357">
        <f t="shared" si="75"/>
        <v>21</v>
      </c>
      <c r="D278" s="357">
        <f t="shared" si="76"/>
        <v>3</v>
      </c>
      <c r="E278" s="357">
        <f t="shared" si="77"/>
        <v>50</v>
      </c>
      <c r="F278" s="356">
        <f t="shared" si="71"/>
        <v>472367.8021357366</v>
      </c>
      <c r="H278" s="356">
        <f t="shared" si="64"/>
        <v>3766.7271883229914</v>
      </c>
      <c r="I278" s="356">
        <v>0</v>
      </c>
      <c r="J278" s="360">
        <f>-SUM(F278:H278)*$J$21</f>
        <v>-4285.210763916537</v>
      </c>
      <c r="K278" s="356">
        <f t="shared" si="72"/>
        <v>-471.84931856014305</v>
      </c>
      <c r="L278" s="356">
        <f t="shared" si="65"/>
        <v>471377.4692415829</v>
      </c>
      <c r="N278" s="356">
        <f t="shared" si="73"/>
        <v>255</v>
      </c>
      <c r="O278" s="357">
        <f t="shared" si="78"/>
        <v>21</v>
      </c>
      <c r="P278" s="357">
        <f t="shared" si="79"/>
        <v>3</v>
      </c>
      <c r="Q278" s="357">
        <f t="shared" si="80"/>
        <v>21</v>
      </c>
      <c r="R278" s="356">
        <f t="shared" si="74"/>
        <v>5929656.349014265</v>
      </c>
      <c r="S278" s="356">
        <f>IF($G$4="mensual",S277,0)</f>
        <v>10000</v>
      </c>
      <c r="U278" s="356">
        <f t="shared" si="81"/>
        <v>47363.653826469585</v>
      </c>
      <c r="V278" s="356">
        <f t="shared" si="82"/>
        <v>-173.64212683911256</v>
      </c>
      <c r="X278" s="356">
        <f t="shared" si="66"/>
        <v>-5987.020002840735</v>
      </c>
      <c r="Y278" s="356">
        <f t="shared" si="67"/>
        <v>5980859.340711055</v>
      </c>
      <c r="AA278" s="357">
        <f>+Bono!J278</f>
        <v>263499.8071847495</v>
      </c>
      <c r="AC278" s="378">
        <f t="shared" si="68"/>
        <v>21.25</v>
      </c>
      <c r="AD278" s="356">
        <f t="shared" si="69"/>
        <v>6715736.617137387</v>
      </c>
    </row>
    <row r="279" spans="2:30" x14ac:dyDescent="0.25">
      <c r="B279" s="356">
        <f t="shared" si="70"/>
        <v>256</v>
      </c>
      <c r="C279" s="357">
        <f t="shared" si="75"/>
        <v>21</v>
      </c>
      <c r="D279" s="357">
        <f t="shared" si="76"/>
        <v>4</v>
      </c>
      <c r="E279" s="357">
        <f t="shared" si="77"/>
        <v>50</v>
      </c>
      <c r="F279" s="356">
        <f t="shared" si="71"/>
        <v>471377.4692415829</v>
      </c>
      <c r="H279" s="356">
        <f t="shared" si="64"/>
        <v>3758.8301347536467</v>
      </c>
      <c r="I279" s="356">
        <v>0</v>
      </c>
      <c r="J279" s="356">
        <v>0</v>
      </c>
      <c r="K279" s="356">
        <f t="shared" si="72"/>
        <v>-475.1362993763366</v>
      </c>
      <c r="L279" s="356">
        <f t="shared" si="65"/>
        <v>474661.16307696025</v>
      </c>
      <c r="N279" s="356">
        <f t="shared" si="73"/>
        <v>256</v>
      </c>
      <c r="O279" s="357">
        <f t="shared" si="78"/>
        <v>21</v>
      </c>
      <c r="P279" s="357">
        <f t="shared" si="79"/>
        <v>4</v>
      </c>
      <c r="Q279" s="357">
        <f t="shared" si="80"/>
        <v>21</v>
      </c>
      <c r="R279" s="356">
        <f t="shared" si="74"/>
        <v>5980859.340711055</v>
      </c>
      <c r="S279" s="356">
        <f>IF($G$4="mensual",S276,IF($G$4="trimestral",S276,0))</f>
        <v>10000</v>
      </c>
      <c r="U279" s="356">
        <f t="shared" si="81"/>
        <v>47771.95367263978</v>
      </c>
      <c r="V279" s="356">
        <f t="shared" si="82"/>
        <v>-173.64212683911256</v>
      </c>
      <c r="X279" s="356">
        <f t="shared" si="66"/>
        <v>-6038.631294383696</v>
      </c>
      <c r="Y279" s="356">
        <f t="shared" si="67"/>
        <v>6032419.020962473</v>
      </c>
      <c r="AA279" s="357">
        <f>+Bono!J279</f>
        <v>265133.5365533808</v>
      </c>
      <c r="AC279" s="378">
        <f t="shared" si="68"/>
        <v>21.333333333333332</v>
      </c>
      <c r="AD279" s="356">
        <f t="shared" si="69"/>
        <v>6772213.7205928145</v>
      </c>
    </row>
    <row r="280" spans="2:30" x14ac:dyDescent="0.25">
      <c r="B280" s="356">
        <f t="shared" si="70"/>
        <v>257</v>
      </c>
      <c r="C280" s="357">
        <f t="shared" si="75"/>
        <v>21</v>
      </c>
      <c r="D280" s="357">
        <f t="shared" si="76"/>
        <v>5</v>
      </c>
      <c r="E280" s="357">
        <f t="shared" si="77"/>
        <v>50</v>
      </c>
      <c r="F280" s="356">
        <f t="shared" si="71"/>
        <v>474661.16307696025</v>
      </c>
      <c r="H280" s="356">
        <f t="shared" ref="H280:H343" si="83">SUM(F280:G280)*$G$8</f>
        <v>3785.0147705224713</v>
      </c>
      <c r="I280" s="356">
        <v>0</v>
      </c>
      <c r="J280" s="356">
        <v>0</v>
      </c>
      <c r="K280" s="356">
        <f t="shared" si="72"/>
        <v>-478.4461778474827</v>
      </c>
      <c r="L280" s="356">
        <f t="shared" ref="L280:L343" si="84">SUM(F280:K280)</f>
        <v>477967.7316696352</v>
      </c>
      <c r="N280" s="356">
        <f t="shared" si="73"/>
        <v>257</v>
      </c>
      <c r="O280" s="357">
        <f t="shared" si="78"/>
        <v>21</v>
      </c>
      <c r="P280" s="357">
        <f t="shared" si="79"/>
        <v>5</v>
      </c>
      <c r="Q280" s="357">
        <f t="shared" si="80"/>
        <v>21</v>
      </c>
      <c r="R280" s="356">
        <f t="shared" si="74"/>
        <v>6032419.020962473</v>
      </c>
      <c r="S280" s="356">
        <f>IF($G$4="mensual",S279,0)</f>
        <v>10000</v>
      </c>
      <c r="U280" s="356">
        <f t="shared" si="81"/>
        <v>48183.09780343396</v>
      </c>
      <c r="V280" s="356">
        <f t="shared" si="82"/>
        <v>-173.64212683911256</v>
      </c>
      <c r="X280" s="356">
        <f t="shared" ref="X280:X343" si="85">-SUM(R280:U280)*0.1%</f>
        <v>-6090.602118765907</v>
      </c>
      <c r="Y280" s="356">
        <f t="shared" ref="Y280:Y343" si="86">SUM(R280:X280)</f>
        <v>6084337.874520303</v>
      </c>
      <c r="AA280" s="357">
        <f>+Bono!J280</f>
        <v>266777.3952335985</v>
      </c>
      <c r="AC280" s="378">
        <f t="shared" ref="AC280:AC343" si="87">+B280/12</f>
        <v>21.416666666666668</v>
      </c>
      <c r="AD280" s="356">
        <f t="shared" ref="AD280:AD343" si="88">+AA280+Y280+L280</f>
        <v>6829083.001423537</v>
      </c>
    </row>
    <row r="281" spans="2:30" x14ac:dyDescent="0.25">
      <c r="B281" s="356">
        <f t="shared" ref="B281:B344" si="89">+B280+1</f>
        <v>258</v>
      </c>
      <c r="C281" s="357">
        <f t="shared" si="75"/>
        <v>21</v>
      </c>
      <c r="D281" s="357">
        <f t="shared" si="76"/>
        <v>6</v>
      </c>
      <c r="E281" s="357">
        <f t="shared" si="77"/>
        <v>50</v>
      </c>
      <c r="F281" s="356">
        <f t="shared" ref="F281:F344" si="90">L280</f>
        <v>477967.7316696352</v>
      </c>
      <c r="H281" s="356">
        <f t="shared" si="83"/>
        <v>3811.3818128182643</v>
      </c>
      <c r="I281" s="356">
        <v>0</v>
      </c>
      <c r="J281" s="360">
        <f>-SUM(F281:H281)*$J$21</f>
        <v>-4336.012021342082</v>
      </c>
      <c r="K281" s="356">
        <f t="shared" ref="K281:K344" si="91">-SUM(F281:J281)*0.1%</f>
        <v>-477.44310146111144</v>
      </c>
      <c r="L281" s="356">
        <f t="shared" si="84"/>
        <v>476965.65835965035</v>
      </c>
      <c r="N281" s="356">
        <f t="shared" ref="N281:N344" si="92">+N280+1</f>
        <v>258</v>
      </c>
      <c r="O281" s="357">
        <f t="shared" si="78"/>
        <v>21</v>
      </c>
      <c r="P281" s="357">
        <f t="shared" si="79"/>
        <v>6</v>
      </c>
      <c r="Q281" s="357">
        <f t="shared" si="80"/>
        <v>21</v>
      </c>
      <c r="R281" s="356">
        <f t="shared" ref="R281:R344" si="93">Y280</f>
        <v>6084337.874520303</v>
      </c>
      <c r="S281" s="356">
        <f>IF($G$4="mensual",S280,0)</f>
        <v>10000</v>
      </c>
      <c r="U281" s="356">
        <f t="shared" si="81"/>
        <v>48597.10603261178</v>
      </c>
      <c r="V281" s="356">
        <f t="shared" si="82"/>
        <v>-173.64212683911256</v>
      </c>
      <c r="X281" s="356">
        <f t="shared" si="85"/>
        <v>-6142.934980552915</v>
      </c>
      <c r="Y281" s="356">
        <f t="shared" si="86"/>
        <v>6136618.403445523</v>
      </c>
      <c r="AA281" s="357">
        <f>+Bono!J281</f>
        <v>266013.144712739</v>
      </c>
      <c r="AC281" s="378">
        <f t="shared" si="87"/>
        <v>21.5</v>
      </c>
      <c r="AD281" s="356">
        <f t="shared" si="88"/>
        <v>6879597.206517912</v>
      </c>
    </row>
    <row r="282" spans="2:30" x14ac:dyDescent="0.25">
      <c r="B282" s="356">
        <f t="shared" si="89"/>
        <v>259</v>
      </c>
      <c r="C282" s="357">
        <f t="shared" si="75"/>
        <v>21</v>
      </c>
      <c r="D282" s="357">
        <f t="shared" si="76"/>
        <v>7</v>
      </c>
      <c r="E282" s="357">
        <f t="shared" si="77"/>
        <v>50</v>
      </c>
      <c r="F282" s="356">
        <f t="shared" si="90"/>
        <v>476965.65835965035</v>
      </c>
      <c r="H282" s="356">
        <f t="shared" si="83"/>
        <v>3803.3911395243886</v>
      </c>
      <c r="I282" s="356">
        <v>0</v>
      </c>
      <c r="J282" s="356">
        <v>0</v>
      </c>
      <c r="K282" s="356">
        <f t="shared" si="91"/>
        <v>-480.76904949917474</v>
      </c>
      <c r="L282" s="356">
        <f t="shared" si="84"/>
        <v>480288.28044967557</v>
      </c>
      <c r="N282" s="356">
        <f t="shared" si="92"/>
        <v>259</v>
      </c>
      <c r="O282" s="357">
        <f t="shared" si="78"/>
        <v>21</v>
      </c>
      <c r="P282" s="357">
        <f t="shared" si="79"/>
        <v>7</v>
      </c>
      <c r="Q282" s="357">
        <f t="shared" si="80"/>
        <v>21</v>
      </c>
      <c r="R282" s="356">
        <f t="shared" si="93"/>
        <v>6136618.403445523</v>
      </c>
      <c r="S282" s="356">
        <f>+IF($G$4="mensual",S276,IF($G$4="trimestral",S276,IF($G$4="semestral",S276,0)))</f>
        <v>10000</v>
      </c>
      <c r="U282" s="356">
        <f t="shared" si="81"/>
        <v>49013.99831195886</v>
      </c>
      <c r="V282" s="356">
        <f t="shared" si="82"/>
        <v>-173.64212683911256</v>
      </c>
      <c r="X282" s="356">
        <f t="shared" si="85"/>
        <v>-6195.6324017574825</v>
      </c>
      <c r="Y282" s="356">
        <f t="shared" si="86"/>
        <v>6189263.127228886</v>
      </c>
      <c r="AA282" s="357">
        <f>+Bono!J282</f>
        <v>267662.45706557296</v>
      </c>
      <c r="AC282" s="378">
        <f t="shared" si="87"/>
        <v>21.583333333333332</v>
      </c>
      <c r="AD282" s="356">
        <f t="shared" si="88"/>
        <v>6937213.864744134</v>
      </c>
    </row>
    <row r="283" spans="2:30" x14ac:dyDescent="0.25">
      <c r="B283" s="356">
        <f t="shared" si="89"/>
        <v>260</v>
      </c>
      <c r="C283" s="357">
        <f t="shared" si="75"/>
        <v>21</v>
      </c>
      <c r="D283" s="357">
        <f t="shared" si="76"/>
        <v>8</v>
      </c>
      <c r="E283" s="357">
        <f t="shared" si="77"/>
        <v>50</v>
      </c>
      <c r="F283" s="356">
        <f t="shared" si="90"/>
        <v>480288.28044967557</v>
      </c>
      <c r="H283" s="356">
        <f t="shared" si="83"/>
        <v>3829.8861946624274</v>
      </c>
      <c r="I283" s="356">
        <v>0</v>
      </c>
      <c r="J283" s="356">
        <v>0</v>
      </c>
      <c r="K283" s="356">
        <f t="shared" si="91"/>
        <v>-484.11816664433803</v>
      </c>
      <c r="L283" s="356">
        <f t="shared" si="84"/>
        <v>483634.04847769364</v>
      </c>
      <c r="N283" s="356">
        <f t="shared" si="92"/>
        <v>260</v>
      </c>
      <c r="O283" s="357">
        <f t="shared" si="78"/>
        <v>21</v>
      </c>
      <c r="P283" s="357">
        <f t="shared" si="79"/>
        <v>8</v>
      </c>
      <c r="Q283" s="357">
        <f t="shared" si="80"/>
        <v>21</v>
      </c>
      <c r="R283" s="356">
        <f t="shared" si="93"/>
        <v>6189263.127228886</v>
      </c>
      <c r="S283" s="356">
        <f>IF($G$4="mensual",S282,0)</f>
        <v>10000</v>
      </c>
      <c r="U283" s="356">
        <f t="shared" si="81"/>
        <v>49433.794732248236</v>
      </c>
      <c r="V283" s="356">
        <f t="shared" si="82"/>
        <v>-173.64212683911256</v>
      </c>
      <c r="X283" s="356">
        <f t="shared" si="85"/>
        <v>-6248.696921961135</v>
      </c>
      <c r="Y283" s="356">
        <f t="shared" si="86"/>
        <v>6242274.582912334</v>
      </c>
      <c r="AA283" s="357">
        <f>+Bono!J283</f>
        <v>269321.99534630287</v>
      </c>
      <c r="AC283" s="378">
        <f t="shared" si="87"/>
        <v>21.666666666666668</v>
      </c>
      <c r="AD283" s="356">
        <f t="shared" si="88"/>
        <v>6995230.626736331</v>
      </c>
    </row>
    <row r="284" spans="2:30" x14ac:dyDescent="0.25">
      <c r="B284" s="356">
        <f t="shared" si="89"/>
        <v>261</v>
      </c>
      <c r="C284" s="357">
        <f t="shared" si="75"/>
        <v>21</v>
      </c>
      <c r="D284" s="357">
        <f t="shared" si="76"/>
        <v>9</v>
      </c>
      <c r="E284" s="357">
        <f t="shared" si="77"/>
        <v>50</v>
      </c>
      <c r="F284" s="356">
        <f t="shared" si="90"/>
        <v>483634.04847769364</v>
      </c>
      <c r="H284" s="356">
        <f t="shared" si="83"/>
        <v>3856.56581876038</v>
      </c>
      <c r="I284" s="356">
        <v>0</v>
      </c>
      <c r="J284" s="360">
        <f>-SUM(F284:H284)*$J$21</f>
        <v>-4387.415528668086</v>
      </c>
      <c r="K284" s="356">
        <f t="shared" si="91"/>
        <v>-483.1031987677859</v>
      </c>
      <c r="L284" s="356">
        <f t="shared" si="84"/>
        <v>482620.0955690181</v>
      </c>
      <c r="N284" s="356">
        <f t="shared" si="92"/>
        <v>261</v>
      </c>
      <c r="O284" s="357">
        <f t="shared" si="78"/>
        <v>21</v>
      </c>
      <c r="P284" s="357">
        <f t="shared" si="79"/>
        <v>9</v>
      </c>
      <c r="Q284" s="357">
        <f t="shared" si="80"/>
        <v>21</v>
      </c>
      <c r="R284" s="356">
        <f t="shared" si="93"/>
        <v>6242274.582912334</v>
      </c>
      <c r="S284" s="356">
        <f>IF($G$4="mensual",S283,0)</f>
        <v>10000</v>
      </c>
      <c r="U284" s="356">
        <f t="shared" si="81"/>
        <v>49856.51552420866</v>
      </c>
      <c r="V284" s="356">
        <f t="shared" si="82"/>
        <v>-173.64212683911256</v>
      </c>
      <c r="X284" s="356">
        <f t="shared" si="85"/>
        <v>-6302.131098436543</v>
      </c>
      <c r="Y284" s="356">
        <f t="shared" si="86"/>
        <v>6295655.325211268</v>
      </c>
      <c r="AA284" s="357">
        <f>+Bono!J284</f>
        <v>268550.4551824817</v>
      </c>
      <c r="AC284" s="378">
        <f t="shared" si="87"/>
        <v>21.75</v>
      </c>
      <c r="AD284" s="356">
        <f t="shared" si="88"/>
        <v>7046825.875962768</v>
      </c>
    </row>
    <row r="285" spans="2:30" x14ac:dyDescent="0.25">
      <c r="B285" s="356">
        <f t="shared" si="89"/>
        <v>262</v>
      </c>
      <c r="C285" s="357">
        <f t="shared" si="75"/>
        <v>21</v>
      </c>
      <c r="D285" s="357">
        <f t="shared" si="76"/>
        <v>10</v>
      </c>
      <c r="E285" s="357">
        <f t="shared" si="77"/>
        <v>50</v>
      </c>
      <c r="F285" s="356">
        <f t="shared" si="90"/>
        <v>482620.0955690181</v>
      </c>
      <c r="H285" s="356">
        <f t="shared" si="83"/>
        <v>3848.480415878306</v>
      </c>
      <c r="I285" s="356">
        <v>0</v>
      </c>
      <c r="J285" s="356">
        <v>0</v>
      </c>
      <c r="K285" s="356">
        <f t="shared" si="91"/>
        <v>-486.4685759848964</v>
      </c>
      <c r="L285" s="356">
        <f t="shared" si="84"/>
        <v>485982.1074089115</v>
      </c>
      <c r="N285" s="356">
        <f t="shared" si="92"/>
        <v>262</v>
      </c>
      <c r="O285" s="357">
        <f t="shared" si="78"/>
        <v>21</v>
      </c>
      <c r="P285" s="357">
        <f t="shared" si="79"/>
        <v>10</v>
      </c>
      <c r="Q285" s="357">
        <f t="shared" si="80"/>
        <v>21</v>
      </c>
      <c r="R285" s="356">
        <f t="shared" si="93"/>
        <v>6295655.325211268</v>
      </c>
      <c r="S285" s="356">
        <f>IF($G$4="mensual",S276,IF($G$4="trimestral",S276,0))</f>
        <v>10000</v>
      </c>
      <c r="U285" s="356">
        <f t="shared" si="81"/>
        <v>50282.18105949948</v>
      </c>
      <c r="V285" s="356">
        <f t="shared" si="82"/>
        <v>-173.64212683911256</v>
      </c>
      <c r="X285" s="356">
        <f t="shared" si="85"/>
        <v>-6355.937506270768</v>
      </c>
      <c r="Y285" s="356">
        <f t="shared" si="86"/>
        <v>6349407.926637658</v>
      </c>
      <c r="AA285" s="357">
        <f>+Bono!J285</f>
        <v>270215.4991545378</v>
      </c>
      <c r="AC285" s="378">
        <f t="shared" si="87"/>
        <v>21.833333333333332</v>
      </c>
      <c r="AD285" s="356">
        <f t="shared" si="88"/>
        <v>7105605.533201108</v>
      </c>
    </row>
    <row r="286" spans="2:30" x14ac:dyDescent="0.25">
      <c r="B286" s="356">
        <f t="shared" si="89"/>
        <v>263</v>
      </c>
      <c r="C286" s="357">
        <f t="shared" si="75"/>
        <v>21</v>
      </c>
      <c r="D286" s="357">
        <f t="shared" si="76"/>
        <v>11</v>
      </c>
      <c r="E286" s="357">
        <f t="shared" si="77"/>
        <v>50</v>
      </c>
      <c r="F286" s="356">
        <f t="shared" si="90"/>
        <v>485982.1074089115</v>
      </c>
      <c r="H286" s="356">
        <f t="shared" si="83"/>
        <v>3875.289570413253</v>
      </c>
      <c r="I286" s="356">
        <v>0</v>
      </c>
      <c r="J286" s="356">
        <v>0</v>
      </c>
      <c r="K286" s="356">
        <f t="shared" si="91"/>
        <v>-489.8573969793248</v>
      </c>
      <c r="L286" s="356">
        <f t="shared" si="84"/>
        <v>489367.5395823454</v>
      </c>
      <c r="N286" s="356">
        <f t="shared" si="92"/>
        <v>263</v>
      </c>
      <c r="O286" s="357">
        <f t="shared" si="78"/>
        <v>21</v>
      </c>
      <c r="P286" s="357">
        <f t="shared" si="79"/>
        <v>11</v>
      </c>
      <c r="Q286" s="357">
        <f t="shared" si="80"/>
        <v>21</v>
      </c>
      <c r="R286" s="356">
        <f t="shared" si="93"/>
        <v>6349407.926637658</v>
      </c>
      <c r="S286" s="356">
        <f>IF($G$17="si",S274*(1+$G$20),S274)</f>
        <v>10000</v>
      </c>
      <c r="U286" s="356">
        <f t="shared" si="81"/>
        <v>50710.811851692415</v>
      </c>
      <c r="V286" s="356">
        <f t="shared" si="82"/>
        <v>-173.64212683911256</v>
      </c>
      <c r="X286" s="356">
        <f t="shared" si="85"/>
        <v>-6410.11873848935</v>
      </c>
      <c r="Y286" s="356">
        <f t="shared" si="86"/>
        <v>6403534.977624022</v>
      </c>
      <c r="AA286" s="357">
        <f>+Bono!J286</f>
        <v>271890.86659235385</v>
      </c>
      <c r="AC286" s="378">
        <f t="shared" si="87"/>
        <v>21.916666666666668</v>
      </c>
      <c r="AD286" s="356">
        <f t="shared" si="88"/>
        <v>7164793.383798722</v>
      </c>
    </row>
    <row r="287" spans="2:30" x14ac:dyDescent="0.25">
      <c r="B287" s="356">
        <f t="shared" si="89"/>
        <v>264</v>
      </c>
      <c r="C287" s="357">
        <f t="shared" si="75"/>
        <v>21</v>
      </c>
      <c r="D287" s="357">
        <f t="shared" si="76"/>
        <v>12</v>
      </c>
      <c r="E287" s="357">
        <f t="shared" si="77"/>
        <v>50</v>
      </c>
      <c r="F287" s="356">
        <f t="shared" si="90"/>
        <v>489367.5395823454</v>
      </c>
      <c r="H287" s="356">
        <f t="shared" si="83"/>
        <v>3902.2854819767435</v>
      </c>
      <c r="I287" s="356">
        <v>0</v>
      </c>
      <c r="J287" s="360">
        <f>-SUM(F287:H287)*$J$21</f>
        <v>-4439.4284255789</v>
      </c>
      <c r="K287" s="356">
        <f t="shared" si="91"/>
        <v>-488.83039663874325</v>
      </c>
      <c r="L287" s="356">
        <f t="shared" si="84"/>
        <v>488341.5662421045</v>
      </c>
      <c r="N287" s="356">
        <f t="shared" si="92"/>
        <v>264</v>
      </c>
      <c r="O287" s="357">
        <f t="shared" si="78"/>
        <v>21</v>
      </c>
      <c r="P287" s="357">
        <f t="shared" si="79"/>
        <v>12</v>
      </c>
      <c r="Q287" s="357">
        <f t="shared" si="80"/>
        <v>21</v>
      </c>
      <c r="R287" s="356">
        <f t="shared" si="93"/>
        <v>6403534.977624022</v>
      </c>
      <c r="S287" s="356">
        <f>IF($G$4="mensual",S286,0)</f>
        <v>10000</v>
      </c>
      <c r="U287" s="356">
        <f t="shared" si="81"/>
        <v>51142.428557260115</v>
      </c>
      <c r="V287" s="356">
        <f t="shared" si="82"/>
        <v>-173.64212683911256</v>
      </c>
      <c r="X287" s="356">
        <f t="shared" si="85"/>
        <v>-6464.677406181282</v>
      </c>
      <c r="Y287" s="356">
        <f t="shared" si="86"/>
        <v>6458039.086648262</v>
      </c>
      <c r="AA287" s="357">
        <f>+Bono!J287</f>
        <v>271111.9672548436</v>
      </c>
      <c r="AC287" s="378">
        <f t="shared" si="87"/>
        <v>22</v>
      </c>
      <c r="AD287" s="356">
        <f t="shared" si="88"/>
        <v>7217492.62014521</v>
      </c>
    </row>
    <row r="288" spans="2:30" x14ac:dyDescent="0.25">
      <c r="B288" s="356">
        <f t="shared" si="89"/>
        <v>265</v>
      </c>
      <c r="C288" s="357">
        <f t="shared" si="75"/>
        <v>22</v>
      </c>
      <c r="D288" s="357">
        <f t="shared" si="76"/>
        <v>1</v>
      </c>
      <c r="E288" s="357">
        <f t="shared" si="77"/>
        <v>51</v>
      </c>
      <c r="F288" s="356">
        <f t="shared" si="90"/>
        <v>488341.5662421045</v>
      </c>
      <c r="H288" s="356">
        <f t="shared" si="83"/>
        <v>3894.1042264853513</v>
      </c>
      <c r="I288" s="356">
        <v>0</v>
      </c>
      <c r="J288" s="356">
        <v>0</v>
      </c>
      <c r="K288" s="356">
        <f t="shared" si="91"/>
        <v>-492.2356704685899</v>
      </c>
      <c r="L288" s="356">
        <f t="shared" si="84"/>
        <v>491743.4347981213</v>
      </c>
      <c r="N288" s="356">
        <f t="shared" si="92"/>
        <v>265</v>
      </c>
      <c r="O288" s="357">
        <f t="shared" si="78"/>
        <v>22</v>
      </c>
      <c r="P288" s="357">
        <f t="shared" si="79"/>
        <v>1</v>
      </c>
      <c r="Q288" s="357">
        <f t="shared" si="80"/>
        <v>22</v>
      </c>
      <c r="R288" s="356">
        <f t="shared" si="93"/>
        <v>6458039.086648262</v>
      </c>
      <c r="S288" s="356">
        <f>IF($G$17="si",S276*(1+$G$20),S276)</f>
        <v>10000</v>
      </c>
      <c r="U288" s="356">
        <f t="shared" si="81"/>
        <v>51577.05197657168</v>
      </c>
      <c r="V288" s="356">
        <f>V287*(1+$G$18)</f>
        <v>-180.58781191267707</v>
      </c>
      <c r="X288" s="356">
        <f t="shared" si="85"/>
        <v>-6519.616138624834</v>
      </c>
      <c r="Y288" s="356">
        <f t="shared" si="86"/>
        <v>6512915.9346742965</v>
      </c>
      <c r="AA288" s="357">
        <f>+Bono!J288</f>
        <v>272792.89289886545</v>
      </c>
      <c r="AC288" s="378">
        <f t="shared" si="87"/>
        <v>22.083333333333332</v>
      </c>
      <c r="AD288" s="356">
        <f t="shared" si="88"/>
        <v>7277452.262371283</v>
      </c>
    </row>
    <row r="289" spans="2:30" x14ac:dyDescent="0.25">
      <c r="B289" s="356">
        <f t="shared" si="89"/>
        <v>266</v>
      </c>
      <c r="C289" s="357">
        <f t="shared" si="75"/>
        <v>22</v>
      </c>
      <c r="D289" s="357">
        <f t="shared" si="76"/>
        <v>2</v>
      </c>
      <c r="E289" s="357">
        <f t="shared" si="77"/>
        <v>51</v>
      </c>
      <c r="F289" s="356">
        <f t="shared" si="90"/>
        <v>491743.4347981213</v>
      </c>
      <c r="H289" s="356">
        <f t="shared" si="83"/>
        <v>3921.231204071701</v>
      </c>
      <c r="I289" s="356">
        <v>0</v>
      </c>
      <c r="J289" s="356">
        <v>0</v>
      </c>
      <c r="K289" s="356">
        <f t="shared" si="91"/>
        <v>-495.66466600219303</v>
      </c>
      <c r="L289" s="356">
        <f t="shared" si="84"/>
        <v>495169.0013361908</v>
      </c>
      <c r="N289" s="356">
        <f t="shared" si="92"/>
        <v>266</v>
      </c>
      <c r="O289" s="357">
        <f t="shared" si="78"/>
        <v>22</v>
      </c>
      <c r="P289" s="357">
        <f t="shared" si="79"/>
        <v>2</v>
      </c>
      <c r="Q289" s="357">
        <f t="shared" si="80"/>
        <v>22</v>
      </c>
      <c r="R289" s="356">
        <f t="shared" si="93"/>
        <v>6512915.9346742965</v>
      </c>
      <c r="S289" s="356">
        <f>IF($G$4="mensual",S288,0)</f>
        <v>10000</v>
      </c>
      <c r="U289" s="356">
        <f t="shared" si="81"/>
        <v>52014.64766902689</v>
      </c>
      <c r="V289" s="356">
        <f>V288</f>
        <v>-180.58781191267707</v>
      </c>
      <c r="X289" s="356">
        <f t="shared" si="85"/>
        <v>-6574.930582343323</v>
      </c>
      <c r="Y289" s="356">
        <f t="shared" si="86"/>
        <v>6568175.063949067</v>
      </c>
      <c r="AA289" s="357">
        <f>+Bono!J289</f>
        <v>274484.2404768555</v>
      </c>
      <c r="AC289" s="378">
        <f t="shared" si="87"/>
        <v>22.166666666666668</v>
      </c>
      <c r="AD289" s="356">
        <f t="shared" si="88"/>
        <v>7337828.305762113</v>
      </c>
    </row>
    <row r="290" spans="2:30" x14ac:dyDescent="0.25">
      <c r="B290" s="356">
        <f t="shared" si="89"/>
        <v>267</v>
      </c>
      <c r="C290" s="357">
        <f t="shared" si="75"/>
        <v>22</v>
      </c>
      <c r="D290" s="357">
        <f t="shared" si="76"/>
        <v>3</v>
      </c>
      <c r="E290" s="357">
        <f t="shared" si="77"/>
        <v>51</v>
      </c>
      <c r="F290" s="356">
        <f t="shared" si="90"/>
        <v>495169.0013361908</v>
      </c>
      <c r="H290" s="356">
        <f t="shared" si="83"/>
        <v>3948.547152694821</v>
      </c>
      <c r="I290" s="356">
        <v>0</v>
      </c>
      <c r="J290" s="360">
        <f>-SUM(F290:H290)*$J$21</f>
        <v>-4492.057936399971</v>
      </c>
      <c r="K290" s="356">
        <f t="shared" si="91"/>
        <v>-494.6254905524857</v>
      </c>
      <c r="L290" s="356">
        <f t="shared" si="84"/>
        <v>494130.8650619332</v>
      </c>
      <c r="N290" s="356">
        <f t="shared" si="92"/>
        <v>267</v>
      </c>
      <c r="O290" s="357">
        <f t="shared" si="78"/>
        <v>22</v>
      </c>
      <c r="P290" s="357">
        <f t="shared" si="79"/>
        <v>3</v>
      </c>
      <c r="Q290" s="357">
        <f t="shared" si="80"/>
        <v>22</v>
      </c>
      <c r="R290" s="356">
        <f t="shared" si="93"/>
        <v>6568175.063949067</v>
      </c>
      <c r="S290" s="356">
        <f>IF($G$4="mensual",S289,0)</f>
        <v>10000</v>
      </c>
      <c r="U290" s="356">
        <f t="shared" si="81"/>
        <v>52455.291725842864</v>
      </c>
      <c r="V290" s="356">
        <f t="shared" si="82"/>
        <v>-180.58781191267707</v>
      </c>
      <c r="X290" s="356">
        <f t="shared" si="85"/>
        <v>-6630.630355674911</v>
      </c>
      <c r="Y290" s="356">
        <f t="shared" si="86"/>
        <v>6623819.137507323</v>
      </c>
      <c r="AA290" s="357">
        <f>+Bono!J290</f>
        <v>273697.9117717248</v>
      </c>
      <c r="AC290" s="378">
        <f t="shared" si="87"/>
        <v>22.25</v>
      </c>
      <c r="AD290" s="356">
        <f t="shared" si="88"/>
        <v>7391647.914340981</v>
      </c>
    </row>
    <row r="291" spans="2:30" x14ac:dyDescent="0.25">
      <c r="B291" s="356">
        <f t="shared" si="89"/>
        <v>268</v>
      </c>
      <c r="C291" s="357">
        <f t="shared" si="75"/>
        <v>22</v>
      </c>
      <c r="D291" s="357">
        <f t="shared" si="76"/>
        <v>4</v>
      </c>
      <c r="E291" s="357">
        <f t="shared" si="77"/>
        <v>51</v>
      </c>
      <c r="F291" s="356">
        <f t="shared" si="90"/>
        <v>494130.8650619332</v>
      </c>
      <c r="H291" s="356">
        <f t="shared" si="83"/>
        <v>3940.268908259552</v>
      </c>
      <c r="I291" s="356">
        <v>0</v>
      </c>
      <c r="J291" s="356">
        <v>0</v>
      </c>
      <c r="K291" s="356">
        <f t="shared" si="91"/>
        <v>-498.07113397019276</v>
      </c>
      <c r="L291" s="356">
        <f t="shared" si="84"/>
        <v>497573.0628362226</v>
      </c>
      <c r="N291" s="356">
        <f t="shared" si="92"/>
        <v>268</v>
      </c>
      <c r="O291" s="357">
        <f t="shared" si="78"/>
        <v>22</v>
      </c>
      <c r="P291" s="357">
        <f t="shared" si="79"/>
        <v>4</v>
      </c>
      <c r="Q291" s="357">
        <f t="shared" si="80"/>
        <v>22</v>
      </c>
      <c r="R291" s="356">
        <f t="shared" si="93"/>
        <v>6623819.137507323</v>
      </c>
      <c r="S291" s="356">
        <f>IF($G$4="mensual",S288,IF($G$4="trimestral",S288,0))</f>
        <v>10000</v>
      </c>
      <c r="U291" s="356">
        <f t="shared" si="81"/>
        <v>52899.005382432646</v>
      </c>
      <c r="V291" s="356">
        <f t="shared" si="82"/>
        <v>-180.58781191267707</v>
      </c>
      <c r="X291" s="356">
        <f t="shared" si="85"/>
        <v>-6686.718142889756</v>
      </c>
      <c r="Y291" s="356">
        <f t="shared" si="86"/>
        <v>6679850.836934954</v>
      </c>
      <c r="AA291" s="357">
        <f>+Bono!J291</f>
        <v>275394.87057170225</v>
      </c>
      <c r="AC291" s="378">
        <f t="shared" si="87"/>
        <v>22.333333333333332</v>
      </c>
      <c r="AD291" s="356">
        <f t="shared" si="88"/>
        <v>7452818.770342879</v>
      </c>
    </row>
    <row r="292" spans="2:30" x14ac:dyDescent="0.25">
      <c r="B292" s="356">
        <f t="shared" si="89"/>
        <v>269</v>
      </c>
      <c r="C292" s="357">
        <f t="shared" ref="C292:C355" si="94">C280+1</f>
        <v>22</v>
      </c>
      <c r="D292" s="357">
        <f t="shared" ref="D292:D355" si="95">D280</f>
        <v>5</v>
      </c>
      <c r="E292" s="357">
        <f t="shared" ref="E292:E355" si="96">E280+1</f>
        <v>51</v>
      </c>
      <c r="F292" s="356">
        <f t="shared" si="90"/>
        <v>497573.0628362226</v>
      </c>
      <c r="H292" s="356">
        <f t="shared" si="83"/>
        <v>3967.7174766957955</v>
      </c>
      <c r="I292" s="356">
        <v>0</v>
      </c>
      <c r="J292" s="356">
        <v>0</v>
      </c>
      <c r="K292" s="356">
        <f t="shared" si="91"/>
        <v>-501.54078031291834</v>
      </c>
      <c r="L292" s="356">
        <f t="shared" si="84"/>
        <v>501039.23953260545</v>
      </c>
      <c r="N292" s="356">
        <f t="shared" si="92"/>
        <v>269</v>
      </c>
      <c r="O292" s="357">
        <f t="shared" ref="O292:O355" si="97">O280+1</f>
        <v>22</v>
      </c>
      <c r="P292" s="357">
        <f t="shared" ref="P292:P355" si="98">P280</f>
        <v>5</v>
      </c>
      <c r="Q292" s="357">
        <f t="shared" ref="Q292:Q355" si="99">Q280+1</f>
        <v>22</v>
      </c>
      <c r="R292" s="356">
        <f t="shared" si="93"/>
        <v>6679850.836934954</v>
      </c>
      <c r="S292" s="356">
        <f>IF($G$4="mensual",S291,0)</f>
        <v>10000</v>
      </c>
      <c r="U292" s="356">
        <f t="shared" ref="U292:U355" si="100">SUM(R292:T292)*$G$8</f>
        <v>53345.8100221387</v>
      </c>
      <c r="V292" s="356">
        <f t="shared" si="82"/>
        <v>-180.58781191267707</v>
      </c>
      <c r="X292" s="356">
        <f t="shared" si="85"/>
        <v>-6743.196646957093</v>
      </c>
      <c r="Y292" s="356">
        <f t="shared" si="86"/>
        <v>6736272.862498224</v>
      </c>
      <c r="AA292" s="357">
        <f>+Bono!J292</f>
        <v>277102.3507130746</v>
      </c>
      <c r="AC292" s="378">
        <f t="shared" si="87"/>
        <v>22.416666666666668</v>
      </c>
      <c r="AD292" s="356">
        <f t="shared" si="88"/>
        <v>7514414.452743904</v>
      </c>
    </row>
    <row r="293" spans="2:30" x14ac:dyDescent="0.25">
      <c r="B293" s="356">
        <f t="shared" si="89"/>
        <v>270</v>
      </c>
      <c r="C293" s="357">
        <f t="shared" si="94"/>
        <v>22</v>
      </c>
      <c r="D293" s="357">
        <f t="shared" si="95"/>
        <v>6</v>
      </c>
      <c r="E293" s="357">
        <f t="shared" si="96"/>
        <v>51</v>
      </c>
      <c r="F293" s="356">
        <f t="shared" si="90"/>
        <v>501039.23953260545</v>
      </c>
      <c r="H293" s="356">
        <f t="shared" si="83"/>
        <v>3995.3572564241463</v>
      </c>
      <c r="I293" s="356">
        <v>0</v>
      </c>
      <c r="J293" s="360">
        <f>-SUM(F293:H293)*$J$21</f>
        <v>-4545.311371101267</v>
      </c>
      <c r="K293" s="356">
        <f t="shared" si="91"/>
        <v>-500.4892854179284</v>
      </c>
      <c r="L293" s="356">
        <f t="shared" si="84"/>
        <v>499988.7961325104</v>
      </c>
      <c r="N293" s="356">
        <f t="shared" si="92"/>
        <v>270</v>
      </c>
      <c r="O293" s="357">
        <f t="shared" si="97"/>
        <v>22</v>
      </c>
      <c r="P293" s="357">
        <f t="shared" si="98"/>
        <v>6</v>
      </c>
      <c r="Q293" s="357">
        <f t="shared" si="99"/>
        <v>22</v>
      </c>
      <c r="R293" s="356">
        <f t="shared" si="93"/>
        <v>6736272.862498224</v>
      </c>
      <c r="S293" s="356">
        <f>IF($G$4="mensual",S292,0)</f>
        <v>10000</v>
      </c>
      <c r="U293" s="356">
        <f t="shared" si="100"/>
        <v>53795.72717726341</v>
      </c>
      <c r="V293" s="356">
        <f t="shared" si="82"/>
        <v>-180.58781191267707</v>
      </c>
      <c r="X293" s="356">
        <f t="shared" si="85"/>
        <v>-6800.068589675488</v>
      </c>
      <c r="Y293" s="356">
        <f t="shared" si="86"/>
        <v>6793087.933273899</v>
      </c>
      <c r="AA293" s="357">
        <f>+Bono!J293</f>
        <v>276308.52177686204</v>
      </c>
      <c r="AC293" s="378">
        <f t="shared" si="87"/>
        <v>22.5</v>
      </c>
      <c r="AD293" s="356">
        <f t="shared" si="88"/>
        <v>7569385.251183272</v>
      </c>
    </row>
    <row r="294" spans="2:30" x14ac:dyDescent="0.25">
      <c r="B294" s="356">
        <f t="shared" si="89"/>
        <v>271</v>
      </c>
      <c r="C294" s="357">
        <f t="shared" si="94"/>
        <v>22</v>
      </c>
      <c r="D294" s="357">
        <f t="shared" si="95"/>
        <v>7</v>
      </c>
      <c r="E294" s="357">
        <f t="shared" si="96"/>
        <v>51</v>
      </c>
      <c r="F294" s="356">
        <f t="shared" si="90"/>
        <v>499988.7961325104</v>
      </c>
      <c r="H294" s="356">
        <f t="shared" si="83"/>
        <v>3986.9808732391734</v>
      </c>
      <c r="I294" s="356">
        <v>0</v>
      </c>
      <c r="J294" s="356">
        <v>0</v>
      </c>
      <c r="K294" s="356">
        <f t="shared" si="91"/>
        <v>-503.9757770057496</v>
      </c>
      <c r="L294" s="356">
        <f t="shared" si="84"/>
        <v>503471.8012287438</v>
      </c>
      <c r="N294" s="356">
        <f t="shared" si="92"/>
        <v>271</v>
      </c>
      <c r="O294" s="357">
        <f t="shared" si="97"/>
        <v>22</v>
      </c>
      <c r="P294" s="357">
        <f t="shared" si="98"/>
        <v>7</v>
      </c>
      <c r="Q294" s="357">
        <f t="shared" si="99"/>
        <v>22</v>
      </c>
      <c r="R294" s="356">
        <f t="shared" si="93"/>
        <v>6793087.933273899</v>
      </c>
      <c r="S294" s="356">
        <f>+IF($G$4="mensual",S288,IF($G$4="trimestral",S288,IF($G$4="semestral",S288,0)))</f>
        <v>10000</v>
      </c>
      <c r="U294" s="356">
        <f t="shared" si="100"/>
        <v>54248.778530106756</v>
      </c>
      <c r="V294" s="356">
        <f t="shared" si="82"/>
        <v>-180.58781191267707</v>
      </c>
      <c r="X294" s="356">
        <f t="shared" si="85"/>
        <v>-6857.336711804006</v>
      </c>
      <c r="Y294" s="356">
        <f t="shared" si="86"/>
        <v>6850298.787280289</v>
      </c>
      <c r="AA294" s="357">
        <f>+Bono!J294</f>
        <v>278021.66666168335</v>
      </c>
      <c r="AC294" s="378">
        <f t="shared" si="87"/>
        <v>22.583333333333332</v>
      </c>
      <c r="AD294" s="356">
        <f t="shared" si="88"/>
        <v>7631792.255170717</v>
      </c>
    </row>
    <row r="295" spans="2:30" x14ac:dyDescent="0.25">
      <c r="B295" s="356">
        <f t="shared" si="89"/>
        <v>272</v>
      </c>
      <c r="C295" s="357">
        <f t="shared" si="94"/>
        <v>22</v>
      </c>
      <c r="D295" s="357">
        <f t="shared" si="95"/>
        <v>8</v>
      </c>
      <c r="E295" s="357">
        <f t="shared" si="96"/>
        <v>51</v>
      </c>
      <c r="F295" s="356">
        <f t="shared" si="90"/>
        <v>503471.8012287438</v>
      </c>
      <c r="H295" s="356">
        <f t="shared" si="83"/>
        <v>4014.754844991126</v>
      </c>
      <c r="I295" s="356">
        <v>0</v>
      </c>
      <c r="J295" s="356">
        <v>0</v>
      </c>
      <c r="K295" s="356">
        <f t="shared" si="91"/>
        <v>-507.48655607373496</v>
      </c>
      <c r="L295" s="356">
        <f t="shared" si="84"/>
        <v>506979.06951766124</v>
      </c>
      <c r="N295" s="356">
        <f t="shared" si="92"/>
        <v>272</v>
      </c>
      <c r="O295" s="357">
        <f t="shared" si="97"/>
        <v>22</v>
      </c>
      <c r="P295" s="357">
        <f t="shared" si="98"/>
        <v>8</v>
      </c>
      <c r="Q295" s="357">
        <f t="shared" si="99"/>
        <v>22</v>
      </c>
      <c r="R295" s="356">
        <f t="shared" si="93"/>
        <v>6850298.787280289</v>
      </c>
      <c r="S295" s="356">
        <f>IF($G$4="mensual",S294,0)</f>
        <v>10000</v>
      </c>
      <c r="U295" s="356">
        <f t="shared" si="100"/>
        <v>54704.985914011224</v>
      </c>
      <c r="V295" s="356">
        <f t="shared" si="82"/>
        <v>-180.58781191267707</v>
      </c>
      <c r="X295" s="356">
        <f t="shared" si="85"/>
        <v>-6915.003773194301</v>
      </c>
      <c r="Y295" s="356">
        <f t="shared" si="86"/>
        <v>6907908.181609194</v>
      </c>
      <c r="AA295" s="357">
        <f>+Bono!J295</f>
        <v>279745.4332435031</v>
      </c>
      <c r="AC295" s="378">
        <f t="shared" si="87"/>
        <v>22.666666666666668</v>
      </c>
      <c r="AD295" s="356">
        <f t="shared" si="88"/>
        <v>7694632.684370358</v>
      </c>
    </row>
    <row r="296" spans="2:30" x14ac:dyDescent="0.25">
      <c r="B296" s="356">
        <f t="shared" si="89"/>
        <v>273</v>
      </c>
      <c r="C296" s="357">
        <f t="shared" si="94"/>
        <v>22</v>
      </c>
      <c r="D296" s="357">
        <f t="shared" si="95"/>
        <v>9</v>
      </c>
      <c r="E296" s="357">
        <f t="shared" si="96"/>
        <v>51</v>
      </c>
      <c r="F296" s="356">
        <f t="shared" si="90"/>
        <v>506979.06951766124</v>
      </c>
      <c r="H296" s="356">
        <f t="shared" si="83"/>
        <v>4042.7222948487947</v>
      </c>
      <c r="I296" s="356">
        <v>0</v>
      </c>
      <c r="J296" s="360">
        <f>-SUM(F296:H296)*$J$21</f>
        <v>-4599.196126312591</v>
      </c>
      <c r="K296" s="356">
        <f t="shared" si="91"/>
        <v>-506.42259568619744</v>
      </c>
      <c r="L296" s="356">
        <f t="shared" si="84"/>
        <v>505916.17309051123</v>
      </c>
      <c r="N296" s="356">
        <f t="shared" si="92"/>
        <v>273</v>
      </c>
      <c r="O296" s="357">
        <f t="shared" si="97"/>
        <v>22</v>
      </c>
      <c r="P296" s="357">
        <f t="shared" si="98"/>
        <v>9</v>
      </c>
      <c r="Q296" s="357">
        <f t="shared" si="99"/>
        <v>22</v>
      </c>
      <c r="R296" s="356">
        <f t="shared" si="93"/>
        <v>6907908.181609194</v>
      </c>
      <c r="S296" s="356">
        <f>IF($G$4="mensual",S295,0)</f>
        <v>10000</v>
      </c>
      <c r="U296" s="356">
        <f t="shared" si="100"/>
        <v>55164.371314414</v>
      </c>
      <c r="V296" s="356">
        <f t="shared" si="82"/>
        <v>-180.58781191267707</v>
      </c>
      <c r="X296" s="356">
        <f t="shared" si="85"/>
        <v>-6973.072552923608</v>
      </c>
      <c r="Y296" s="356">
        <f t="shared" si="86"/>
        <v>6965918.892558771</v>
      </c>
      <c r="AA296" s="357">
        <f>+Bono!J296</f>
        <v>278944.0325368307</v>
      </c>
      <c r="AC296" s="378">
        <f t="shared" si="87"/>
        <v>22.75</v>
      </c>
      <c r="AD296" s="356">
        <f t="shared" si="88"/>
        <v>7750779.098186113</v>
      </c>
    </row>
    <row r="297" spans="2:30" x14ac:dyDescent="0.25">
      <c r="B297" s="356">
        <f t="shared" si="89"/>
        <v>274</v>
      </c>
      <c r="C297" s="357">
        <f t="shared" si="94"/>
        <v>22</v>
      </c>
      <c r="D297" s="357">
        <f t="shared" si="95"/>
        <v>10</v>
      </c>
      <c r="E297" s="357">
        <f t="shared" si="96"/>
        <v>51</v>
      </c>
      <c r="F297" s="356">
        <f t="shared" si="90"/>
        <v>505916.17309051123</v>
      </c>
      <c r="H297" s="356">
        <f t="shared" si="83"/>
        <v>4034.2466094773204</v>
      </c>
      <c r="I297" s="356">
        <v>0</v>
      </c>
      <c r="J297" s="356">
        <v>0</v>
      </c>
      <c r="K297" s="356">
        <f t="shared" si="91"/>
        <v>-509.9504196999886</v>
      </c>
      <c r="L297" s="356">
        <f t="shared" si="84"/>
        <v>509440.46928028855</v>
      </c>
      <c r="N297" s="356">
        <f t="shared" si="92"/>
        <v>274</v>
      </c>
      <c r="O297" s="357">
        <f t="shared" si="97"/>
        <v>22</v>
      </c>
      <c r="P297" s="357">
        <f t="shared" si="98"/>
        <v>10</v>
      </c>
      <c r="Q297" s="357">
        <f t="shared" si="99"/>
        <v>22</v>
      </c>
      <c r="R297" s="356">
        <f t="shared" si="93"/>
        <v>6965918.892558771</v>
      </c>
      <c r="S297" s="356">
        <f>IF($G$4="mensual",S288,IF($G$4="trimestral",S288,0))</f>
        <v>10000</v>
      </c>
      <c r="U297" s="356">
        <f t="shared" si="100"/>
        <v>55626.95686990647</v>
      </c>
      <c r="V297" s="356">
        <f t="shared" si="82"/>
        <v>-180.58781191267707</v>
      </c>
      <c r="X297" s="356">
        <f t="shared" si="85"/>
        <v>-7031.545849428678</v>
      </c>
      <c r="Y297" s="356">
        <f t="shared" si="86"/>
        <v>7024333.715767337</v>
      </c>
      <c r="AA297" s="357">
        <f>+Bono!J297</f>
        <v>280673.5178940642</v>
      </c>
      <c r="AC297" s="378">
        <f t="shared" si="87"/>
        <v>22.833333333333332</v>
      </c>
      <c r="AD297" s="356">
        <f t="shared" si="88"/>
        <v>7814447.70294169</v>
      </c>
    </row>
    <row r="298" spans="2:30" x14ac:dyDescent="0.25">
      <c r="B298" s="356">
        <f t="shared" si="89"/>
        <v>275</v>
      </c>
      <c r="C298" s="357">
        <f t="shared" si="94"/>
        <v>22</v>
      </c>
      <c r="D298" s="357">
        <f t="shared" si="95"/>
        <v>11</v>
      </c>
      <c r="E298" s="357">
        <f t="shared" si="96"/>
        <v>51</v>
      </c>
      <c r="F298" s="356">
        <f t="shared" si="90"/>
        <v>509440.46928028855</v>
      </c>
      <c r="H298" s="356">
        <f t="shared" si="83"/>
        <v>4062.349842207655</v>
      </c>
      <c r="I298" s="356">
        <v>0</v>
      </c>
      <c r="J298" s="356">
        <v>0</v>
      </c>
      <c r="K298" s="356">
        <f t="shared" si="91"/>
        <v>-513.5028191224962</v>
      </c>
      <c r="L298" s="356">
        <f t="shared" si="84"/>
        <v>512989.3163033737</v>
      </c>
      <c r="N298" s="356">
        <f t="shared" si="92"/>
        <v>275</v>
      </c>
      <c r="O298" s="357">
        <f t="shared" si="97"/>
        <v>22</v>
      </c>
      <c r="P298" s="357">
        <f t="shared" si="98"/>
        <v>11</v>
      </c>
      <c r="Q298" s="357">
        <f t="shared" si="99"/>
        <v>22</v>
      </c>
      <c r="R298" s="356">
        <f t="shared" si="93"/>
        <v>7024333.715767337</v>
      </c>
      <c r="S298" s="356">
        <f>IF($G$17="si",S286*(1+$G$20),S286)</f>
        <v>10000</v>
      </c>
      <c r="U298" s="356">
        <f t="shared" si="100"/>
        <v>56092.76487330116</v>
      </c>
      <c r="V298" s="356">
        <f t="shared" si="82"/>
        <v>-180.58781191267707</v>
      </c>
      <c r="X298" s="356">
        <f t="shared" si="85"/>
        <v>-7090.426480640639</v>
      </c>
      <c r="Y298" s="356">
        <f t="shared" si="86"/>
        <v>7083155.466348086</v>
      </c>
      <c r="AA298" s="357">
        <f>+Bono!J298</f>
        <v>282413.72626112035</v>
      </c>
      <c r="AC298" s="378">
        <f t="shared" si="87"/>
        <v>22.916666666666668</v>
      </c>
      <c r="AD298" s="356">
        <f t="shared" si="88"/>
        <v>7878558.508912579</v>
      </c>
    </row>
    <row r="299" spans="2:30" x14ac:dyDescent="0.25">
      <c r="B299" s="356">
        <f t="shared" si="89"/>
        <v>276</v>
      </c>
      <c r="C299" s="357">
        <f t="shared" si="94"/>
        <v>22</v>
      </c>
      <c r="D299" s="357">
        <f t="shared" si="95"/>
        <v>12</v>
      </c>
      <c r="E299" s="357">
        <f t="shared" si="96"/>
        <v>51</v>
      </c>
      <c r="F299" s="356">
        <f t="shared" si="90"/>
        <v>512989.3163033737</v>
      </c>
      <c r="H299" s="356">
        <f t="shared" si="83"/>
        <v>4090.6488467304334</v>
      </c>
      <c r="I299" s="356">
        <v>0</v>
      </c>
      <c r="J299" s="360">
        <f>-SUM(F299:H299)*$J$21</f>
        <v>-4653.719686350938</v>
      </c>
      <c r="K299" s="356">
        <f t="shared" si="91"/>
        <v>-512.4262454637532</v>
      </c>
      <c r="L299" s="356">
        <f t="shared" si="84"/>
        <v>511913.8192182894</v>
      </c>
      <c r="N299" s="356">
        <f t="shared" si="92"/>
        <v>276</v>
      </c>
      <c r="O299" s="357">
        <f t="shared" si="97"/>
        <v>22</v>
      </c>
      <c r="P299" s="357">
        <f t="shared" si="98"/>
        <v>12</v>
      </c>
      <c r="Q299" s="357">
        <f t="shared" si="99"/>
        <v>22</v>
      </c>
      <c r="R299" s="356">
        <f t="shared" si="93"/>
        <v>7083155.466348086</v>
      </c>
      <c r="S299" s="356">
        <f>IF($G$4="mensual",S298,0)</f>
        <v>10000</v>
      </c>
      <c r="U299" s="356">
        <f t="shared" si="100"/>
        <v>56561.817772706</v>
      </c>
      <c r="V299" s="356">
        <f t="shared" si="82"/>
        <v>-180.58781191267707</v>
      </c>
      <c r="X299" s="356">
        <f t="shared" si="85"/>
        <v>-7149.717284120792</v>
      </c>
      <c r="Y299" s="356">
        <f t="shared" si="86"/>
        <v>7142386.979024759</v>
      </c>
      <c r="AA299" s="357">
        <f>+Bono!J299</f>
        <v>281604.6815622472</v>
      </c>
      <c r="AC299" s="378">
        <f t="shared" si="87"/>
        <v>23</v>
      </c>
      <c r="AD299" s="356">
        <f t="shared" si="88"/>
        <v>7935905.479805294</v>
      </c>
    </row>
    <row r="300" spans="2:30" x14ac:dyDescent="0.25">
      <c r="B300" s="356">
        <f t="shared" si="89"/>
        <v>277</v>
      </c>
      <c r="C300" s="357">
        <f t="shared" si="94"/>
        <v>23</v>
      </c>
      <c r="D300" s="357">
        <f t="shared" si="95"/>
        <v>1</v>
      </c>
      <c r="E300" s="357">
        <f t="shared" si="96"/>
        <v>52</v>
      </c>
      <c r="F300" s="356">
        <f t="shared" si="90"/>
        <v>511913.8192182894</v>
      </c>
      <c r="H300" s="356">
        <f t="shared" si="83"/>
        <v>4082.0726819430943</v>
      </c>
      <c r="I300" s="356">
        <v>0</v>
      </c>
      <c r="J300" s="356">
        <v>0</v>
      </c>
      <c r="K300" s="356">
        <f t="shared" si="91"/>
        <v>-515.9958919002324</v>
      </c>
      <c r="L300" s="356">
        <f t="shared" si="84"/>
        <v>515479.89600833226</v>
      </c>
      <c r="N300" s="356">
        <f t="shared" si="92"/>
        <v>277</v>
      </c>
      <c r="O300" s="357">
        <f t="shared" si="97"/>
        <v>23</v>
      </c>
      <c r="P300" s="357">
        <f t="shared" si="98"/>
        <v>1</v>
      </c>
      <c r="Q300" s="357">
        <f t="shared" si="99"/>
        <v>23</v>
      </c>
      <c r="R300" s="356">
        <f t="shared" si="93"/>
        <v>7142386.979024759</v>
      </c>
      <c r="S300" s="356">
        <f>IF($G$17="si",S288*(1+$G$20),S288)</f>
        <v>10000</v>
      </c>
      <c r="U300" s="356">
        <f t="shared" si="100"/>
        <v>57034.13817260619</v>
      </c>
      <c r="V300" s="356">
        <f>V299*(1+$G$18)</f>
        <v>-187.81132438918416</v>
      </c>
      <c r="X300" s="356">
        <f t="shared" si="85"/>
        <v>-7209.421117197365</v>
      </c>
      <c r="Y300" s="356">
        <f t="shared" si="86"/>
        <v>7202023.884755778</v>
      </c>
      <c r="AA300" s="357">
        <f>+Bono!J300</f>
        <v>283350.6632520545</v>
      </c>
      <c r="AC300" s="378">
        <f t="shared" si="87"/>
        <v>23.083333333333332</v>
      </c>
      <c r="AD300" s="356">
        <f t="shared" si="88"/>
        <v>8000854.444016165</v>
      </c>
    </row>
    <row r="301" spans="2:30" x14ac:dyDescent="0.25">
      <c r="B301" s="356">
        <f t="shared" si="89"/>
        <v>278</v>
      </c>
      <c r="C301" s="357">
        <f t="shared" si="94"/>
        <v>23</v>
      </c>
      <c r="D301" s="357">
        <f t="shared" si="95"/>
        <v>2</v>
      </c>
      <c r="E301" s="357">
        <f t="shared" si="96"/>
        <v>52</v>
      </c>
      <c r="F301" s="356">
        <f t="shared" si="90"/>
        <v>515479.89600833226</v>
      </c>
      <c r="H301" s="356">
        <f t="shared" si="83"/>
        <v>4110.50907904715</v>
      </c>
      <c r="I301" s="356">
        <v>0</v>
      </c>
      <c r="J301" s="356">
        <v>0</v>
      </c>
      <c r="K301" s="356">
        <f t="shared" si="91"/>
        <v>-519.5904050873794</v>
      </c>
      <c r="L301" s="356">
        <f t="shared" si="84"/>
        <v>519070.814682292</v>
      </c>
      <c r="N301" s="356">
        <f t="shared" si="92"/>
        <v>278</v>
      </c>
      <c r="O301" s="357">
        <f t="shared" si="97"/>
        <v>23</v>
      </c>
      <c r="P301" s="357">
        <f t="shared" si="98"/>
        <v>2</v>
      </c>
      <c r="Q301" s="357">
        <f t="shared" si="99"/>
        <v>23</v>
      </c>
      <c r="R301" s="356">
        <f t="shared" si="93"/>
        <v>7202023.884755778</v>
      </c>
      <c r="S301" s="356">
        <f>IF($G$4="mensual",S300,0)</f>
        <v>10000</v>
      </c>
      <c r="U301" s="356">
        <f t="shared" si="100"/>
        <v>57509.691233650636</v>
      </c>
      <c r="V301" s="356">
        <f>V300</f>
        <v>-187.81132438918416</v>
      </c>
      <c r="X301" s="356">
        <f t="shared" si="85"/>
        <v>-7269.533575989429</v>
      </c>
      <c r="Y301" s="356">
        <f t="shared" si="86"/>
        <v>7262076.231089051</v>
      </c>
      <c r="AA301" s="357">
        <f>+Bono!J301</f>
        <v>285107.4702308599</v>
      </c>
      <c r="AC301" s="378">
        <f t="shared" si="87"/>
        <v>23.166666666666668</v>
      </c>
      <c r="AD301" s="356">
        <f t="shared" si="88"/>
        <v>8066254.516002202</v>
      </c>
    </row>
    <row r="302" spans="2:30" x14ac:dyDescent="0.25">
      <c r="B302" s="356">
        <f t="shared" si="89"/>
        <v>279</v>
      </c>
      <c r="C302" s="357">
        <f t="shared" si="94"/>
        <v>23</v>
      </c>
      <c r="D302" s="357">
        <f t="shared" si="95"/>
        <v>3</v>
      </c>
      <c r="E302" s="357">
        <f t="shared" si="96"/>
        <v>52</v>
      </c>
      <c r="F302" s="356">
        <f t="shared" si="90"/>
        <v>519070.814682292</v>
      </c>
      <c r="H302" s="356">
        <f t="shared" si="83"/>
        <v>4139.143568822078</v>
      </c>
      <c r="I302" s="356">
        <v>0</v>
      </c>
      <c r="J302" s="360">
        <f>-SUM(F302:H302)*$J$21</f>
        <v>-4708.889624260027</v>
      </c>
      <c r="K302" s="356">
        <f t="shared" si="91"/>
        <v>-518.501068626854</v>
      </c>
      <c r="L302" s="356">
        <f t="shared" si="84"/>
        <v>517982.56755822717</v>
      </c>
      <c r="N302" s="356">
        <f t="shared" si="92"/>
        <v>279</v>
      </c>
      <c r="O302" s="357">
        <f t="shared" si="97"/>
        <v>23</v>
      </c>
      <c r="P302" s="357">
        <f t="shared" si="98"/>
        <v>3</v>
      </c>
      <c r="Q302" s="357">
        <f t="shared" si="99"/>
        <v>23</v>
      </c>
      <c r="R302" s="356">
        <f t="shared" si="93"/>
        <v>7262076.231089051</v>
      </c>
      <c r="S302" s="356">
        <f>IF($G$4="mensual",S301,0)</f>
        <v>10000</v>
      </c>
      <c r="U302" s="356">
        <f t="shared" si="100"/>
        <v>57988.557076397316</v>
      </c>
      <c r="V302" s="356">
        <f t="shared" si="82"/>
        <v>-187.81132438918416</v>
      </c>
      <c r="X302" s="356">
        <f t="shared" si="85"/>
        <v>-7330.064788165449</v>
      </c>
      <c r="Y302" s="356">
        <f t="shared" si="86"/>
        <v>7322546.912052894</v>
      </c>
      <c r="AA302" s="357">
        <f>+Bono!J302</f>
        <v>284290.70862917294</v>
      </c>
      <c r="AC302" s="378">
        <f t="shared" si="87"/>
        <v>23.25</v>
      </c>
      <c r="AD302" s="356">
        <f t="shared" si="88"/>
        <v>8124820.188240294</v>
      </c>
    </row>
    <row r="303" spans="2:30" x14ac:dyDescent="0.25">
      <c r="B303" s="356">
        <f t="shared" si="89"/>
        <v>280</v>
      </c>
      <c r="C303" s="357">
        <f t="shared" si="94"/>
        <v>23</v>
      </c>
      <c r="D303" s="357">
        <f t="shared" si="95"/>
        <v>4</v>
      </c>
      <c r="E303" s="357">
        <f t="shared" si="96"/>
        <v>52</v>
      </c>
      <c r="F303" s="356">
        <f t="shared" si="90"/>
        <v>517982.56755822717</v>
      </c>
      <c r="H303" s="356">
        <f t="shared" si="83"/>
        <v>4130.465733433434</v>
      </c>
      <c r="I303" s="356">
        <v>0</v>
      </c>
      <c r="J303" s="356">
        <v>0</v>
      </c>
      <c r="K303" s="356">
        <f t="shared" si="91"/>
        <v>-522.1130332916606</v>
      </c>
      <c r="L303" s="356">
        <f t="shared" si="84"/>
        <v>521590.92025836895</v>
      </c>
      <c r="N303" s="356">
        <f t="shared" si="92"/>
        <v>280</v>
      </c>
      <c r="O303" s="357">
        <f t="shared" si="97"/>
        <v>23</v>
      </c>
      <c r="P303" s="357">
        <f t="shared" si="98"/>
        <v>4</v>
      </c>
      <c r="Q303" s="357">
        <f t="shared" si="99"/>
        <v>23</v>
      </c>
      <c r="R303" s="356">
        <f t="shared" si="93"/>
        <v>7322546.912052894</v>
      </c>
      <c r="S303" s="356">
        <f>IF($G$4="mensual",S300,IF($G$4="trimestral",S300,0))</f>
        <v>10000</v>
      </c>
      <c r="U303" s="356">
        <f t="shared" si="100"/>
        <v>58470.758778234434</v>
      </c>
      <c r="V303" s="356">
        <f t="shared" si="82"/>
        <v>-187.81132438918416</v>
      </c>
      <c r="X303" s="356">
        <f t="shared" si="85"/>
        <v>-7391.017670831128</v>
      </c>
      <c r="Y303" s="356">
        <f t="shared" si="86"/>
        <v>7383438.841835909</v>
      </c>
      <c r="AA303" s="357">
        <f>+Bono!J303</f>
        <v>286053.343998355</v>
      </c>
      <c r="AC303" s="378">
        <f t="shared" si="87"/>
        <v>23.333333333333332</v>
      </c>
      <c r="AD303" s="356">
        <f t="shared" si="88"/>
        <v>8191083.106092633</v>
      </c>
    </row>
    <row r="304" spans="2:30" x14ac:dyDescent="0.25">
      <c r="B304" s="356">
        <f t="shared" si="89"/>
        <v>281</v>
      </c>
      <c r="C304" s="357">
        <f t="shared" si="94"/>
        <v>23</v>
      </c>
      <c r="D304" s="357">
        <f t="shared" si="95"/>
        <v>5</v>
      </c>
      <c r="E304" s="357">
        <f t="shared" si="96"/>
        <v>52</v>
      </c>
      <c r="F304" s="356">
        <f t="shared" si="90"/>
        <v>521590.92025836895</v>
      </c>
      <c r="H304" s="356">
        <f t="shared" si="83"/>
        <v>4159.239244581379</v>
      </c>
      <c r="I304" s="356">
        <v>0</v>
      </c>
      <c r="J304" s="356">
        <v>0</v>
      </c>
      <c r="K304" s="356">
        <f t="shared" si="91"/>
        <v>-525.7501595029504</v>
      </c>
      <c r="L304" s="356">
        <f t="shared" si="84"/>
        <v>525224.4093434474</v>
      </c>
      <c r="N304" s="356">
        <f t="shared" si="92"/>
        <v>281</v>
      </c>
      <c r="O304" s="357">
        <f t="shared" si="97"/>
        <v>23</v>
      </c>
      <c r="P304" s="357">
        <f t="shared" si="98"/>
        <v>5</v>
      </c>
      <c r="Q304" s="357">
        <f t="shared" si="99"/>
        <v>23</v>
      </c>
      <c r="R304" s="356">
        <f t="shared" si="93"/>
        <v>7383438.841835909</v>
      </c>
      <c r="S304" s="356">
        <f>IF($G$4="mensual",S303,0)</f>
        <v>10000</v>
      </c>
      <c r="U304" s="356">
        <f t="shared" si="100"/>
        <v>58956.319577311144</v>
      </c>
      <c r="V304" s="356">
        <f t="shared" si="82"/>
        <v>-187.81132438918416</v>
      </c>
      <c r="X304" s="356">
        <f t="shared" si="85"/>
        <v>-7452.39516141322</v>
      </c>
      <c r="Y304" s="356">
        <f t="shared" si="86"/>
        <v>7444754.954927417</v>
      </c>
      <c r="AA304" s="357">
        <f>+Bono!J304</f>
        <v>287826.907911279</v>
      </c>
      <c r="AC304" s="378">
        <f t="shared" si="87"/>
        <v>23.416666666666668</v>
      </c>
      <c r="AD304" s="356">
        <f t="shared" si="88"/>
        <v>8257806.272182144</v>
      </c>
    </row>
    <row r="305" spans="2:30" x14ac:dyDescent="0.25">
      <c r="B305" s="356">
        <f t="shared" si="89"/>
        <v>282</v>
      </c>
      <c r="C305" s="357">
        <f t="shared" si="94"/>
        <v>23</v>
      </c>
      <c r="D305" s="357">
        <f t="shared" si="95"/>
        <v>6</v>
      </c>
      <c r="E305" s="357">
        <f t="shared" si="96"/>
        <v>52</v>
      </c>
      <c r="F305" s="356">
        <f t="shared" si="90"/>
        <v>525224.4093434474</v>
      </c>
      <c r="H305" s="356">
        <f t="shared" si="83"/>
        <v>4188.213196792684</v>
      </c>
      <c r="I305" s="356">
        <v>0</v>
      </c>
      <c r="J305" s="360">
        <f>-SUM(F305:H305)*$J$21</f>
        <v>-4764.713602862161</v>
      </c>
      <c r="K305" s="356">
        <f t="shared" si="91"/>
        <v>-524.6479089373779</v>
      </c>
      <c r="L305" s="356">
        <f t="shared" si="84"/>
        <v>524123.2610284405</v>
      </c>
      <c r="N305" s="356">
        <f t="shared" si="92"/>
        <v>282</v>
      </c>
      <c r="O305" s="357">
        <f t="shared" si="97"/>
        <v>23</v>
      </c>
      <c r="P305" s="357">
        <f t="shared" si="98"/>
        <v>6</v>
      </c>
      <c r="Q305" s="357">
        <f t="shared" si="99"/>
        <v>23</v>
      </c>
      <c r="R305" s="356">
        <f t="shared" si="93"/>
        <v>7444754.954927417</v>
      </c>
      <c r="S305" s="356">
        <f>IF($G$4="mensual",S304,0)</f>
        <v>10000</v>
      </c>
      <c r="U305" s="356">
        <f t="shared" si="100"/>
        <v>59445.262873657375</v>
      </c>
      <c r="V305" s="356">
        <f t="shared" si="82"/>
        <v>-187.81132438918416</v>
      </c>
      <c r="X305" s="356">
        <f t="shared" si="85"/>
        <v>-7514.200217801074</v>
      </c>
      <c r="Y305" s="356">
        <f t="shared" si="86"/>
        <v>7506498.206258885</v>
      </c>
      <c r="AA305" s="357">
        <f>+Bono!J305</f>
        <v>287002.3558007227</v>
      </c>
      <c r="AC305" s="378">
        <f t="shared" si="87"/>
        <v>23.5</v>
      </c>
      <c r="AD305" s="356">
        <f t="shared" si="88"/>
        <v>8317623.823088048</v>
      </c>
    </row>
    <row r="306" spans="2:30" x14ac:dyDescent="0.25">
      <c r="B306" s="356">
        <f t="shared" si="89"/>
        <v>283</v>
      </c>
      <c r="C306" s="357">
        <f t="shared" si="94"/>
        <v>23</v>
      </c>
      <c r="D306" s="357">
        <f t="shared" si="95"/>
        <v>7</v>
      </c>
      <c r="E306" s="357">
        <f t="shared" si="96"/>
        <v>52</v>
      </c>
      <c r="F306" s="356">
        <f t="shared" si="90"/>
        <v>524123.2610284405</v>
      </c>
      <c r="H306" s="356">
        <f t="shared" si="83"/>
        <v>4179.432485495768</v>
      </c>
      <c r="I306" s="356">
        <v>0</v>
      </c>
      <c r="J306" s="356">
        <v>0</v>
      </c>
      <c r="K306" s="356">
        <f t="shared" si="91"/>
        <v>-528.3026935139362</v>
      </c>
      <c r="L306" s="356">
        <f t="shared" si="84"/>
        <v>527774.3908204223</v>
      </c>
      <c r="N306" s="356">
        <f t="shared" si="92"/>
        <v>283</v>
      </c>
      <c r="O306" s="357">
        <f t="shared" si="97"/>
        <v>23</v>
      </c>
      <c r="P306" s="357">
        <f t="shared" si="98"/>
        <v>7</v>
      </c>
      <c r="Q306" s="357">
        <f t="shared" si="99"/>
        <v>23</v>
      </c>
      <c r="R306" s="356">
        <f t="shared" si="93"/>
        <v>7506498.206258885</v>
      </c>
      <c r="S306" s="356">
        <f>+IF($G$4="mensual",S300,IF($G$4="trimestral",S300,IF($G$4="semestral",S300,0)))</f>
        <v>10000</v>
      </c>
      <c r="U306" s="356">
        <f t="shared" si="100"/>
        <v>59937.6122303116</v>
      </c>
      <c r="V306" s="356">
        <f t="shared" si="82"/>
        <v>-187.81132438918416</v>
      </c>
      <c r="X306" s="356">
        <f t="shared" si="85"/>
        <v>-7576.435818489196</v>
      </c>
      <c r="Y306" s="356">
        <f t="shared" si="86"/>
        <v>7568671.571346317</v>
      </c>
      <c r="AA306" s="357">
        <f>+Bono!J306</f>
        <v>288781.80369689997</v>
      </c>
      <c r="AC306" s="378">
        <f t="shared" si="87"/>
        <v>23.583333333333332</v>
      </c>
      <c r="AD306" s="356">
        <f t="shared" si="88"/>
        <v>8385227.765863639</v>
      </c>
    </row>
    <row r="307" spans="2:30" x14ac:dyDescent="0.25">
      <c r="B307" s="356">
        <f t="shared" si="89"/>
        <v>284</v>
      </c>
      <c r="C307" s="357">
        <f t="shared" si="94"/>
        <v>23</v>
      </c>
      <c r="D307" s="357">
        <f t="shared" si="95"/>
        <v>8</v>
      </c>
      <c r="E307" s="357">
        <f t="shared" si="96"/>
        <v>52</v>
      </c>
      <c r="F307" s="356">
        <f t="shared" si="90"/>
        <v>527774.3908204223</v>
      </c>
      <c r="H307" s="356">
        <f t="shared" si="83"/>
        <v>4208.547107181185</v>
      </c>
      <c r="I307" s="356">
        <v>0</v>
      </c>
      <c r="J307" s="356">
        <v>0</v>
      </c>
      <c r="K307" s="356">
        <f t="shared" si="91"/>
        <v>-531.9829379276035</v>
      </c>
      <c r="L307" s="356">
        <f t="shared" si="84"/>
        <v>531450.9549896759</v>
      </c>
      <c r="N307" s="356">
        <f t="shared" si="92"/>
        <v>284</v>
      </c>
      <c r="O307" s="357">
        <f t="shared" si="97"/>
        <v>23</v>
      </c>
      <c r="P307" s="357">
        <f t="shared" si="98"/>
        <v>8</v>
      </c>
      <c r="Q307" s="357">
        <f t="shared" si="99"/>
        <v>23</v>
      </c>
      <c r="R307" s="356">
        <f t="shared" si="93"/>
        <v>7568671.571346317</v>
      </c>
      <c r="S307" s="356">
        <f>IF($G$4="mensual",S306,0)</f>
        <v>10000</v>
      </c>
      <c r="U307" s="356">
        <f t="shared" si="100"/>
        <v>60433.39137445629</v>
      </c>
      <c r="V307" s="356">
        <f t="shared" si="82"/>
        <v>-187.81132438918416</v>
      </c>
      <c r="X307" s="356">
        <f t="shared" si="85"/>
        <v>-7639.104962720774</v>
      </c>
      <c r="Y307" s="356">
        <f t="shared" si="86"/>
        <v>7631278.046433665</v>
      </c>
      <c r="AA307" s="357">
        <f>+Bono!J307</f>
        <v>290572.28437643667</v>
      </c>
      <c r="AC307" s="378">
        <f t="shared" si="87"/>
        <v>23.666666666666668</v>
      </c>
      <c r="AD307" s="356">
        <f t="shared" si="88"/>
        <v>8453301.285799777</v>
      </c>
    </row>
    <row r="308" spans="2:30" x14ac:dyDescent="0.25">
      <c r="B308" s="356">
        <f t="shared" si="89"/>
        <v>285</v>
      </c>
      <c r="C308" s="357">
        <f t="shared" si="94"/>
        <v>23</v>
      </c>
      <c r="D308" s="357">
        <f t="shared" si="95"/>
        <v>9</v>
      </c>
      <c r="E308" s="357">
        <f t="shared" si="96"/>
        <v>52</v>
      </c>
      <c r="F308" s="356">
        <f t="shared" si="90"/>
        <v>531450.9549896759</v>
      </c>
      <c r="H308" s="356">
        <f t="shared" si="83"/>
        <v>4237.864546162689</v>
      </c>
      <c r="I308" s="356">
        <v>0</v>
      </c>
      <c r="J308" s="360">
        <f>-SUM(F308:H308)*$J$21</f>
        <v>-4821.199375822547</v>
      </c>
      <c r="K308" s="356">
        <f t="shared" si="91"/>
        <v>-530.867620160016</v>
      </c>
      <c r="L308" s="356">
        <f t="shared" si="84"/>
        <v>530336.752539856</v>
      </c>
      <c r="N308" s="356">
        <f t="shared" si="92"/>
        <v>285</v>
      </c>
      <c r="O308" s="357">
        <f t="shared" si="97"/>
        <v>23</v>
      </c>
      <c r="P308" s="357">
        <f t="shared" si="98"/>
        <v>9</v>
      </c>
      <c r="Q308" s="357">
        <f t="shared" si="99"/>
        <v>23</v>
      </c>
      <c r="R308" s="356">
        <f t="shared" si="93"/>
        <v>7631278.046433665</v>
      </c>
      <c r="S308" s="356">
        <f>IF($G$4="mensual",S307,0)</f>
        <v>10000</v>
      </c>
      <c r="U308" s="356">
        <f t="shared" si="100"/>
        <v>60932.62419856146</v>
      </c>
      <c r="V308" s="356">
        <f t="shared" si="82"/>
        <v>-187.81132438918416</v>
      </c>
      <c r="X308" s="356">
        <f t="shared" si="85"/>
        <v>-7702.2106706322265</v>
      </c>
      <c r="Y308" s="356">
        <f t="shared" si="86"/>
        <v>7694320.648637205</v>
      </c>
      <c r="AA308" s="357">
        <f>+Bono!J308</f>
        <v>289739.8674488796</v>
      </c>
      <c r="AC308" s="378">
        <f t="shared" si="87"/>
        <v>23.75</v>
      </c>
      <c r="AD308" s="356">
        <f t="shared" si="88"/>
        <v>8514397.268625941</v>
      </c>
    </row>
    <row r="309" spans="2:30" x14ac:dyDescent="0.25">
      <c r="B309" s="356">
        <f t="shared" si="89"/>
        <v>286</v>
      </c>
      <c r="C309" s="357">
        <f t="shared" si="94"/>
        <v>23</v>
      </c>
      <c r="D309" s="357">
        <f t="shared" si="95"/>
        <v>10</v>
      </c>
      <c r="E309" s="357">
        <f t="shared" si="96"/>
        <v>52</v>
      </c>
      <c r="F309" s="356">
        <f t="shared" si="90"/>
        <v>530336.752539856</v>
      </c>
      <c r="H309" s="356">
        <f t="shared" si="83"/>
        <v>4228.979739361597</v>
      </c>
      <c r="I309" s="356">
        <v>0</v>
      </c>
      <c r="J309" s="356">
        <v>0</v>
      </c>
      <c r="K309" s="356">
        <f t="shared" si="91"/>
        <v>-534.5657322792176</v>
      </c>
      <c r="L309" s="356">
        <f t="shared" si="84"/>
        <v>534031.1665469384</v>
      </c>
      <c r="N309" s="356">
        <f t="shared" si="92"/>
        <v>286</v>
      </c>
      <c r="O309" s="357">
        <f t="shared" si="97"/>
        <v>23</v>
      </c>
      <c r="P309" s="357">
        <f t="shared" si="98"/>
        <v>10</v>
      </c>
      <c r="Q309" s="357">
        <f t="shared" si="99"/>
        <v>23</v>
      </c>
      <c r="R309" s="356">
        <f t="shared" si="93"/>
        <v>7694320.648637205</v>
      </c>
      <c r="S309" s="356">
        <f>IF($G$4="mensual",S300,IF($G$4="trimestral",S300,0))</f>
        <v>10000</v>
      </c>
      <c r="U309" s="356">
        <f t="shared" si="100"/>
        <v>61435.33476153601</v>
      </c>
      <c r="V309" s="356">
        <f t="shared" si="82"/>
        <v>-187.81132438918416</v>
      </c>
      <c r="X309" s="356">
        <f t="shared" si="85"/>
        <v>-7765.755983398742</v>
      </c>
      <c r="Y309" s="356">
        <f t="shared" si="86"/>
        <v>7757802.416090954</v>
      </c>
      <c r="AA309" s="357">
        <f>+Bono!J309</f>
        <v>291536.2882348071</v>
      </c>
      <c r="AC309" s="378">
        <f t="shared" si="87"/>
        <v>23.833333333333332</v>
      </c>
      <c r="AD309" s="356">
        <f t="shared" si="88"/>
        <v>8583369.8708727</v>
      </c>
    </row>
    <row r="310" spans="2:30" x14ac:dyDescent="0.25">
      <c r="B310" s="356">
        <f t="shared" si="89"/>
        <v>287</v>
      </c>
      <c r="C310" s="357">
        <f t="shared" si="94"/>
        <v>23</v>
      </c>
      <c r="D310" s="357">
        <f t="shared" si="95"/>
        <v>11</v>
      </c>
      <c r="E310" s="357">
        <f t="shared" si="96"/>
        <v>52</v>
      </c>
      <c r="F310" s="356">
        <f t="shared" si="90"/>
        <v>534031.1665469384</v>
      </c>
      <c r="H310" s="356">
        <f t="shared" si="83"/>
        <v>4258.439515456581</v>
      </c>
      <c r="I310" s="356">
        <v>0</v>
      </c>
      <c r="J310" s="356">
        <v>0</v>
      </c>
      <c r="K310" s="356">
        <f t="shared" si="91"/>
        <v>-538.2896060623949</v>
      </c>
      <c r="L310" s="356">
        <f t="shared" si="84"/>
        <v>537751.3164563326</v>
      </c>
      <c r="N310" s="356">
        <f t="shared" si="92"/>
        <v>287</v>
      </c>
      <c r="O310" s="357">
        <f t="shared" si="97"/>
        <v>23</v>
      </c>
      <c r="P310" s="357">
        <f t="shared" si="98"/>
        <v>11</v>
      </c>
      <c r="Q310" s="357">
        <f t="shared" si="99"/>
        <v>23</v>
      </c>
      <c r="R310" s="356">
        <f t="shared" si="93"/>
        <v>7757802.416090954</v>
      </c>
      <c r="S310" s="356">
        <f>IF($G$17="si",S298*(1+$G$20),S298)</f>
        <v>10000</v>
      </c>
      <c r="U310" s="356">
        <f t="shared" si="100"/>
        <v>61941.54728988722</v>
      </c>
      <c r="V310" s="356">
        <f t="shared" si="82"/>
        <v>-187.81132438918416</v>
      </c>
      <c r="X310" s="356">
        <f t="shared" si="85"/>
        <v>-7829.743963380842</v>
      </c>
      <c r="Y310" s="356">
        <f t="shared" si="86"/>
        <v>7821726.408093072</v>
      </c>
      <c r="AA310" s="357">
        <f>+Bono!J310</f>
        <v>293343.8470379793</v>
      </c>
      <c r="AC310" s="378">
        <f t="shared" si="87"/>
        <v>23.916666666666668</v>
      </c>
      <c r="AD310" s="356">
        <f t="shared" si="88"/>
        <v>8652821.571587384</v>
      </c>
    </row>
    <row r="311" spans="2:30" x14ac:dyDescent="0.25">
      <c r="B311" s="356">
        <f t="shared" si="89"/>
        <v>288</v>
      </c>
      <c r="C311" s="357">
        <f t="shared" si="94"/>
        <v>23</v>
      </c>
      <c r="D311" s="357">
        <f t="shared" si="95"/>
        <v>12</v>
      </c>
      <c r="E311" s="357">
        <f t="shared" si="96"/>
        <v>52</v>
      </c>
      <c r="F311" s="356">
        <f t="shared" si="90"/>
        <v>537751.3164563326</v>
      </c>
      <c r="H311" s="356">
        <f t="shared" si="83"/>
        <v>4288.104513250663</v>
      </c>
      <c r="I311" s="356">
        <v>0</v>
      </c>
      <c r="J311" s="360">
        <f>-SUM(F311:H311)*$J$21</f>
        <v>-4878.354788726249</v>
      </c>
      <c r="K311" s="356">
        <f t="shared" si="91"/>
        <v>-537.161066180857</v>
      </c>
      <c r="L311" s="356">
        <f t="shared" si="84"/>
        <v>536623.9051146761</v>
      </c>
      <c r="N311" s="356">
        <f t="shared" si="92"/>
        <v>288</v>
      </c>
      <c r="O311" s="357">
        <f t="shared" si="97"/>
        <v>23</v>
      </c>
      <c r="P311" s="357">
        <f t="shared" si="98"/>
        <v>12</v>
      </c>
      <c r="Q311" s="357">
        <f t="shared" si="99"/>
        <v>23</v>
      </c>
      <c r="R311" s="356">
        <f t="shared" si="93"/>
        <v>7821726.408093072</v>
      </c>
      <c r="S311" s="356">
        <f>IF($G$4="mensual",S310,0)</f>
        <v>10000</v>
      </c>
      <c r="U311" s="356">
        <f t="shared" si="100"/>
        <v>62451.28617888822</v>
      </c>
      <c r="V311" s="356">
        <f t="shared" si="82"/>
        <v>-187.81132438918416</v>
      </c>
      <c r="X311" s="356">
        <f t="shared" si="85"/>
        <v>-7894.17769427196</v>
      </c>
      <c r="Y311" s="356">
        <f t="shared" si="86"/>
        <v>7886095.705253298</v>
      </c>
      <c r="AA311" s="357">
        <f>+Bono!J311</f>
        <v>292503.4902765176</v>
      </c>
      <c r="AC311" s="378">
        <f t="shared" si="87"/>
        <v>24</v>
      </c>
      <c r="AD311" s="356">
        <f t="shared" si="88"/>
        <v>8715223.100644492</v>
      </c>
    </row>
    <row r="312" spans="2:30" x14ac:dyDescent="0.25">
      <c r="B312" s="356">
        <f t="shared" si="89"/>
        <v>289</v>
      </c>
      <c r="C312" s="357">
        <f t="shared" si="94"/>
        <v>24</v>
      </c>
      <c r="D312" s="357">
        <f t="shared" si="95"/>
        <v>1</v>
      </c>
      <c r="E312" s="357">
        <f t="shared" si="96"/>
        <v>53</v>
      </c>
      <c r="F312" s="356">
        <f t="shared" si="90"/>
        <v>536623.9051146761</v>
      </c>
      <c r="H312" s="356">
        <f t="shared" si="83"/>
        <v>4279.114376891156</v>
      </c>
      <c r="I312" s="356">
        <v>0</v>
      </c>
      <c r="J312" s="356">
        <v>0</v>
      </c>
      <c r="K312" s="356">
        <f t="shared" si="91"/>
        <v>-540.9030194915673</v>
      </c>
      <c r="L312" s="356">
        <f t="shared" si="84"/>
        <v>540362.1164720757</v>
      </c>
      <c r="N312" s="356">
        <f t="shared" si="92"/>
        <v>289</v>
      </c>
      <c r="O312" s="357">
        <f t="shared" si="97"/>
        <v>24</v>
      </c>
      <c r="P312" s="357">
        <f t="shared" si="98"/>
        <v>1</v>
      </c>
      <c r="Q312" s="357">
        <f t="shared" si="99"/>
        <v>24</v>
      </c>
      <c r="R312" s="356">
        <f t="shared" si="93"/>
        <v>7886095.705253298</v>
      </c>
      <c r="S312" s="356">
        <f>IF($G$17="si",S300*(1+$G$20),S300)</f>
        <v>10000</v>
      </c>
      <c r="U312" s="356">
        <f t="shared" si="100"/>
        <v>62964.57599375371</v>
      </c>
      <c r="V312" s="356">
        <f>V311*(1+$G$18)</f>
        <v>-195.32377736475155</v>
      </c>
      <c r="X312" s="356">
        <f t="shared" si="85"/>
        <v>-7959.060281247052</v>
      </c>
      <c r="Y312" s="356">
        <f t="shared" si="86"/>
        <v>7950905.897188441</v>
      </c>
      <c r="AA312" s="357">
        <f>+Bono!J312</f>
        <v>294317.04584453686</v>
      </c>
      <c r="AC312" s="378">
        <f t="shared" si="87"/>
        <v>24.083333333333332</v>
      </c>
      <c r="AD312" s="356">
        <f t="shared" si="88"/>
        <v>8785585.059505053</v>
      </c>
    </row>
    <row r="313" spans="2:30" x14ac:dyDescent="0.25">
      <c r="B313" s="356">
        <f t="shared" si="89"/>
        <v>290</v>
      </c>
      <c r="C313" s="357">
        <f t="shared" si="94"/>
        <v>24</v>
      </c>
      <c r="D313" s="357">
        <f t="shared" si="95"/>
        <v>2</v>
      </c>
      <c r="E313" s="357">
        <f t="shared" si="96"/>
        <v>53</v>
      </c>
      <c r="F313" s="356">
        <f t="shared" si="90"/>
        <v>540362.1164720757</v>
      </c>
      <c r="H313" s="356">
        <f t="shared" si="83"/>
        <v>4308.9233992079835</v>
      </c>
      <c r="I313" s="356">
        <v>0</v>
      </c>
      <c r="J313" s="356">
        <v>0</v>
      </c>
      <c r="K313" s="356">
        <f t="shared" si="91"/>
        <v>-544.6710398712837</v>
      </c>
      <c r="L313" s="356">
        <f t="shared" si="84"/>
        <v>544126.3688314124</v>
      </c>
      <c r="N313" s="356">
        <f t="shared" si="92"/>
        <v>290</v>
      </c>
      <c r="O313" s="357">
        <f t="shared" si="97"/>
        <v>24</v>
      </c>
      <c r="P313" s="357">
        <f t="shared" si="98"/>
        <v>2</v>
      </c>
      <c r="Q313" s="357">
        <f t="shared" si="99"/>
        <v>24</v>
      </c>
      <c r="R313" s="356">
        <f t="shared" si="93"/>
        <v>7950905.897188441</v>
      </c>
      <c r="S313" s="356">
        <f>IF($G$4="mensual",S312,0)</f>
        <v>10000</v>
      </c>
      <c r="U313" s="356">
        <f t="shared" si="100"/>
        <v>63481.38156546874</v>
      </c>
      <c r="V313" s="356">
        <f>V312</f>
        <v>-195.32377736475155</v>
      </c>
      <c r="X313" s="356">
        <f t="shared" si="85"/>
        <v>-8024.387278753909</v>
      </c>
      <c r="Y313" s="356">
        <f t="shared" si="86"/>
        <v>8016167.56769779</v>
      </c>
      <c r="AA313" s="357">
        <f>+Bono!J313</f>
        <v>296141.8456674373</v>
      </c>
      <c r="AC313" s="378">
        <f t="shared" si="87"/>
        <v>24.166666666666668</v>
      </c>
      <c r="AD313" s="356">
        <f t="shared" si="88"/>
        <v>8856435.782196641</v>
      </c>
    </row>
    <row r="314" spans="2:30" x14ac:dyDescent="0.25">
      <c r="B314" s="356">
        <f t="shared" si="89"/>
        <v>291</v>
      </c>
      <c r="C314" s="357">
        <f t="shared" si="94"/>
        <v>24</v>
      </c>
      <c r="D314" s="357">
        <f t="shared" si="95"/>
        <v>3</v>
      </c>
      <c r="E314" s="357">
        <f t="shared" si="96"/>
        <v>53</v>
      </c>
      <c r="F314" s="356">
        <f t="shared" si="90"/>
        <v>544126.3688314124</v>
      </c>
      <c r="H314" s="356">
        <f t="shared" si="83"/>
        <v>4338.940076131166</v>
      </c>
      <c r="I314" s="356">
        <v>0</v>
      </c>
      <c r="J314" s="360">
        <f>-SUM(F314:H314)*$J$21</f>
        <v>-4936.187780167892</v>
      </c>
      <c r="K314" s="356">
        <f t="shared" si="91"/>
        <v>-543.5291211273757</v>
      </c>
      <c r="L314" s="356">
        <f t="shared" si="84"/>
        <v>542985.5920062483</v>
      </c>
      <c r="N314" s="356">
        <f t="shared" si="92"/>
        <v>291</v>
      </c>
      <c r="O314" s="357">
        <f t="shared" si="97"/>
        <v>24</v>
      </c>
      <c r="P314" s="357">
        <f t="shared" si="98"/>
        <v>3</v>
      </c>
      <c r="Q314" s="357">
        <f t="shared" si="99"/>
        <v>24</v>
      </c>
      <c r="R314" s="356">
        <f t="shared" si="93"/>
        <v>8016167.56769779</v>
      </c>
      <c r="S314" s="356">
        <f>IF($G$4="mensual",S313,0)</f>
        <v>10000</v>
      </c>
      <c r="U314" s="356">
        <f t="shared" si="100"/>
        <v>64001.78729073514</v>
      </c>
      <c r="V314" s="356">
        <f t="shared" si="82"/>
        <v>-195.32377736475155</v>
      </c>
      <c r="X314" s="356">
        <f t="shared" si="85"/>
        <v>-8090.169354988526</v>
      </c>
      <c r="Y314" s="356">
        <f t="shared" si="86"/>
        <v>8081883.861856173</v>
      </c>
      <c r="AA314" s="357">
        <f>+Bono!J314</f>
        <v>295293.47333963396</v>
      </c>
      <c r="AC314" s="378">
        <f t="shared" si="87"/>
        <v>24.25</v>
      </c>
      <c r="AD314" s="356">
        <f t="shared" si="88"/>
        <v>8920162.927202055</v>
      </c>
    </row>
    <row r="315" spans="2:30" x14ac:dyDescent="0.25">
      <c r="B315" s="356">
        <f t="shared" si="89"/>
        <v>292</v>
      </c>
      <c r="C315" s="357">
        <f t="shared" si="94"/>
        <v>24</v>
      </c>
      <c r="D315" s="357">
        <f t="shared" si="95"/>
        <v>4</v>
      </c>
      <c r="E315" s="357">
        <f t="shared" si="96"/>
        <v>53</v>
      </c>
      <c r="F315" s="356">
        <f t="shared" si="90"/>
        <v>542985.5920062483</v>
      </c>
      <c r="H315" s="356">
        <f t="shared" si="83"/>
        <v>4329.843361529269</v>
      </c>
      <c r="I315" s="356">
        <v>0</v>
      </c>
      <c r="J315" s="356">
        <v>0</v>
      </c>
      <c r="K315" s="356">
        <f t="shared" si="91"/>
        <v>-547.3154353677776</v>
      </c>
      <c r="L315" s="356">
        <f t="shared" si="84"/>
        <v>546768.1199324098</v>
      </c>
      <c r="N315" s="356">
        <f t="shared" si="92"/>
        <v>292</v>
      </c>
      <c r="O315" s="357">
        <f t="shared" si="97"/>
        <v>24</v>
      </c>
      <c r="P315" s="357">
        <f t="shared" si="98"/>
        <v>4</v>
      </c>
      <c r="Q315" s="357">
        <f t="shared" si="99"/>
        <v>24</v>
      </c>
      <c r="R315" s="356">
        <f t="shared" si="93"/>
        <v>8081883.861856173</v>
      </c>
      <c r="S315" s="356">
        <f>IF($G$4="mensual",S312,IF($G$4="trimestral",S312,0))</f>
        <v>10000</v>
      </c>
      <c r="U315" s="356">
        <f t="shared" si="100"/>
        <v>64525.81824882123</v>
      </c>
      <c r="V315" s="356">
        <f t="shared" si="82"/>
        <v>-195.32377736475155</v>
      </c>
      <c r="X315" s="356">
        <f t="shared" si="85"/>
        <v>-8156.409680104995</v>
      </c>
      <c r="Y315" s="356">
        <f t="shared" si="86"/>
        <v>8148057.946647525</v>
      </c>
      <c r="AA315" s="357">
        <f>+Bono!J315</f>
        <v>297124.3271262626</v>
      </c>
      <c r="AC315" s="378">
        <f t="shared" si="87"/>
        <v>24.333333333333332</v>
      </c>
      <c r="AD315" s="356">
        <f t="shared" si="88"/>
        <v>8991950.393706197</v>
      </c>
    </row>
    <row r="316" spans="2:30" x14ac:dyDescent="0.25">
      <c r="B316" s="356">
        <f t="shared" si="89"/>
        <v>293</v>
      </c>
      <c r="C316" s="357">
        <f t="shared" si="94"/>
        <v>24</v>
      </c>
      <c r="D316" s="357">
        <f t="shared" si="95"/>
        <v>5</v>
      </c>
      <c r="E316" s="357">
        <f t="shared" si="96"/>
        <v>53</v>
      </c>
      <c r="F316" s="356">
        <f t="shared" si="90"/>
        <v>546768.1199324098</v>
      </c>
      <c r="H316" s="356">
        <f t="shared" si="83"/>
        <v>4360.005770388731</v>
      </c>
      <c r="I316" s="356">
        <v>0</v>
      </c>
      <c r="J316" s="356">
        <v>0</v>
      </c>
      <c r="K316" s="356">
        <f t="shared" si="91"/>
        <v>-551.1281257027986</v>
      </c>
      <c r="L316" s="356">
        <f t="shared" si="84"/>
        <v>550576.9975770958</v>
      </c>
      <c r="N316" s="356">
        <f t="shared" si="92"/>
        <v>293</v>
      </c>
      <c r="O316" s="357">
        <f t="shared" si="97"/>
        <v>24</v>
      </c>
      <c r="P316" s="357">
        <f t="shared" si="98"/>
        <v>5</v>
      </c>
      <c r="Q316" s="357">
        <f t="shared" si="99"/>
        <v>24</v>
      </c>
      <c r="R316" s="356">
        <f t="shared" si="93"/>
        <v>8148057.946647525</v>
      </c>
      <c r="S316" s="356">
        <f>IF($G$4="mensual",S315,0)</f>
        <v>10000</v>
      </c>
      <c r="U316" s="356">
        <f t="shared" si="100"/>
        <v>65053.499693701655</v>
      </c>
      <c r="V316" s="356">
        <f t="shared" si="82"/>
        <v>-195.32377736475155</v>
      </c>
      <c r="X316" s="356">
        <f t="shared" si="85"/>
        <v>-8223.111446341227</v>
      </c>
      <c r="Y316" s="356">
        <f t="shared" si="86"/>
        <v>8214693.011117521</v>
      </c>
      <c r="AA316" s="357">
        <f>+Bono!J316</f>
        <v>298966.53241873416</v>
      </c>
      <c r="AC316" s="378">
        <f t="shared" si="87"/>
        <v>24.416666666666668</v>
      </c>
      <c r="AD316" s="356">
        <f t="shared" si="88"/>
        <v>9064236.54111335</v>
      </c>
    </row>
    <row r="317" spans="2:30" x14ac:dyDescent="0.25">
      <c r="B317" s="356">
        <f t="shared" si="89"/>
        <v>294</v>
      </c>
      <c r="C317" s="357">
        <f t="shared" si="94"/>
        <v>24</v>
      </c>
      <c r="D317" s="357">
        <f t="shared" si="95"/>
        <v>6</v>
      </c>
      <c r="E317" s="357">
        <f t="shared" si="96"/>
        <v>53</v>
      </c>
      <c r="F317" s="356">
        <f t="shared" si="90"/>
        <v>550576.9975770958</v>
      </c>
      <c r="H317" s="356">
        <f t="shared" si="83"/>
        <v>4390.3782956039695</v>
      </c>
      <c r="I317" s="356">
        <v>0</v>
      </c>
      <c r="J317" s="360">
        <f>-SUM(F317:H317)*$J$21</f>
        <v>-4994.706382854299</v>
      </c>
      <c r="K317" s="356">
        <f t="shared" si="91"/>
        <v>-549.9726694898455</v>
      </c>
      <c r="L317" s="356">
        <f t="shared" si="84"/>
        <v>549422.6968203557</v>
      </c>
      <c r="N317" s="356">
        <f t="shared" si="92"/>
        <v>294</v>
      </c>
      <c r="O317" s="357">
        <f t="shared" si="97"/>
        <v>24</v>
      </c>
      <c r="P317" s="357">
        <f t="shared" si="98"/>
        <v>6</v>
      </c>
      <c r="Q317" s="357">
        <f t="shared" si="99"/>
        <v>24</v>
      </c>
      <c r="R317" s="356">
        <f t="shared" si="93"/>
        <v>8214693.011117521</v>
      </c>
      <c r="S317" s="356">
        <f>IF($G$4="mensual",S316,0)</f>
        <v>10000</v>
      </c>
      <c r="U317" s="356">
        <f t="shared" si="100"/>
        <v>65584.85705527446</v>
      </c>
      <c r="V317" s="356">
        <f t="shared" ref="V317:V380" si="101">V316</f>
        <v>-195.32377736475155</v>
      </c>
      <c r="X317" s="356">
        <f t="shared" si="85"/>
        <v>-8290.277868172796</v>
      </c>
      <c r="Y317" s="356">
        <f t="shared" si="86"/>
        <v>8281792.266527258</v>
      </c>
      <c r="AA317" s="357">
        <f>+Bono!J317</f>
        <v>298110.0680697944</v>
      </c>
      <c r="AC317" s="378">
        <f t="shared" si="87"/>
        <v>24.5</v>
      </c>
      <c r="AD317" s="356">
        <f t="shared" si="88"/>
        <v>9129325.031417409</v>
      </c>
    </row>
    <row r="318" spans="2:30" x14ac:dyDescent="0.25">
      <c r="B318" s="356">
        <f t="shared" si="89"/>
        <v>295</v>
      </c>
      <c r="C318" s="357">
        <f t="shared" si="94"/>
        <v>24</v>
      </c>
      <c r="D318" s="357">
        <f t="shared" si="95"/>
        <v>7</v>
      </c>
      <c r="E318" s="357">
        <f t="shared" si="96"/>
        <v>53</v>
      </c>
      <c r="F318" s="356">
        <f t="shared" si="90"/>
        <v>549422.6968203557</v>
      </c>
      <c r="H318" s="356">
        <f t="shared" si="83"/>
        <v>4381.1737392725345</v>
      </c>
      <c r="I318" s="356">
        <v>0</v>
      </c>
      <c r="J318" s="356">
        <v>0</v>
      </c>
      <c r="K318" s="356">
        <f t="shared" si="91"/>
        <v>-553.8038705596282</v>
      </c>
      <c r="L318" s="356">
        <f t="shared" si="84"/>
        <v>553250.0666890686</v>
      </c>
      <c r="N318" s="356">
        <f t="shared" si="92"/>
        <v>295</v>
      </c>
      <c r="O318" s="357">
        <f t="shared" si="97"/>
        <v>24</v>
      </c>
      <c r="P318" s="357">
        <f t="shared" si="98"/>
        <v>7</v>
      </c>
      <c r="Q318" s="357">
        <f t="shared" si="99"/>
        <v>24</v>
      </c>
      <c r="R318" s="356">
        <f t="shared" si="93"/>
        <v>8281792.266527258</v>
      </c>
      <c r="S318" s="356">
        <f>+IF($G$4="mensual",S312,IF($G$4="trimestral",S312,IF($G$4="semestral",S312,0)))</f>
        <v>10000</v>
      </c>
      <c r="U318" s="356">
        <f t="shared" si="100"/>
        <v>66119.91594058658</v>
      </c>
      <c r="V318" s="356">
        <f t="shared" si="101"/>
        <v>-195.32377736475155</v>
      </c>
      <c r="X318" s="356">
        <f t="shared" si="85"/>
        <v>-8357.912182467844</v>
      </c>
      <c r="Y318" s="356">
        <f t="shared" si="86"/>
        <v>8349358.946508012</v>
      </c>
      <c r="AA318" s="357">
        <f>+Bono!J318</f>
        <v>299958.38507045474</v>
      </c>
      <c r="AC318" s="378">
        <f t="shared" si="87"/>
        <v>24.583333333333332</v>
      </c>
      <c r="AD318" s="356">
        <f t="shared" si="88"/>
        <v>9202567.398267535</v>
      </c>
    </row>
    <row r="319" spans="2:30" x14ac:dyDescent="0.25">
      <c r="B319" s="356">
        <f t="shared" si="89"/>
        <v>296</v>
      </c>
      <c r="C319" s="357">
        <f t="shared" si="94"/>
        <v>24</v>
      </c>
      <c r="D319" s="357">
        <f t="shared" si="95"/>
        <v>8</v>
      </c>
      <c r="E319" s="357">
        <f t="shared" si="96"/>
        <v>53</v>
      </c>
      <c r="F319" s="356">
        <f t="shared" si="90"/>
        <v>553250.0666890686</v>
      </c>
      <c r="H319" s="356">
        <f t="shared" si="83"/>
        <v>4411.693724079006</v>
      </c>
      <c r="I319" s="356">
        <v>0</v>
      </c>
      <c r="J319" s="356">
        <v>0</v>
      </c>
      <c r="K319" s="356">
        <f t="shared" si="91"/>
        <v>-557.6617604131476</v>
      </c>
      <c r="L319" s="356">
        <f t="shared" si="84"/>
        <v>557104.0986527344</v>
      </c>
      <c r="N319" s="356">
        <f t="shared" si="92"/>
        <v>296</v>
      </c>
      <c r="O319" s="357">
        <f t="shared" si="97"/>
        <v>24</v>
      </c>
      <c r="P319" s="357">
        <f t="shared" si="98"/>
        <v>8</v>
      </c>
      <c r="Q319" s="357">
        <f t="shared" si="99"/>
        <v>24</v>
      </c>
      <c r="R319" s="356">
        <f t="shared" si="93"/>
        <v>8349358.946508012</v>
      </c>
      <c r="S319" s="356">
        <f>IF($G$4="mensual",S318,0)</f>
        <v>10000</v>
      </c>
      <c r="U319" s="356">
        <f t="shared" si="100"/>
        <v>66658.70213506791</v>
      </c>
      <c r="V319" s="356">
        <f t="shared" si="101"/>
        <v>-195.32377736475155</v>
      </c>
      <c r="X319" s="356">
        <f t="shared" si="85"/>
        <v>-8426.017648643081</v>
      </c>
      <c r="Y319" s="356">
        <f t="shared" si="86"/>
        <v>8417396.307217073</v>
      </c>
      <c r="AA319" s="357">
        <f>+Bono!J319</f>
        <v>301818.1618509107</v>
      </c>
      <c r="AC319" s="378">
        <f t="shared" si="87"/>
        <v>24.666666666666668</v>
      </c>
      <c r="AD319" s="356">
        <f t="shared" si="88"/>
        <v>9276318.567720719</v>
      </c>
    </row>
    <row r="320" spans="2:30" x14ac:dyDescent="0.25">
      <c r="B320" s="356">
        <f t="shared" si="89"/>
        <v>297</v>
      </c>
      <c r="C320" s="357">
        <f t="shared" si="94"/>
        <v>24</v>
      </c>
      <c r="D320" s="357">
        <f t="shared" si="95"/>
        <v>9</v>
      </c>
      <c r="E320" s="357">
        <f t="shared" si="96"/>
        <v>53</v>
      </c>
      <c r="F320" s="356">
        <f t="shared" si="90"/>
        <v>557104.0986527344</v>
      </c>
      <c r="H320" s="356">
        <f t="shared" si="83"/>
        <v>4442.42631617476</v>
      </c>
      <c r="I320" s="356">
        <v>0</v>
      </c>
      <c r="J320" s="360">
        <f>-SUM(F320:H320)*$J$21</f>
        <v>-5053.9187247201835</v>
      </c>
      <c r="K320" s="356">
        <f t="shared" si="91"/>
        <v>-556.4926062441891</v>
      </c>
      <c r="L320" s="356">
        <f t="shared" si="84"/>
        <v>555936.1136379449</v>
      </c>
      <c r="N320" s="356">
        <f t="shared" si="92"/>
        <v>297</v>
      </c>
      <c r="O320" s="357">
        <f t="shared" si="97"/>
        <v>24</v>
      </c>
      <c r="P320" s="357">
        <f t="shared" si="98"/>
        <v>9</v>
      </c>
      <c r="Q320" s="357">
        <f t="shared" si="99"/>
        <v>24</v>
      </c>
      <c r="R320" s="356">
        <f t="shared" si="93"/>
        <v>8417396.307217073</v>
      </c>
      <c r="S320" s="356">
        <f>IF($G$4="mensual",S319,0)</f>
        <v>10000</v>
      </c>
      <c r="U320" s="356">
        <f t="shared" si="100"/>
        <v>67201.24160377395</v>
      </c>
      <c r="V320" s="356">
        <f t="shared" si="101"/>
        <v>-195.32377736475155</v>
      </c>
      <c r="X320" s="356">
        <f t="shared" si="85"/>
        <v>-8494.597548820846</v>
      </c>
      <c r="Y320" s="356">
        <f t="shared" si="86"/>
        <v>8485907.627494661</v>
      </c>
      <c r="AA320" s="357">
        <f>+Bono!J320</f>
        <v>300953.5282967917</v>
      </c>
      <c r="AC320" s="378">
        <f t="shared" si="87"/>
        <v>24.75</v>
      </c>
      <c r="AD320" s="356">
        <f t="shared" si="88"/>
        <v>9342797.269429397</v>
      </c>
    </row>
    <row r="321" spans="2:30" x14ac:dyDescent="0.25">
      <c r="B321" s="356">
        <f t="shared" si="89"/>
        <v>298</v>
      </c>
      <c r="C321" s="357">
        <f t="shared" si="94"/>
        <v>24</v>
      </c>
      <c r="D321" s="357">
        <f t="shared" si="95"/>
        <v>10</v>
      </c>
      <c r="E321" s="357">
        <f t="shared" si="96"/>
        <v>53</v>
      </c>
      <c r="F321" s="356">
        <f t="shared" si="90"/>
        <v>555936.1136379449</v>
      </c>
      <c r="H321" s="356">
        <f t="shared" si="83"/>
        <v>4433.112639647974</v>
      </c>
      <c r="I321" s="356">
        <v>0</v>
      </c>
      <c r="J321" s="356">
        <v>0</v>
      </c>
      <c r="K321" s="356">
        <f t="shared" si="91"/>
        <v>-560.3692262775929</v>
      </c>
      <c r="L321" s="356">
        <f t="shared" si="84"/>
        <v>559808.8570513154</v>
      </c>
      <c r="N321" s="356">
        <f t="shared" si="92"/>
        <v>298</v>
      </c>
      <c r="O321" s="357">
        <f t="shared" si="97"/>
        <v>24</v>
      </c>
      <c r="P321" s="357">
        <f t="shared" si="98"/>
        <v>10</v>
      </c>
      <c r="Q321" s="357">
        <f t="shared" si="99"/>
        <v>24</v>
      </c>
      <c r="R321" s="356">
        <f t="shared" si="93"/>
        <v>8485907.627494661</v>
      </c>
      <c r="S321" s="356">
        <f>IF($G$4="mensual",S312,IF($G$4="trimestral",S312,0))</f>
        <v>10000</v>
      </c>
      <c r="U321" s="356">
        <f t="shared" si="100"/>
        <v>67747.56049263704</v>
      </c>
      <c r="V321" s="356">
        <f t="shared" si="101"/>
        <v>-195.32377736475155</v>
      </c>
      <c r="X321" s="356">
        <f t="shared" si="85"/>
        <v>-8563.655187987299</v>
      </c>
      <c r="Y321" s="356">
        <f t="shared" si="86"/>
        <v>8554896.209021946</v>
      </c>
      <c r="AA321" s="357">
        <f>+Bono!J321</f>
        <v>302819.47508068045</v>
      </c>
      <c r="AC321" s="378">
        <f t="shared" si="87"/>
        <v>24.833333333333332</v>
      </c>
      <c r="AD321" s="356">
        <f t="shared" si="88"/>
        <v>9417524.541153941</v>
      </c>
    </row>
    <row r="322" spans="2:30" x14ac:dyDescent="0.25">
      <c r="B322" s="356">
        <f t="shared" si="89"/>
        <v>299</v>
      </c>
      <c r="C322" s="357">
        <f t="shared" si="94"/>
        <v>24</v>
      </c>
      <c r="D322" s="357">
        <f t="shared" si="95"/>
        <v>11</v>
      </c>
      <c r="E322" s="357">
        <f t="shared" si="96"/>
        <v>53</v>
      </c>
      <c r="F322" s="356">
        <f t="shared" si="90"/>
        <v>559808.8570513154</v>
      </c>
      <c r="H322" s="356">
        <f t="shared" si="83"/>
        <v>4463.994439471302</v>
      </c>
      <c r="I322" s="356">
        <v>0</v>
      </c>
      <c r="J322" s="356">
        <v>0</v>
      </c>
      <c r="K322" s="356">
        <f t="shared" si="91"/>
        <v>-564.2728514907867</v>
      </c>
      <c r="L322" s="356">
        <f t="shared" si="84"/>
        <v>563708.5786392959</v>
      </c>
      <c r="N322" s="356">
        <f t="shared" si="92"/>
        <v>299</v>
      </c>
      <c r="O322" s="357">
        <f t="shared" si="97"/>
        <v>24</v>
      </c>
      <c r="P322" s="357">
        <f t="shared" si="98"/>
        <v>11</v>
      </c>
      <c r="Q322" s="357">
        <f t="shared" si="99"/>
        <v>24</v>
      </c>
      <c r="R322" s="356">
        <f t="shared" si="93"/>
        <v>8554896.209021946</v>
      </c>
      <c r="S322" s="356">
        <f>IF($G$17="si",S310*(1+$G$20),S310)</f>
        <v>10000</v>
      </c>
      <c r="U322" s="356">
        <f t="shared" si="100"/>
        <v>68297.6851297265</v>
      </c>
      <c r="V322" s="356">
        <f t="shared" si="101"/>
        <v>-195.32377736475155</v>
      </c>
      <c r="X322" s="356">
        <f t="shared" si="85"/>
        <v>-8633.193894151673</v>
      </c>
      <c r="Y322" s="356">
        <f t="shared" si="86"/>
        <v>8624365.376480157</v>
      </c>
      <c r="AA322" s="357">
        <f>+Bono!J322</f>
        <v>304696.99095106573</v>
      </c>
      <c r="AC322" s="378">
        <f t="shared" si="87"/>
        <v>24.916666666666668</v>
      </c>
      <c r="AD322" s="356">
        <f t="shared" si="88"/>
        <v>9492770.946070518</v>
      </c>
    </row>
    <row r="323" spans="2:30" x14ac:dyDescent="0.25">
      <c r="B323" s="356">
        <f t="shared" si="89"/>
        <v>300</v>
      </c>
      <c r="C323" s="357">
        <f t="shared" si="94"/>
        <v>24</v>
      </c>
      <c r="D323" s="357">
        <f t="shared" si="95"/>
        <v>12</v>
      </c>
      <c r="E323" s="357">
        <f t="shared" si="96"/>
        <v>53</v>
      </c>
      <c r="F323" s="356">
        <f t="shared" si="90"/>
        <v>563708.5786392959</v>
      </c>
      <c r="H323" s="356">
        <f t="shared" si="83"/>
        <v>4495.0913670474865</v>
      </c>
      <c r="I323" s="356">
        <v>0</v>
      </c>
      <c r="J323" s="360">
        <f>-SUM(F323:H323)*$J$21</f>
        <v>-5113.8330300570915</v>
      </c>
      <c r="K323" s="356">
        <f t="shared" si="91"/>
        <v>-563.0898369762863</v>
      </c>
      <c r="L323" s="356">
        <f t="shared" si="84"/>
        <v>562526.74713931</v>
      </c>
      <c r="N323" s="356">
        <f t="shared" si="92"/>
        <v>300</v>
      </c>
      <c r="O323" s="357">
        <f t="shared" si="97"/>
        <v>24</v>
      </c>
      <c r="P323" s="357">
        <f t="shared" si="98"/>
        <v>12</v>
      </c>
      <c r="Q323" s="357">
        <f t="shared" si="99"/>
        <v>24</v>
      </c>
      <c r="R323" s="356">
        <f t="shared" si="93"/>
        <v>8624365.376480157</v>
      </c>
      <c r="S323" s="356">
        <f>IF($G$4="mensual",S322,0)</f>
        <v>10000</v>
      </c>
      <c r="U323" s="356">
        <f t="shared" si="100"/>
        <v>68851.6420265173</v>
      </c>
      <c r="V323" s="356">
        <f t="shared" si="101"/>
        <v>-195.32377736475155</v>
      </c>
      <c r="X323" s="356">
        <f t="shared" si="85"/>
        <v>-8703.217018506673</v>
      </c>
      <c r="Y323" s="356">
        <f t="shared" si="86"/>
        <v>8694318.477710802</v>
      </c>
      <c r="AA323" s="357">
        <f>+Bono!J323</f>
        <v>303824.110271521</v>
      </c>
      <c r="AC323" s="378">
        <f t="shared" si="87"/>
        <v>25</v>
      </c>
      <c r="AD323" s="356">
        <f t="shared" si="88"/>
        <v>9560669.335121633</v>
      </c>
    </row>
    <row r="324" spans="2:30" x14ac:dyDescent="0.25">
      <c r="B324" s="356">
        <f t="shared" si="89"/>
        <v>301</v>
      </c>
      <c r="C324" s="357">
        <f t="shared" si="94"/>
        <v>25</v>
      </c>
      <c r="D324" s="357">
        <f t="shared" si="95"/>
        <v>1</v>
      </c>
      <c r="E324" s="357">
        <f t="shared" si="96"/>
        <v>54</v>
      </c>
      <c r="F324" s="356">
        <f t="shared" si="90"/>
        <v>562526.74713931</v>
      </c>
      <c r="H324" s="356">
        <f t="shared" si="83"/>
        <v>4485.667276703297</v>
      </c>
      <c r="I324" s="356">
        <v>0</v>
      </c>
      <c r="J324" s="356">
        <v>0</v>
      </c>
      <c r="K324" s="356">
        <f t="shared" si="91"/>
        <v>-567.0124144160133</v>
      </c>
      <c r="L324" s="356">
        <f t="shared" si="84"/>
        <v>566445.4020015972</v>
      </c>
      <c r="N324" s="356">
        <f t="shared" si="92"/>
        <v>301</v>
      </c>
      <c r="O324" s="357">
        <f t="shared" si="97"/>
        <v>25</v>
      </c>
      <c r="P324" s="357">
        <f t="shared" si="98"/>
        <v>1</v>
      </c>
      <c r="Q324" s="357">
        <f t="shared" si="99"/>
        <v>25</v>
      </c>
      <c r="R324" s="356">
        <f t="shared" si="93"/>
        <v>8694318.477710802</v>
      </c>
      <c r="S324" s="356">
        <f>IF($G$17="si",S312*(1+$G$20),S312)</f>
        <v>10000</v>
      </c>
      <c r="U324" s="356">
        <f t="shared" si="100"/>
        <v>69409.45787916778</v>
      </c>
      <c r="V324" s="356">
        <f>V323*(1+$G$18)</f>
        <v>-203.1367284593416</v>
      </c>
      <c r="X324" s="356">
        <f t="shared" si="85"/>
        <v>-8773.72793558997</v>
      </c>
      <c r="Y324" s="356">
        <f t="shared" si="86"/>
        <v>8764751.07092592</v>
      </c>
      <c r="AA324" s="357">
        <f>+Bono!J324</f>
        <v>305707.85499662</v>
      </c>
      <c r="AC324" s="378">
        <f t="shared" si="87"/>
        <v>25.083333333333332</v>
      </c>
      <c r="AD324" s="356">
        <f t="shared" si="88"/>
        <v>9636904.327924136</v>
      </c>
    </row>
    <row r="325" spans="2:30" x14ac:dyDescent="0.25">
      <c r="B325" s="356">
        <f t="shared" si="89"/>
        <v>302</v>
      </c>
      <c r="C325" s="357">
        <f t="shared" si="94"/>
        <v>25</v>
      </c>
      <c r="D325" s="357">
        <f t="shared" si="95"/>
        <v>2</v>
      </c>
      <c r="E325" s="357">
        <f t="shared" si="96"/>
        <v>54</v>
      </c>
      <c r="F325" s="356">
        <f t="shared" si="90"/>
        <v>566445.4020015972</v>
      </c>
      <c r="H325" s="356">
        <f t="shared" si="83"/>
        <v>4516.9151808675815</v>
      </c>
      <c r="I325" s="356">
        <v>0</v>
      </c>
      <c r="J325" s="356">
        <v>0</v>
      </c>
      <c r="K325" s="356">
        <f t="shared" si="91"/>
        <v>-570.9623171824647</v>
      </c>
      <c r="L325" s="356">
        <f t="shared" si="84"/>
        <v>570391.3548652823</v>
      </c>
      <c r="N325" s="356">
        <f t="shared" si="92"/>
        <v>302</v>
      </c>
      <c r="O325" s="357">
        <f t="shared" si="97"/>
        <v>25</v>
      </c>
      <c r="P325" s="357">
        <f t="shared" si="98"/>
        <v>2</v>
      </c>
      <c r="Q325" s="357">
        <f t="shared" si="99"/>
        <v>25</v>
      </c>
      <c r="R325" s="356">
        <f t="shared" si="93"/>
        <v>8764751.07092592</v>
      </c>
      <c r="S325" s="356">
        <f>IF($G$4="mensual",S324,0)</f>
        <v>10000</v>
      </c>
      <c r="U325" s="356">
        <f t="shared" si="100"/>
        <v>69971.09726823698</v>
      </c>
      <c r="V325" s="356">
        <f>V324</f>
        <v>-203.1367284593416</v>
      </c>
      <c r="X325" s="356">
        <f t="shared" si="85"/>
        <v>-8844.722168194156</v>
      </c>
      <c r="Y325" s="356">
        <f t="shared" si="86"/>
        <v>8835674.309297502</v>
      </c>
      <c r="AA325" s="357">
        <f>+Bono!J325</f>
        <v>307603.2791575154</v>
      </c>
      <c r="AC325" s="378">
        <f t="shared" si="87"/>
        <v>25.166666666666668</v>
      </c>
      <c r="AD325" s="356">
        <f t="shared" si="88"/>
        <v>9713668.9433203</v>
      </c>
    </row>
    <row r="326" spans="2:30" x14ac:dyDescent="0.25">
      <c r="B326" s="356">
        <f t="shared" si="89"/>
        <v>303</v>
      </c>
      <c r="C326" s="357">
        <f t="shared" si="94"/>
        <v>25</v>
      </c>
      <c r="D326" s="357">
        <f t="shared" si="95"/>
        <v>3</v>
      </c>
      <c r="E326" s="357">
        <f t="shared" si="96"/>
        <v>54</v>
      </c>
      <c r="F326" s="356">
        <f t="shared" si="90"/>
        <v>570391.3548652823</v>
      </c>
      <c r="H326" s="356">
        <f t="shared" si="83"/>
        <v>4548.380763128442</v>
      </c>
      <c r="I326" s="356">
        <v>0</v>
      </c>
      <c r="J326" s="360">
        <f>-SUM(F326:H326)*$J$21</f>
        <v>-5174.457620655697</v>
      </c>
      <c r="K326" s="356">
        <f t="shared" si="91"/>
        <v>-569.7652780077551</v>
      </c>
      <c r="L326" s="356">
        <f t="shared" si="84"/>
        <v>569195.5127297473</v>
      </c>
      <c r="N326" s="356">
        <f t="shared" si="92"/>
        <v>303</v>
      </c>
      <c r="O326" s="357">
        <f t="shared" si="97"/>
        <v>25</v>
      </c>
      <c r="P326" s="357">
        <f t="shared" si="98"/>
        <v>3</v>
      </c>
      <c r="Q326" s="357">
        <f t="shared" si="99"/>
        <v>25</v>
      </c>
      <c r="R326" s="356">
        <f t="shared" si="93"/>
        <v>8835674.309297502</v>
      </c>
      <c r="S326" s="356">
        <f>IF($G$4="mensual",S325,0)</f>
        <v>10000</v>
      </c>
      <c r="U326" s="356">
        <f t="shared" si="100"/>
        <v>70536.64913068459</v>
      </c>
      <c r="V326" s="356">
        <f t="shared" si="101"/>
        <v>-203.1367284593416</v>
      </c>
      <c r="X326" s="356">
        <f t="shared" si="85"/>
        <v>-8916.210958428188</v>
      </c>
      <c r="Y326" s="356">
        <f t="shared" si="86"/>
        <v>8907091.610741299</v>
      </c>
      <c r="AA326" s="357">
        <f>+Bono!J326</f>
        <v>306722.0726890724</v>
      </c>
      <c r="AC326" s="378">
        <f t="shared" si="87"/>
        <v>25.25</v>
      </c>
      <c r="AD326" s="356">
        <f t="shared" si="88"/>
        <v>9783009.196160119</v>
      </c>
    </row>
    <row r="327" spans="2:30" x14ac:dyDescent="0.25">
      <c r="B327" s="356">
        <f t="shared" si="89"/>
        <v>304</v>
      </c>
      <c r="C327" s="357">
        <f t="shared" si="94"/>
        <v>25</v>
      </c>
      <c r="D327" s="357">
        <f t="shared" si="95"/>
        <v>4</v>
      </c>
      <c r="E327" s="357">
        <f t="shared" si="96"/>
        <v>54</v>
      </c>
      <c r="F327" s="356">
        <f t="shared" si="90"/>
        <v>569195.5127297473</v>
      </c>
      <c r="H327" s="356">
        <f t="shared" si="83"/>
        <v>4538.8449500088855</v>
      </c>
      <c r="I327" s="356">
        <v>0</v>
      </c>
      <c r="J327" s="356">
        <v>0</v>
      </c>
      <c r="K327" s="356">
        <f t="shared" si="91"/>
        <v>-573.7343576797563</v>
      </c>
      <c r="L327" s="356">
        <f t="shared" si="84"/>
        <v>573160.6233220765</v>
      </c>
      <c r="N327" s="356">
        <f t="shared" si="92"/>
        <v>304</v>
      </c>
      <c r="O327" s="357">
        <f t="shared" si="97"/>
        <v>25</v>
      </c>
      <c r="P327" s="357">
        <f t="shared" si="98"/>
        <v>4</v>
      </c>
      <c r="Q327" s="357">
        <f t="shared" si="99"/>
        <v>25</v>
      </c>
      <c r="R327" s="356">
        <f t="shared" si="93"/>
        <v>8907091.610741299</v>
      </c>
      <c r="S327" s="356">
        <f>IF($G$4="mensual",S324,IF($G$4="trimestral",S324,0))</f>
        <v>10000</v>
      </c>
      <c r="U327" s="356">
        <f t="shared" si="100"/>
        <v>71106.14072145078</v>
      </c>
      <c r="V327" s="356">
        <f t="shared" si="101"/>
        <v>-203.1367284593416</v>
      </c>
      <c r="X327" s="356">
        <f t="shared" si="85"/>
        <v>-8988.19775146275</v>
      </c>
      <c r="Y327" s="356">
        <f t="shared" si="86"/>
        <v>8979006.416982828</v>
      </c>
      <c r="AA327" s="357">
        <f>+Bono!J327</f>
        <v>308623.785117303</v>
      </c>
      <c r="AC327" s="378">
        <f t="shared" si="87"/>
        <v>25.333333333333332</v>
      </c>
      <c r="AD327" s="356">
        <f t="shared" si="88"/>
        <v>9860790.825422209</v>
      </c>
    </row>
    <row r="328" spans="2:30" x14ac:dyDescent="0.25">
      <c r="B328" s="356">
        <f t="shared" si="89"/>
        <v>305</v>
      </c>
      <c r="C328" s="357">
        <f t="shared" si="94"/>
        <v>25</v>
      </c>
      <c r="D328" s="357">
        <f t="shared" si="95"/>
        <v>5</v>
      </c>
      <c r="E328" s="357">
        <f t="shared" si="96"/>
        <v>54</v>
      </c>
      <c r="F328" s="356">
        <f t="shared" si="90"/>
        <v>573160.6233220765</v>
      </c>
      <c r="H328" s="356">
        <f t="shared" si="83"/>
        <v>4570.4632986882525</v>
      </c>
      <c r="I328" s="356">
        <v>0</v>
      </c>
      <c r="J328" s="356">
        <v>0</v>
      </c>
      <c r="K328" s="356">
        <f t="shared" si="91"/>
        <v>-577.7310866207648</v>
      </c>
      <c r="L328" s="356">
        <f t="shared" si="84"/>
        <v>577153.3555341441</v>
      </c>
      <c r="N328" s="356">
        <f t="shared" si="92"/>
        <v>305</v>
      </c>
      <c r="O328" s="357">
        <f t="shared" si="97"/>
        <v>25</v>
      </c>
      <c r="P328" s="357">
        <f t="shared" si="98"/>
        <v>5</v>
      </c>
      <c r="Q328" s="357">
        <f t="shared" si="99"/>
        <v>25</v>
      </c>
      <c r="R328" s="356">
        <f t="shared" si="93"/>
        <v>8979006.416982828</v>
      </c>
      <c r="S328" s="356">
        <f>IF($G$4="mensual",S327,0)</f>
        <v>10000</v>
      </c>
      <c r="U328" s="356">
        <f t="shared" si="100"/>
        <v>71679.59948533814</v>
      </c>
      <c r="V328" s="356">
        <f t="shared" si="101"/>
        <v>-203.1367284593416</v>
      </c>
      <c r="X328" s="356">
        <f t="shared" si="85"/>
        <v>-9060.686016468166</v>
      </c>
      <c r="Y328" s="356">
        <f t="shared" si="86"/>
        <v>9051422.193723237</v>
      </c>
      <c r="AA328" s="357">
        <f>+Bono!J328</f>
        <v>310537.2883831736</v>
      </c>
      <c r="AC328" s="378">
        <f t="shared" si="87"/>
        <v>25.416666666666668</v>
      </c>
      <c r="AD328" s="356">
        <f t="shared" si="88"/>
        <v>9939112.837640554</v>
      </c>
    </row>
    <row r="329" spans="2:30" x14ac:dyDescent="0.25">
      <c r="B329" s="356">
        <f t="shared" si="89"/>
        <v>306</v>
      </c>
      <c r="C329" s="357">
        <f t="shared" si="94"/>
        <v>25</v>
      </c>
      <c r="D329" s="357">
        <f t="shared" si="95"/>
        <v>6</v>
      </c>
      <c r="E329" s="357">
        <f t="shared" si="96"/>
        <v>54</v>
      </c>
      <c r="F329" s="356">
        <f t="shared" si="90"/>
        <v>577153.3555341441</v>
      </c>
      <c r="H329" s="356">
        <f t="shared" si="83"/>
        <v>4602.301906042287</v>
      </c>
      <c r="I329" s="356">
        <v>0</v>
      </c>
      <c r="J329" s="360">
        <f>-SUM(F329:H329)*$J$21</f>
        <v>-5235.800916961678</v>
      </c>
      <c r="K329" s="356">
        <f t="shared" si="91"/>
        <v>-576.5198565232248</v>
      </c>
      <c r="L329" s="356">
        <f t="shared" si="84"/>
        <v>575943.3366667015</v>
      </c>
      <c r="N329" s="356">
        <f t="shared" si="92"/>
        <v>306</v>
      </c>
      <c r="O329" s="357">
        <f t="shared" si="97"/>
        <v>25</v>
      </c>
      <c r="P329" s="357">
        <f t="shared" si="98"/>
        <v>6</v>
      </c>
      <c r="Q329" s="357">
        <f t="shared" si="99"/>
        <v>25</v>
      </c>
      <c r="R329" s="356">
        <f t="shared" si="93"/>
        <v>9051422.193723237</v>
      </c>
      <c r="S329" s="356">
        <f>IF($G$4="mensual",S328,0)</f>
        <v>10000</v>
      </c>
      <c r="U329" s="356">
        <f t="shared" si="100"/>
        <v>72257.0530583343</v>
      </c>
      <c r="V329" s="356">
        <f t="shared" si="101"/>
        <v>-203.1367284593416</v>
      </c>
      <c r="X329" s="356">
        <f t="shared" si="85"/>
        <v>-9133.67924678157</v>
      </c>
      <c r="Y329" s="356">
        <f t="shared" si="86"/>
        <v>9124342.43080633</v>
      </c>
      <c r="AA329" s="357">
        <f>+Bono!J329</f>
        <v>309647.6767120448</v>
      </c>
      <c r="AC329" s="378">
        <f t="shared" si="87"/>
        <v>25.5</v>
      </c>
      <c r="AD329" s="356">
        <f t="shared" si="88"/>
        <v>10009933.444185076</v>
      </c>
    </row>
    <row r="330" spans="2:30" x14ac:dyDescent="0.25">
      <c r="B330" s="356">
        <f t="shared" si="89"/>
        <v>307</v>
      </c>
      <c r="C330" s="357">
        <f t="shared" si="94"/>
        <v>25</v>
      </c>
      <c r="D330" s="357">
        <f t="shared" si="95"/>
        <v>7</v>
      </c>
      <c r="E330" s="357">
        <f t="shared" si="96"/>
        <v>54</v>
      </c>
      <c r="F330" s="356">
        <f t="shared" si="90"/>
        <v>575943.3366667015</v>
      </c>
      <c r="H330" s="356">
        <f t="shared" si="83"/>
        <v>4592.653045671676</v>
      </c>
      <c r="I330" s="356">
        <v>0</v>
      </c>
      <c r="J330" s="356">
        <v>0</v>
      </c>
      <c r="K330" s="356">
        <f t="shared" si="91"/>
        <v>-580.5359897123732</v>
      </c>
      <c r="L330" s="356">
        <f t="shared" si="84"/>
        <v>579955.4537226608</v>
      </c>
      <c r="N330" s="356">
        <f t="shared" si="92"/>
        <v>307</v>
      </c>
      <c r="O330" s="357">
        <f t="shared" si="97"/>
        <v>25</v>
      </c>
      <c r="P330" s="357">
        <f t="shared" si="98"/>
        <v>7</v>
      </c>
      <c r="Q330" s="357">
        <f t="shared" si="99"/>
        <v>25</v>
      </c>
      <c r="R330" s="356">
        <f t="shared" si="93"/>
        <v>9124342.43080633</v>
      </c>
      <c r="S330" s="356">
        <f>+IF($G$4="mensual",S324,IF($G$4="trimestral",S324,IF($G$4="semestral",S324,0)))</f>
        <v>10000</v>
      </c>
      <c r="U330" s="356">
        <f t="shared" si="100"/>
        <v>72838.52926894384</v>
      </c>
      <c r="V330" s="356">
        <f t="shared" si="101"/>
        <v>-203.1367284593416</v>
      </c>
      <c r="X330" s="356">
        <f t="shared" si="85"/>
        <v>-9207.180960075275</v>
      </c>
      <c r="Y330" s="356">
        <f t="shared" si="86"/>
        <v>9197770.642386738</v>
      </c>
      <c r="AA330" s="357">
        <f>+Bono!J330</f>
        <v>311567.5282245669</v>
      </c>
      <c r="AC330" s="378">
        <f t="shared" si="87"/>
        <v>25.583333333333332</v>
      </c>
      <c r="AD330" s="356">
        <f t="shared" si="88"/>
        <v>10089293.624333967</v>
      </c>
    </row>
    <row r="331" spans="2:30" x14ac:dyDescent="0.25">
      <c r="B331" s="356">
        <f t="shared" si="89"/>
        <v>308</v>
      </c>
      <c r="C331" s="357">
        <f t="shared" si="94"/>
        <v>25</v>
      </c>
      <c r="D331" s="357">
        <f t="shared" si="95"/>
        <v>8</v>
      </c>
      <c r="E331" s="357">
        <f t="shared" si="96"/>
        <v>54</v>
      </c>
      <c r="F331" s="356">
        <f t="shared" si="90"/>
        <v>579955.4537226608</v>
      </c>
      <c r="H331" s="356">
        <f t="shared" si="83"/>
        <v>4624.646230493096</v>
      </c>
      <c r="I331" s="356">
        <v>0</v>
      </c>
      <c r="J331" s="356">
        <v>0</v>
      </c>
      <c r="K331" s="356">
        <f t="shared" si="91"/>
        <v>-584.5800999531539</v>
      </c>
      <c r="L331" s="356">
        <f t="shared" si="84"/>
        <v>583995.5198532008</v>
      </c>
      <c r="N331" s="356">
        <f t="shared" si="92"/>
        <v>308</v>
      </c>
      <c r="O331" s="357">
        <f t="shared" si="97"/>
        <v>25</v>
      </c>
      <c r="P331" s="357">
        <f t="shared" si="98"/>
        <v>8</v>
      </c>
      <c r="Q331" s="357">
        <f t="shared" si="99"/>
        <v>25</v>
      </c>
      <c r="R331" s="356">
        <f t="shared" si="93"/>
        <v>9197770.642386738</v>
      </c>
      <c r="S331" s="356">
        <f>IF($G$4="mensual",S330,0)</f>
        <v>10000</v>
      </c>
      <c r="U331" s="356">
        <f t="shared" si="100"/>
        <v>73424.05613952928</v>
      </c>
      <c r="V331" s="356">
        <f t="shared" si="101"/>
        <v>-203.1367284593416</v>
      </c>
      <c r="X331" s="356">
        <f t="shared" si="85"/>
        <v>-9281.194698526268</v>
      </c>
      <c r="Y331" s="356">
        <f t="shared" si="86"/>
        <v>9271710.367099281</v>
      </c>
      <c r="AA331" s="357">
        <f>+Bono!J331</f>
        <v>313499.28303915565</v>
      </c>
      <c r="AC331" s="378">
        <f t="shared" si="87"/>
        <v>25.666666666666668</v>
      </c>
      <c r="AD331" s="356">
        <f t="shared" si="88"/>
        <v>10169205.169991639</v>
      </c>
    </row>
    <row r="332" spans="2:30" x14ac:dyDescent="0.25">
      <c r="B332" s="356">
        <f t="shared" si="89"/>
        <v>309</v>
      </c>
      <c r="C332" s="357">
        <f t="shared" si="94"/>
        <v>25</v>
      </c>
      <c r="D332" s="357">
        <f t="shared" si="95"/>
        <v>9</v>
      </c>
      <c r="E332" s="357">
        <f t="shared" si="96"/>
        <v>54</v>
      </c>
      <c r="F332" s="356">
        <f t="shared" si="90"/>
        <v>583995.5198532008</v>
      </c>
      <c r="H332" s="356">
        <f t="shared" si="83"/>
        <v>4656.862285160079</v>
      </c>
      <c r="I332" s="356">
        <v>0</v>
      </c>
      <c r="J332" s="360">
        <f>-SUM(F332:H332)*$J$21</f>
        <v>-5297.871439245248</v>
      </c>
      <c r="K332" s="356">
        <f t="shared" si="91"/>
        <v>-583.3545106991156</v>
      </c>
      <c r="L332" s="356">
        <f t="shared" si="84"/>
        <v>582771.1561884164</v>
      </c>
      <c r="N332" s="356">
        <f t="shared" si="92"/>
        <v>309</v>
      </c>
      <c r="O332" s="357">
        <f t="shared" si="97"/>
        <v>25</v>
      </c>
      <c r="P332" s="357">
        <f t="shared" si="98"/>
        <v>9</v>
      </c>
      <c r="Q332" s="357">
        <f t="shared" si="99"/>
        <v>25</v>
      </c>
      <c r="R332" s="356">
        <f t="shared" si="93"/>
        <v>9271710.367099281</v>
      </c>
      <c r="S332" s="356">
        <f>IF($G$4="mensual",S331,0)</f>
        <v>10000</v>
      </c>
      <c r="U332" s="356">
        <f t="shared" si="100"/>
        <v>74013.66188766158</v>
      </c>
      <c r="V332" s="356">
        <f t="shared" si="101"/>
        <v>-203.1367284593416</v>
      </c>
      <c r="X332" s="356">
        <f t="shared" si="85"/>
        <v>-9355.724028986944</v>
      </c>
      <c r="Y332" s="356">
        <f t="shared" si="86"/>
        <v>9346165.168229496</v>
      </c>
      <c r="AA332" s="357">
        <f>+Bono!J332</f>
        <v>312601.1859940819</v>
      </c>
      <c r="AC332" s="378">
        <f t="shared" si="87"/>
        <v>25.75</v>
      </c>
      <c r="AD332" s="356">
        <f t="shared" si="88"/>
        <v>10241537.510411995</v>
      </c>
    </row>
    <row r="333" spans="2:30" x14ac:dyDescent="0.25">
      <c r="B333" s="356">
        <f t="shared" si="89"/>
        <v>310</v>
      </c>
      <c r="C333" s="357">
        <f t="shared" si="94"/>
        <v>25</v>
      </c>
      <c r="D333" s="357">
        <f t="shared" si="95"/>
        <v>10</v>
      </c>
      <c r="E333" s="357">
        <f t="shared" si="96"/>
        <v>54</v>
      </c>
      <c r="F333" s="356">
        <f t="shared" si="90"/>
        <v>582771.1561884164</v>
      </c>
      <c r="H333" s="356">
        <f t="shared" si="83"/>
        <v>4647.099037361041</v>
      </c>
      <c r="I333" s="356">
        <v>0</v>
      </c>
      <c r="J333" s="356">
        <v>0</v>
      </c>
      <c r="K333" s="356">
        <f t="shared" si="91"/>
        <v>-587.4182552257776</v>
      </c>
      <c r="L333" s="356">
        <f t="shared" si="84"/>
        <v>586830.8369705518</v>
      </c>
      <c r="N333" s="356">
        <f t="shared" si="92"/>
        <v>310</v>
      </c>
      <c r="O333" s="357">
        <f t="shared" si="97"/>
        <v>25</v>
      </c>
      <c r="P333" s="357">
        <f t="shared" si="98"/>
        <v>10</v>
      </c>
      <c r="Q333" s="357">
        <f t="shared" si="99"/>
        <v>25</v>
      </c>
      <c r="R333" s="356">
        <f t="shared" si="93"/>
        <v>9346165.168229496</v>
      </c>
      <c r="S333" s="356">
        <f>IF($G$4="mensual",S324,IF($G$4="trimestral",S324,0))</f>
        <v>10000</v>
      </c>
      <c r="U333" s="356">
        <f t="shared" si="100"/>
        <v>74607.37492748002</v>
      </c>
      <c r="V333" s="356">
        <f t="shared" si="101"/>
        <v>-203.1367284593416</v>
      </c>
      <c r="X333" s="356">
        <f t="shared" si="85"/>
        <v>-9430.772543156976</v>
      </c>
      <c r="Y333" s="356">
        <f t="shared" si="86"/>
        <v>9421138.63388536</v>
      </c>
      <c r="AA333" s="357">
        <f>+Bono!J333</f>
        <v>314539.3496067385</v>
      </c>
      <c r="AC333" s="378">
        <f t="shared" si="87"/>
        <v>25.833333333333332</v>
      </c>
      <c r="AD333" s="356">
        <f t="shared" si="88"/>
        <v>10322508.82046265</v>
      </c>
    </row>
    <row r="334" spans="2:30" x14ac:dyDescent="0.25">
      <c r="B334" s="356">
        <f t="shared" si="89"/>
        <v>311</v>
      </c>
      <c r="C334" s="357">
        <f t="shared" si="94"/>
        <v>25</v>
      </c>
      <c r="D334" s="357">
        <f t="shared" si="95"/>
        <v>11</v>
      </c>
      <c r="E334" s="357">
        <f t="shared" si="96"/>
        <v>54</v>
      </c>
      <c r="F334" s="356">
        <f t="shared" si="90"/>
        <v>586830.8369705518</v>
      </c>
      <c r="H334" s="356">
        <f t="shared" si="83"/>
        <v>4679.47150201431</v>
      </c>
      <c r="I334" s="356">
        <v>0</v>
      </c>
      <c r="J334" s="356">
        <v>0</v>
      </c>
      <c r="K334" s="356">
        <f t="shared" si="91"/>
        <v>-591.5103084725661</v>
      </c>
      <c r="L334" s="356">
        <f t="shared" si="84"/>
        <v>590918.7981640935</v>
      </c>
      <c r="N334" s="356">
        <f t="shared" si="92"/>
        <v>311</v>
      </c>
      <c r="O334" s="357">
        <f t="shared" si="97"/>
        <v>25</v>
      </c>
      <c r="P334" s="357">
        <f t="shared" si="98"/>
        <v>11</v>
      </c>
      <c r="Q334" s="357">
        <f t="shared" si="99"/>
        <v>25</v>
      </c>
      <c r="R334" s="356">
        <f t="shared" si="93"/>
        <v>9421138.63388536</v>
      </c>
      <c r="S334" s="356">
        <f>IF($G$17="si",S322*(1+$G$20),S322)</f>
        <v>10000</v>
      </c>
      <c r="U334" s="356">
        <f t="shared" si="100"/>
        <v>75205.22387106146</v>
      </c>
      <c r="V334" s="356">
        <f t="shared" si="101"/>
        <v>-203.1367284593416</v>
      </c>
      <c r="X334" s="356">
        <f t="shared" si="85"/>
        <v>-9506.343857756421</v>
      </c>
      <c r="Y334" s="356">
        <f t="shared" si="86"/>
        <v>9496634.377170205</v>
      </c>
      <c r="AA334" s="357">
        <f>+Bono!J334</f>
        <v>316489.53005860664</v>
      </c>
      <c r="AC334" s="378">
        <f t="shared" si="87"/>
        <v>25.916666666666668</v>
      </c>
      <c r="AD334" s="356">
        <f t="shared" si="88"/>
        <v>10404042.705392906</v>
      </c>
    </row>
    <row r="335" spans="2:30" x14ac:dyDescent="0.25">
      <c r="B335" s="356">
        <f t="shared" si="89"/>
        <v>312</v>
      </c>
      <c r="C335" s="357">
        <f t="shared" si="94"/>
        <v>25</v>
      </c>
      <c r="D335" s="357">
        <f t="shared" si="95"/>
        <v>12</v>
      </c>
      <c r="E335" s="357">
        <f t="shared" si="96"/>
        <v>54</v>
      </c>
      <c r="F335" s="356">
        <f t="shared" si="90"/>
        <v>590918.7981640935</v>
      </c>
      <c r="H335" s="356">
        <f t="shared" si="83"/>
        <v>4712.069478639522</v>
      </c>
      <c r="I335" s="356">
        <v>0</v>
      </c>
      <c r="J335" s="360">
        <f>-SUM(F335:H335)*$J$21</f>
        <v>-5360.677808784598</v>
      </c>
      <c r="K335" s="356">
        <f t="shared" si="91"/>
        <v>-590.2701898339484</v>
      </c>
      <c r="L335" s="356">
        <f t="shared" si="84"/>
        <v>589679.9196441144</v>
      </c>
      <c r="N335" s="356">
        <f t="shared" si="92"/>
        <v>312</v>
      </c>
      <c r="O335" s="357">
        <f t="shared" si="97"/>
        <v>25</v>
      </c>
      <c r="P335" s="357">
        <f t="shared" si="98"/>
        <v>12</v>
      </c>
      <c r="Q335" s="357">
        <f t="shared" si="99"/>
        <v>25</v>
      </c>
      <c r="R335" s="356">
        <f t="shared" si="93"/>
        <v>9496634.377170205</v>
      </c>
      <c r="S335" s="356">
        <f>IF($G$4="mensual",S334,0)</f>
        <v>10000</v>
      </c>
      <c r="U335" s="356">
        <f t="shared" si="100"/>
        <v>75807.23752979928</v>
      </c>
      <c r="V335" s="356">
        <f t="shared" si="101"/>
        <v>-203.1367284593416</v>
      </c>
      <c r="X335" s="356">
        <f t="shared" si="85"/>
        <v>-9582.441614700005</v>
      </c>
      <c r="Y335" s="356">
        <f t="shared" si="86"/>
        <v>9572656.036356844</v>
      </c>
      <c r="AA335" s="357">
        <f>+Bono!J335</f>
        <v>315582.8667036321</v>
      </c>
      <c r="AC335" s="378">
        <f t="shared" si="87"/>
        <v>26</v>
      </c>
      <c r="AD335" s="356">
        <f t="shared" si="88"/>
        <v>10477918.822704589</v>
      </c>
    </row>
    <row r="336" spans="2:30" x14ac:dyDescent="0.25">
      <c r="B336" s="356">
        <f t="shared" si="89"/>
        <v>313</v>
      </c>
      <c r="C336" s="357">
        <f t="shared" si="94"/>
        <v>26</v>
      </c>
      <c r="D336" s="357">
        <f t="shared" si="95"/>
        <v>1</v>
      </c>
      <c r="E336" s="357">
        <f t="shared" si="96"/>
        <v>55</v>
      </c>
      <c r="F336" s="356">
        <f t="shared" si="90"/>
        <v>589679.9196441144</v>
      </c>
      <c r="H336" s="356">
        <f t="shared" si="83"/>
        <v>4702.190487346856</v>
      </c>
      <c r="I336" s="356">
        <v>0</v>
      </c>
      <c r="J336" s="356">
        <v>0</v>
      </c>
      <c r="K336" s="356">
        <f t="shared" si="91"/>
        <v>-594.3821101314613</v>
      </c>
      <c r="L336" s="356">
        <f t="shared" si="84"/>
        <v>593787.7280213299</v>
      </c>
      <c r="N336" s="356">
        <f t="shared" si="92"/>
        <v>313</v>
      </c>
      <c r="O336" s="357">
        <f t="shared" si="97"/>
        <v>26</v>
      </c>
      <c r="P336" s="357">
        <f t="shared" si="98"/>
        <v>1</v>
      </c>
      <c r="Q336" s="357">
        <f t="shared" si="99"/>
        <v>26</v>
      </c>
      <c r="R336" s="356">
        <f t="shared" si="93"/>
        <v>9572656.036356844</v>
      </c>
      <c r="S336" s="356">
        <f>IF($G$17="si",S324*(1+$G$20),S324)</f>
        <v>10000</v>
      </c>
      <c r="U336" s="356">
        <f t="shared" si="100"/>
        <v>76413.44491579181</v>
      </c>
      <c r="V336" s="356">
        <f>V335*(1+$G$18)</f>
        <v>-211.26219759771527</v>
      </c>
      <c r="X336" s="356">
        <f t="shared" si="85"/>
        <v>-9659.069481272636</v>
      </c>
      <c r="Y336" s="356">
        <f t="shared" si="86"/>
        <v>9649199.149593767</v>
      </c>
      <c r="AA336" s="357">
        <f>+Bono!J336</f>
        <v>317539.5170825415</v>
      </c>
      <c r="AC336" s="378">
        <f t="shared" si="87"/>
        <v>26.083333333333332</v>
      </c>
      <c r="AD336" s="356">
        <f t="shared" si="88"/>
        <v>10560526.394697638</v>
      </c>
    </row>
    <row r="337" spans="2:30" x14ac:dyDescent="0.25">
      <c r="B337" s="356">
        <f t="shared" si="89"/>
        <v>314</v>
      </c>
      <c r="C337" s="357">
        <f t="shared" si="94"/>
        <v>26</v>
      </c>
      <c r="D337" s="357">
        <f t="shared" si="95"/>
        <v>2</v>
      </c>
      <c r="E337" s="357">
        <f t="shared" si="96"/>
        <v>55</v>
      </c>
      <c r="F337" s="356">
        <f t="shared" si="90"/>
        <v>593787.7280213299</v>
      </c>
      <c r="H337" s="356">
        <f t="shared" si="83"/>
        <v>4734.946728201799</v>
      </c>
      <c r="I337" s="356">
        <v>0</v>
      </c>
      <c r="J337" s="356">
        <v>0</v>
      </c>
      <c r="K337" s="356">
        <f t="shared" si="91"/>
        <v>-598.5226747495317</v>
      </c>
      <c r="L337" s="356">
        <f t="shared" si="84"/>
        <v>597924.1520747822</v>
      </c>
      <c r="N337" s="356">
        <f t="shared" si="92"/>
        <v>314</v>
      </c>
      <c r="O337" s="357">
        <f t="shared" si="97"/>
        <v>26</v>
      </c>
      <c r="P337" s="357">
        <f t="shared" si="98"/>
        <v>2</v>
      </c>
      <c r="Q337" s="357">
        <f t="shared" si="99"/>
        <v>26</v>
      </c>
      <c r="R337" s="356">
        <f t="shared" si="93"/>
        <v>9649199.149593767</v>
      </c>
      <c r="S337" s="356">
        <f>IF($G$4="mensual",S336,0)</f>
        <v>10000</v>
      </c>
      <c r="U337" s="356">
        <f t="shared" si="100"/>
        <v>77023.81044960851</v>
      </c>
      <c r="V337" s="356">
        <f>V336</f>
        <v>-211.26219759771527</v>
      </c>
      <c r="X337" s="356">
        <f t="shared" si="85"/>
        <v>-9736.222960043375</v>
      </c>
      <c r="Y337" s="356">
        <f t="shared" si="86"/>
        <v>9726275.474885734</v>
      </c>
      <c r="AA337" s="357">
        <f>+Bono!J337</f>
        <v>319508.2989207575</v>
      </c>
      <c r="AC337" s="378">
        <f t="shared" si="87"/>
        <v>26.166666666666668</v>
      </c>
      <c r="AD337" s="356">
        <f t="shared" si="88"/>
        <v>10643707.925881274</v>
      </c>
    </row>
    <row r="338" spans="2:30" x14ac:dyDescent="0.25">
      <c r="B338" s="356">
        <f t="shared" si="89"/>
        <v>315</v>
      </c>
      <c r="C338" s="357">
        <f t="shared" si="94"/>
        <v>26</v>
      </c>
      <c r="D338" s="357">
        <f t="shared" si="95"/>
        <v>3</v>
      </c>
      <c r="E338" s="357">
        <f t="shared" si="96"/>
        <v>55</v>
      </c>
      <c r="F338" s="356">
        <f t="shared" si="90"/>
        <v>597924.1520747822</v>
      </c>
      <c r="H338" s="356">
        <f t="shared" si="83"/>
        <v>4767.931154477523</v>
      </c>
      <c r="I338" s="356">
        <v>0</v>
      </c>
      <c r="J338" s="360">
        <f>-SUM(F338:H338)*$J$21</f>
        <v>-5424.228749063338</v>
      </c>
      <c r="K338" s="356">
        <f t="shared" si="91"/>
        <v>-597.2678544801964</v>
      </c>
      <c r="L338" s="356">
        <f t="shared" si="84"/>
        <v>596670.5866257162</v>
      </c>
      <c r="N338" s="356">
        <f t="shared" si="92"/>
        <v>315</v>
      </c>
      <c r="O338" s="357">
        <f t="shared" si="97"/>
        <v>26</v>
      </c>
      <c r="P338" s="357">
        <f t="shared" si="98"/>
        <v>3</v>
      </c>
      <c r="Q338" s="357">
        <f t="shared" si="99"/>
        <v>26</v>
      </c>
      <c r="R338" s="356">
        <f t="shared" si="93"/>
        <v>9726275.474885734</v>
      </c>
      <c r="S338" s="356">
        <f>IF($G$4="mensual",S337,0)</f>
        <v>10000</v>
      </c>
      <c r="U338" s="356">
        <f t="shared" si="100"/>
        <v>77638.42789123053</v>
      </c>
      <c r="V338" s="356">
        <f t="shared" si="101"/>
        <v>-211.26219759771527</v>
      </c>
      <c r="X338" s="356">
        <f t="shared" si="85"/>
        <v>-9813.913902776963</v>
      </c>
      <c r="Y338" s="356">
        <f t="shared" si="86"/>
        <v>9803888.72667659</v>
      </c>
      <c r="AA338" s="357">
        <f>+Bono!J338</f>
        <v>318592.98754793557</v>
      </c>
      <c r="AC338" s="378">
        <f t="shared" si="87"/>
        <v>26.25</v>
      </c>
      <c r="AD338" s="356">
        <f t="shared" si="88"/>
        <v>10719152.300850242</v>
      </c>
    </row>
    <row r="339" spans="2:30" x14ac:dyDescent="0.25">
      <c r="B339" s="356">
        <f t="shared" si="89"/>
        <v>316</v>
      </c>
      <c r="C339" s="357">
        <f t="shared" si="94"/>
        <v>26</v>
      </c>
      <c r="D339" s="357">
        <f t="shared" si="95"/>
        <v>4</v>
      </c>
      <c r="E339" s="357">
        <f t="shared" si="96"/>
        <v>55</v>
      </c>
      <c r="F339" s="356">
        <f t="shared" si="90"/>
        <v>596670.5866257162</v>
      </c>
      <c r="H339" s="356">
        <f t="shared" si="83"/>
        <v>4757.9350475498495</v>
      </c>
      <c r="I339" s="356">
        <v>0</v>
      </c>
      <c r="J339" s="356">
        <v>0</v>
      </c>
      <c r="K339" s="356">
        <f t="shared" si="91"/>
        <v>-601.4285216732661</v>
      </c>
      <c r="L339" s="356">
        <f t="shared" si="84"/>
        <v>600827.0931515928</v>
      </c>
      <c r="N339" s="356">
        <f t="shared" si="92"/>
        <v>316</v>
      </c>
      <c r="O339" s="357">
        <f t="shared" si="97"/>
        <v>26</v>
      </c>
      <c r="P339" s="357">
        <f t="shared" si="98"/>
        <v>4</v>
      </c>
      <c r="Q339" s="357">
        <f t="shared" si="99"/>
        <v>26</v>
      </c>
      <c r="R339" s="356">
        <f t="shared" si="93"/>
        <v>9803888.72667659</v>
      </c>
      <c r="S339" s="356">
        <f>IF($G$4="mensual",S336,IF($G$4="trimestral",S336,0))</f>
        <v>10000</v>
      </c>
      <c r="U339" s="356">
        <f t="shared" si="100"/>
        <v>78257.32686015469</v>
      </c>
      <c r="V339" s="356">
        <f t="shared" si="101"/>
        <v>-211.26219759771527</v>
      </c>
      <c r="X339" s="356">
        <f t="shared" si="85"/>
        <v>-9892.146053536744</v>
      </c>
      <c r="Y339" s="356">
        <f t="shared" si="86"/>
        <v>9882042.645285612</v>
      </c>
      <c r="AA339" s="357">
        <f>+Bono!J339</f>
        <v>320568.301025232</v>
      </c>
      <c r="AC339" s="378">
        <f t="shared" si="87"/>
        <v>26.333333333333332</v>
      </c>
      <c r="AD339" s="356">
        <f t="shared" si="88"/>
        <v>10803438.039462438</v>
      </c>
    </row>
    <row r="340" spans="2:30" x14ac:dyDescent="0.25">
      <c r="B340" s="356">
        <f t="shared" si="89"/>
        <v>317</v>
      </c>
      <c r="C340" s="357">
        <f t="shared" si="94"/>
        <v>26</v>
      </c>
      <c r="D340" s="357">
        <f t="shared" si="95"/>
        <v>5</v>
      </c>
      <c r="E340" s="357">
        <f t="shared" si="96"/>
        <v>55</v>
      </c>
      <c r="F340" s="356">
        <f t="shared" si="90"/>
        <v>600827.0931515928</v>
      </c>
      <c r="H340" s="356">
        <f t="shared" si="83"/>
        <v>4791.079614280844</v>
      </c>
      <c r="I340" s="356">
        <v>0</v>
      </c>
      <c r="J340" s="356">
        <v>0</v>
      </c>
      <c r="K340" s="356">
        <f t="shared" si="91"/>
        <v>-605.6181727658736</v>
      </c>
      <c r="L340" s="356">
        <f t="shared" si="84"/>
        <v>605012.5545931078</v>
      </c>
      <c r="N340" s="356">
        <f t="shared" si="92"/>
        <v>317</v>
      </c>
      <c r="O340" s="357">
        <f t="shared" si="97"/>
        <v>26</v>
      </c>
      <c r="P340" s="357">
        <f t="shared" si="98"/>
        <v>5</v>
      </c>
      <c r="Q340" s="357">
        <f t="shared" si="99"/>
        <v>26</v>
      </c>
      <c r="R340" s="356">
        <f t="shared" si="93"/>
        <v>9882042.645285612</v>
      </c>
      <c r="S340" s="356">
        <f>IF($G$4="mensual",S339,0)</f>
        <v>10000</v>
      </c>
      <c r="U340" s="356">
        <f t="shared" si="100"/>
        <v>78880.53718221214</v>
      </c>
      <c r="V340" s="356">
        <f t="shared" si="101"/>
        <v>-211.26219759771527</v>
      </c>
      <c r="X340" s="356">
        <f t="shared" si="85"/>
        <v>-9970.923182467825</v>
      </c>
      <c r="Y340" s="356">
        <f t="shared" si="86"/>
        <v>9960740.99708776</v>
      </c>
      <c r="AA340" s="357">
        <f>+Bono!J340</f>
        <v>322555.8616752099</v>
      </c>
      <c r="AC340" s="378">
        <f t="shared" si="87"/>
        <v>26.416666666666668</v>
      </c>
      <c r="AD340" s="356">
        <f t="shared" si="88"/>
        <v>10888309.413356079</v>
      </c>
    </row>
    <row r="341" spans="2:30" x14ac:dyDescent="0.25">
      <c r="B341" s="356">
        <f t="shared" si="89"/>
        <v>318</v>
      </c>
      <c r="C341" s="357">
        <f t="shared" si="94"/>
        <v>26</v>
      </c>
      <c r="D341" s="357">
        <f t="shared" si="95"/>
        <v>6</v>
      </c>
      <c r="E341" s="357">
        <f t="shared" si="96"/>
        <v>55</v>
      </c>
      <c r="F341" s="356">
        <f t="shared" si="90"/>
        <v>605012.5545931078</v>
      </c>
      <c r="H341" s="356">
        <f t="shared" si="83"/>
        <v>4824.455071575247</v>
      </c>
      <c r="I341" s="356">
        <v>0</v>
      </c>
      <c r="J341" s="360">
        <f>-SUM(F341:H341)*$J$21</f>
        <v>-5488.533086982148</v>
      </c>
      <c r="K341" s="356">
        <f t="shared" si="91"/>
        <v>-604.3484765777008</v>
      </c>
      <c r="L341" s="356">
        <f t="shared" si="84"/>
        <v>603744.1281011231</v>
      </c>
      <c r="N341" s="356">
        <f t="shared" si="92"/>
        <v>318</v>
      </c>
      <c r="O341" s="357">
        <f t="shared" si="97"/>
        <v>26</v>
      </c>
      <c r="P341" s="357">
        <f t="shared" si="98"/>
        <v>6</v>
      </c>
      <c r="Q341" s="357">
        <f t="shared" si="99"/>
        <v>26</v>
      </c>
      <c r="R341" s="356">
        <f t="shared" si="93"/>
        <v>9960740.99708776</v>
      </c>
      <c r="S341" s="356">
        <f>IF($G$4="mensual",S340,0)</f>
        <v>10000</v>
      </c>
      <c r="U341" s="356">
        <f t="shared" si="100"/>
        <v>79508.08889100574</v>
      </c>
      <c r="V341" s="356">
        <f t="shared" si="101"/>
        <v>-211.26219759771527</v>
      </c>
      <c r="X341" s="356">
        <f t="shared" si="85"/>
        <v>-10050.249085978765</v>
      </c>
      <c r="Y341" s="356">
        <f t="shared" si="86"/>
        <v>10039987.574695189</v>
      </c>
      <c r="AA341" s="357">
        <f>+Bono!J341</f>
        <v>321631.81979724</v>
      </c>
      <c r="AC341" s="378">
        <f t="shared" si="87"/>
        <v>26.5</v>
      </c>
      <c r="AD341" s="356">
        <f t="shared" si="88"/>
        <v>10965363.522593552</v>
      </c>
    </row>
    <row r="342" spans="2:30" x14ac:dyDescent="0.25">
      <c r="B342" s="356">
        <f t="shared" si="89"/>
        <v>319</v>
      </c>
      <c r="C342" s="357">
        <f t="shared" si="94"/>
        <v>26</v>
      </c>
      <c r="D342" s="357">
        <f t="shared" si="95"/>
        <v>7</v>
      </c>
      <c r="E342" s="357">
        <f t="shared" si="96"/>
        <v>55</v>
      </c>
      <c r="F342" s="356">
        <f t="shared" si="90"/>
        <v>603744.1281011231</v>
      </c>
      <c r="H342" s="356">
        <f t="shared" si="83"/>
        <v>4814.34046060442</v>
      </c>
      <c r="I342" s="356">
        <v>0</v>
      </c>
      <c r="J342" s="356">
        <v>0</v>
      </c>
      <c r="K342" s="356">
        <f t="shared" si="91"/>
        <v>-608.5584685617275</v>
      </c>
      <c r="L342" s="356">
        <f t="shared" si="84"/>
        <v>607949.9100931658</v>
      </c>
      <c r="N342" s="356">
        <f t="shared" si="92"/>
        <v>319</v>
      </c>
      <c r="O342" s="357">
        <f t="shared" si="97"/>
        <v>26</v>
      </c>
      <c r="P342" s="357">
        <f t="shared" si="98"/>
        <v>7</v>
      </c>
      <c r="Q342" s="357">
        <f t="shared" si="99"/>
        <v>26</v>
      </c>
      <c r="R342" s="356">
        <f t="shared" si="93"/>
        <v>10039987.574695189</v>
      </c>
      <c r="S342" s="356">
        <f>+IF($G$4="mensual",S336,IF($G$4="trimestral",S336,IF($G$4="semestral",S336,0)))</f>
        <v>10000</v>
      </c>
      <c r="U342" s="356">
        <f t="shared" si="100"/>
        <v>80140.0122293574</v>
      </c>
      <c r="V342" s="356">
        <f t="shared" si="101"/>
        <v>-211.26219759771527</v>
      </c>
      <c r="X342" s="356">
        <f t="shared" si="85"/>
        <v>-10130.127586924546</v>
      </c>
      <c r="Y342" s="356">
        <f t="shared" si="86"/>
        <v>10119786.197140023</v>
      </c>
      <c r="AA342" s="357">
        <f>+Bono!J342</f>
        <v>323625.9743869649</v>
      </c>
      <c r="AC342" s="378">
        <f t="shared" si="87"/>
        <v>26.583333333333332</v>
      </c>
      <c r="AD342" s="356">
        <f t="shared" si="88"/>
        <v>11051362.081620153</v>
      </c>
    </row>
    <row r="343" spans="2:30" x14ac:dyDescent="0.25">
      <c r="B343" s="356">
        <f t="shared" si="89"/>
        <v>320</v>
      </c>
      <c r="C343" s="357">
        <f t="shared" si="94"/>
        <v>26</v>
      </c>
      <c r="D343" s="357">
        <f t="shared" si="95"/>
        <v>8</v>
      </c>
      <c r="E343" s="357">
        <f t="shared" si="96"/>
        <v>55</v>
      </c>
      <c r="F343" s="356">
        <f t="shared" si="90"/>
        <v>607949.9100931658</v>
      </c>
      <c r="H343" s="356">
        <f t="shared" si="83"/>
        <v>4847.877956822323</v>
      </c>
      <c r="I343" s="356">
        <v>0</v>
      </c>
      <c r="J343" s="356">
        <v>0</v>
      </c>
      <c r="K343" s="356">
        <f t="shared" si="91"/>
        <v>-612.7977880499881</v>
      </c>
      <c r="L343" s="356">
        <f t="shared" si="84"/>
        <v>612184.9902619381</v>
      </c>
      <c r="N343" s="356">
        <f t="shared" si="92"/>
        <v>320</v>
      </c>
      <c r="O343" s="357">
        <f t="shared" si="97"/>
        <v>26</v>
      </c>
      <c r="P343" s="357">
        <f t="shared" si="98"/>
        <v>8</v>
      </c>
      <c r="Q343" s="357">
        <f t="shared" si="99"/>
        <v>26</v>
      </c>
      <c r="R343" s="356">
        <f t="shared" si="93"/>
        <v>10119786.197140023</v>
      </c>
      <c r="S343" s="356">
        <f>IF($G$4="mensual",S342,0)</f>
        <v>10000</v>
      </c>
      <c r="U343" s="356">
        <f t="shared" si="100"/>
        <v>80776.33765076558</v>
      </c>
      <c r="V343" s="356">
        <f t="shared" si="101"/>
        <v>-211.26219759771527</v>
      </c>
      <c r="X343" s="356">
        <f t="shared" si="85"/>
        <v>-10210.562534790788</v>
      </c>
      <c r="Y343" s="356">
        <f t="shared" si="86"/>
        <v>10200140.7100584</v>
      </c>
      <c r="AA343" s="357">
        <f>+Bono!J343</f>
        <v>325632.4929664537</v>
      </c>
      <c r="AC343" s="378">
        <f t="shared" si="87"/>
        <v>26.666666666666668</v>
      </c>
      <c r="AD343" s="356">
        <f t="shared" si="88"/>
        <v>11137958.193286793</v>
      </c>
    </row>
    <row r="344" spans="2:30" x14ac:dyDescent="0.25">
      <c r="B344" s="356">
        <f t="shared" si="89"/>
        <v>321</v>
      </c>
      <c r="C344" s="357">
        <f t="shared" si="94"/>
        <v>26</v>
      </c>
      <c r="D344" s="357">
        <f t="shared" si="95"/>
        <v>9</v>
      </c>
      <c r="E344" s="357">
        <f t="shared" si="96"/>
        <v>55</v>
      </c>
      <c r="F344" s="356">
        <f t="shared" si="90"/>
        <v>612184.9902619381</v>
      </c>
      <c r="H344" s="356">
        <f t="shared" ref="H344:H407" si="102">SUM(F344:G344)*$G$8</f>
        <v>4881.649080815778</v>
      </c>
      <c r="I344" s="356">
        <v>0</v>
      </c>
      <c r="J344" s="360">
        <f>-SUM(F344:H344)*$J$21</f>
        <v>-5553.599754084785</v>
      </c>
      <c r="K344" s="356">
        <f t="shared" si="91"/>
        <v>-611.513039588669</v>
      </c>
      <c r="L344" s="356">
        <f t="shared" ref="L344:L407" si="103">SUM(F344:K344)</f>
        <v>610901.5265490803</v>
      </c>
      <c r="N344" s="356">
        <f t="shared" si="92"/>
        <v>321</v>
      </c>
      <c r="O344" s="357">
        <f t="shared" si="97"/>
        <v>26</v>
      </c>
      <c r="P344" s="357">
        <f t="shared" si="98"/>
        <v>9</v>
      </c>
      <c r="Q344" s="357">
        <f t="shared" si="99"/>
        <v>26</v>
      </c>
      <c r="R344" s="356">
        <f t="shared" si="93"/>
        <v>10200140.7100584</v>
      </c>
      <c r="S344" s="356">
        <f>IF($G$4="mensual",S343,0)</f>
        <v>10000</v>
      </c>
      <c r="U344" s="356">
        <f t="shared" si="100"/>
        <v>81417.09582087288</v>
      </c>
      <c r="V344" s="356">
        <f t="shared" si="101"/>
        <v>-211.26219759771527</v>
      </c>
      <c r="X344" s="356">
        <f t="shared" ref="X344:X407" si="104">-SUM(R344:U344)*0.1%</f>
        <v>-10291.557805879273</v>
      </c>
      <c r="Y344" s="356">
        <f t="shared" ref="Y344:Y407" si="105">SUM(R344:X344)</f>
        <v>10281054.985875797</v>
      </c>
      <c r="AA344" s="357">
        <f>+Bono!J344</f>
        <v>324699.63730924757</v>
      </c>
      <c r="AC344" s="378">
        <f t="shared" ref="AC344:AC407" si="106">+B344/12</f>
        <v>26.75</v>
      </c>
      <c r="AD344" s="356">
        <f t="shared" ref="AD344:AD407" si="107">+AA344+Y344+L344</f>
        <v>11216656.149734125</v>
      </c>
    </row>
    <row r="345" spans="2:30" x14ac:dyDescent="0.25">
      <c r="B345" s="356">
        <f t="shared" ref="B345:B408" si="108">+B344+1</f>
        <v>322</v>
      </c>
      <c r="C345" s="357">
        <f t="shared" si="94"/>
        <v>26</v>
      </c>
      <c r="D345" s="357">
        <f t="shared" si="95"/>
        <v>10</v>
      </c>
      <c r="E345" s="357">
        <f t="shared" si="96"/>
        <v>55</v>
      </c>
      <c r="F345" s="356">
        <f t="shared" ref="F345:F408" si="109">L344</f>
        <v>610901.5265490803</v>
      </c>
      <c r="H345" s="356">
        <f t="shared" si="102"/>
        <v>4871.414560934048</v>
      </c>
      <c r="I345" s="356">
        <v>0</v>
      </c>
      <c r="J345" s="356">
        <v>0</v>
      </c>
      <c r="K345" s="356">
        <f t="shared" ref="K345:K408" si="110">-SUM(F345:J345)*0.1%</f>
        <v>-615.7729411100144</v>
      </c>
      <c r="L345" s="356">
        <f t="shared" si="103"/>
        <v>615157.1681689044</v>
      </c>
      <c r="N345" s="356">
        <f t="shared" ref="N345:N408" si="111">+N344+1</f>
        <v>322</v>
      </c>
      <c r="O345" s="357">
        <f t="shared" si="97"/>
        <v>26</v>
      </c>
      <c r="P345" s="357">
        <f t="shared" si="98"/>
        <v>10</v>
      </c>
      <c r="Q345" s="357">
        <f t="shared" si="99"/>
        <v>26</v>
      </c>
      <c r="R345" s="356">
        <f t="shared" ref="R345:R408" si="112">Y344</f>
        <v>10281054.985875797</v>
      </c>
      <c r="S345" s="356">
        <f>IF($G$4="mensual",S336,IF($G$4="trimestral",S336,0))</f>
        <v>10000</v>
      </c>
      <c r="U345" s="356">
        <f t="shared" si="100"/>
        <v>82062.31761894385</v>
      </c>
      <c r="V345" s="356">
        <f t="shared" si="101"/>
        <v>-211.26219759771527</v>
      </c>
      <c r="X345" s="356">
        <f t="shared" si="104"/>
        <v>-10373.11730349474</v>
      </c>
      <c r="Y345" s="356">
        <f t="shared" si="105"/>
        <v>10362532.923993649</v>
      </c>
      <c r="AA345" s="357">
        <f>+Bono!J345</f>
        <v>326712.8127233917</v>
      </c>
      <c r="AC345" s="378">
        <f t="shared" si="106"/>
        <v>26.833333333333332</v>
      </c>
      <c r="AD345" s="356">
        <f t="shared" si="107"/>
        <v>11304402.904885946</v>
      </c>
    </row>
    <row r="346" spans="2:30" x14ac:dyDescent="0.25">
      <c r="B346" s="356">
        <f t="shared" si="108"/>
        <v>323</v>
      </c>
      <c r="C346" s="357">
        <f t="shared" si="94"/>
        <v>26</v>
      </c>
      <c r="D346" s="357">
        <f t="shared" si="95"/>
        <v>11</v>
      </c>
      <c r="E346" s="357">
        <f t="shared" si="96"/>
        <v>55</v>
      </c>
      <c r="F346" s="356">
        <f t="shared" si="109"/>
        <v>615157.1681689044</v>
      </c>
      <c r="H346" s="356">
        <f t="shared" si="102"/>
        <v>4905.349644825612</v>
      </c>
      <c r="I346" s="356">
        <v>0</v>
      </c>
      <c r="J346" s="356">
        <v>0</v>
      </c>
      <c r="K346" s="356">
        <f t="shared" si="110"/>
        <v>-620.06251781373</v>
      </c>
      <c r="L346" s="356">
        <f t="shared" si="103"/>
        <v>619442.4552959162</v>
      </c>
      <c r="N346" s="356">
        <f t="shared" si="111"/>
        <v>323</v>
      </c>
      <c r="O346" s="357">
        <f t="shared" si="97"/>
        <v>26</v>
      </c>
      <c r="P346" s="357">
        <f t="shared" si="98"/>
        <v>11</v>
      </c>
      <c r="Q346" s="357">
        <f t="shared" si="99"/>
        <v>26</v>
      </c>
      <c r="R346" s="356">
        <f t="shared" si="112"/>
        <v>10362532.923993649</v>
      </c>
      <c r="S346" s="356">
        <f>IF($G$17="si",S334*(1+$G$20),S334)</f>
        <v>10000</v>
      </c>
      <c r="U346" s="356">
        <f t="shared" si="100"/>
        <v>82712.03413935313</v>
      </c>
      <c r="V346" s="356">
        <f t="shared" si="101"/>
        <v>-211.26219759771527</v>
      </c>
      <c r="X346" s="356">
        <f t="shared" si="104"/>
        <v>-10455.244958133004</v>
      </c>
      <c r="Y346" s="356">
        <f t="shared" si="105"/>
        <v>10444578.450977273</v>
      </c>
      <c r="AA346" s="357">
        <f>+Bono!J346</f>
        <v>328738.47005861736</v>
      </c>
      <c r="AC346" s="378">
        <f t="shared" si="106"/>
        <v>26.916666666666668</v>
      </c>
      <c r="AD346" s="356">
        <f t="shared" si="107"/>
        <v>11392759.376331808</v>
      </c>
    </row>
    <row r="347" spans="2:30" x14ac:dyDescent="0.25">
      <c r="B347" s="356">
        <f t="shared" si="108"/>
        <v>324</v>
      </c>
      <c r="C347" s="357">
        <f t="shared" si="94"/>
        <v>26</v>
      </c>
      <c r="D347" s="357">
        <f t="shared" si="95"/>
        <v>12</v>
      </c>
      <c r="E347" s="357">
        <f t="shared" si="96"/>
        <v>55</v>
      </c>
      <c r="F347" s="356">
        <f t="shared" si="109"/>
        <v>619442.4552959162</v>
      </c>
      <c r="H347" s="356">
        <f t="shared" si="102"/>
        <v>4939.521126154578</v>
      </c>
      <c r="I347" s="356">
        <v>0</v>
      </c>
      <c r="J347" s="360">
        <f>-SUM(F347:H347)*$J$21</f>
        <v>-5619.437787798637</v>
      </c>
      <c r="K347" s="356">
        <f t="shared" si="110"/>
        <v>-618.7625386342722</v>
      </c>
      <c r="L347" s="356">
        <f t="shared" si="103"/>
        <v>618143.7760956379</v>
      </c>
      <c r="N347" s="356">
        <f t="shared" si="111"/>
        <v>324</v>
      </c>
      <c r="O347" s="357">
        <f t="shared" si="97"/>
        <v>26</v>
      </c>
      <c r="P347" s="357">
        <f t="shared" si="98"/>
        <v>12</v>
      </c>
      <c r="Q347" s="357">
        <f t="shared" si="99"/>
        <v>26</v>
      </c>
      <c r="R347" s="356">
        <f t="shared" si="112"/>
        <v>10444578.450977273</v>
      </c>
      <c r="S347" s="356">
        <f>IF($G$4="mensual",S346,0)</f>
        <v>10000</v>
      </c>
      <c r="U347" s="356">
        <f t="shared" si="100"/>
        <v>83366.27669308397</v>
      </c>
      <c r="V347" s="356">
        <f t="shared" si="101"/>
        <v>-211.26219759771527</v>
      </c>
      <c r="X347" s="356">
        <f t="shared" si="104"/>
        <v>-10537.944727670358</v>
      </c>
      <c r="Y347" s="356">
        <f t="shared" si="105"/>
        <v>10527195.52074509</v>
      </c>
      <c r="AA347" s="357">
        <f>+Bono!J347</f>
        <v>327796.71655379416</v>
      </c>
      <c r="AC347" s="378">
        <f t="shared" si="106"/>
        <v>27</v>
      </c>
      <c r="AD347" s="356">
        <f t="shared" si="107"/>
        <v>11473136.013394522</v>
      </c>
    </row>
    <row r="348" spans="2:30" x14ac:dyDescent="0.25">
      <c r="B348" s="356">
        <f t="shared" si="108"/>
        <v>325</v>
      </c>
      <c r="C348" s="357">
        <f t="shared" si="94"/>
        <v>27</v>
      </c>
      <c r="D348" s="357">
        <f t="shared" si="95"/>
        <v>1</v>
      </c>
      <c r="E348" s="357">
        <f t="shared" si="96"/>
        <v>56</v>
      </c>
      <c r="F348" s="356">
        <f t="shared" si="109"/>
        <v>618143.7760956379</v>
      </c>
      <c r="H348" s="356">
        <f t="shared" si="102"/>
        <v>4929.165275839463</v>
      </c>
      <c r="I348" s="356">
        <v>0</v>
      </c>
      <c r="J348" s="356">
        <v>0</v>
      </c>
      <c r="K348" s="356">
        <f t="shared" si="110"/>
        <v>-623.0729413714774</v>
      </c>
      <c r="L348" s="356">
        <f t="shared" si="103"/>
        <v>622449.868430106</v>
      </c>
      <c r="N348" s="356">
        <f t="shared" si="111"/>
        <v>325</v>
      </c>
      <c r="O348" s="357">
        <f t="shared" si="97"/>
        <v>27</v>
      </c>
      <c r="P348" s="357">
        <f t="shared" si="98"/>
        <v>1</v>
      </c>
      <c r="Q348" s="357">
        <f t="shared" si="99"/>
        <v>27</v>
      </c>
      <c r="R348" s="356">
        <f t="shared" si="112"/>
        <v>10527195.52074509</v>
      </c>
      <c r="S348" s="356">
        <f>IF($G$17="si",S336*(1+$G$20),S336)</f>
        <v>10000</v>
      </c>
      <c r="U348" s="356">
        <f t="shared" si="100"/>
        <v>84025.07680923707</v>
      </c>
      <c r="V348" s="356">
        <f>V347*(1+$G$18)</f>
        <v>-219.7126855016239</v>
      </c>
      <c r="X348" s="356">
        <f t="shared" si="104"/>
        <v>-10621.220597554326</v>
      </c>
      <c r="Y348" s="356">
        <f t="shared" si="105"/>
        <v>10610379.66427127</v>
      </c>
      <c r="AA348" s="357">
        <f>+Bono!J348</f>
        <v>329829.09421849344</v>
      </c>
      <c r="AC348" s="378">
        <f t="shared" si="106"/>
        <v>27.083333333333332</v>
      </c>
      <c r="AD348" s="356">
        <f t="shared" si="107"/>
        <v>11562658.626919871</v>
      </c>
    </row>
    <row r="349" spans="2:30" x14ac:dyDescent="0.25">
      <c r="B349" s="356">
        <f t="shared" si="108"/>
        <v>326</v>
      </c>
      <c r="C349" s="357">
        <f t="shared" si="94"/>
        <v>27</v>
      </c>
      <c r="D349" s="357">
        <f t="shared" si="95"/>
        <v>2</v>
      </c>
      <c r="E349" s="357">
        <f t="shared" si="96"/>
        <v>56</v>
      </c>
      <c r="F349" s="356">
        <f t="shared" si="109"/>
        <v>622449.868430106</v>
      </c>
      <c r="H349" s="356">
        <f t="shared" si="102"/>
        <v>4963.502660814337</v>
      </c>
      <c r="I349" s="356">
        <v>0</v>
      </c>
      <c r="J349" s="356">
        <v>0</v>
      </c>
      <c r="K349" s="356">
        <f t="shared" si="110"/>
        <v>-627.4133710909204</v>
      </c>
      <c r="L349" s="356">
        <f t="shared" si="103"/>
        <v>626785.9577198294</v>
      </c>
      <c r="N349" s="356">
        <f t="shared" si="111"/>
        <v>326</v>
      </c>
      <c r="O349" s="357">
        <f t="shared" si="97"/>
        <v>27</v>
      </c>
      <c r="P349" s="357">
        <f t="shared" si="98"/>
        <v>2</v>
      </c>
      <c r="Q349" s="357">
        <f t="shared" si="99"/>
        <v>27</v>
      </c>
      <c r="R349" s="356">
        <f t="shared" si="112"/>
        <v>10610379.66427127</v>
      </c>
      <c r="S349" s="356">
        <f>IF($G$4="mensual",S348,0)</f>
        <v>10000</v>
      </c>
      <c r="U349" s="356">
        <f t="shared" si="100"/>
        <v>84688.39885117293</v>
      </c>
      <c r="V349" s="356">
        <f>V348</f>
        <v>-219.7126855016239</v>
      </c>
      <c r="X349" s="356">
        <f t="shared" si="104"/>
        <v>-10705.068063122444</v>
      </c>
      <c r="Y349" s="356">
        <f t="shared" si="105"/>
        <v>10694143.28237382</v>
      </c>
      <c r="AA349" s="357">
        <f>+Bono!J349</f>
        <v>331874.072860455</v>
      </c>
      <c r="AC349" s="378">
        <f t="shared" si="106"/>
        <v>27.166666666666668</v>
      </c>
      <c r="AD349" s="356">
        <f t="shared" si="107"/>
        <v>11652803.312954104</v>
      </c>
    </row>
    <row r="350" spans="2:30" x14ac:dyDescent="0.25">
      <c r="B350" s="356">
        <f t="shared" si="108"/>
        <v>327</v>
      </c>
      <c r="C350" s="357">
        <f t="shared" si="94"/>
        <v>27</v>
      </c>
      <c r="D350" s="357">
        <f t="shared" si="95"/>
        <v>3</v>
      </c>
      <c r="E350" s="357">
        <f t="shared" si="96"/>
        <v>56</v>
      </c>
      <c r="F350" s="356">
        <f t="shared" si="109"/>
        <v>626785.9577198294</v>
      </c>
      <c r="H350" s="356">
        <f t="shared" si="102"/>
        <v>4998.079245722857</v>
      </c>
      <c r="I350" s="356">
        <v>0</v>
      </c>
      <c r="J350" s="360">
        <f>-SUM(F350:H350)*$J$21</f>
        <v>-5686.056332689971</v>
      </c>
      <c r="K350" s="356">
        <f t="shared" si="110"/>
        <v>-626.0979806328623</v>
      </c>
      <c r="L350" s="356">
        <f t="shared" si="103"/>
        <v>625471.8826522294</v>
      </c>
      <c r="N350" s="356">
        <f t="shared" si="111"/>
        <v>327</v>
      </c>
      <c r="O350" s="357">
        <f t="shared" si="97"/>
        <v>27</v>
      </c>
      <c r="P350" s="357">
        <f t="shared" si="98"/>
        <v>3</v>
      </c>
      <c r="Q350" s="357">
        <f t="shared" si="99"/>
        <v>27</v>
      </c>
      <c r="R350" s="356">
        <f t="shared" si="112"/>
        <v>10694143.28237382</v>
      </c>
      <c r="S350" s="356">
        <f>IF($G$4="mensual",S349,0)</f>
        <v>10000</v>
      </c>
      <c r="U350" s="356">
        <f t="shared" si="100"/>
        <v>85356.34170475572</v>
      </c>
      <c r="V350" s="356">
        <f t="shared" si="101"/>
        <v>-219.7126855016239</v>
      </c>
      <c r="X350" s="356">
        <f t="shared" si="104"/>
        <v>-10789.499624078575</v>
      </c>
      <c r="Y350" s="356">
        <f t="shared" si="105"/>
        <v>10778490.411768995</v>
      </c>
      <c r="AA350" s="357">
        <f>+Bono!J350</f>
        <v>330923.33663776534</v>
      </c>
      <c r="AC350" s="378">
        <f t="shared" si="106"/>
        <v>27.25</v>
      </c>
      <c r="AD350" s="356">
        <f t="shared" si="107"/>
        <v>11734885.63105899</v>
      </c>
    </row>
    <row r="351" spans="2:30" x14ac:dyDescent="0.25">
      <c r="B351" s="356">
        <f t="shared" si="108"/>
        <v>328</v>
      </c>
      <c r="C351" s="357">
        <f t="shared" si="94"/>
        <v>27</v>
      </c>
      <c r="D351" s="357">
        <f t="shared" si="95"/>
        <v>4</v>
      </c>
      <c r="E351" s="357">
        <f t="shared" si="96"/>
        <v>56</v>
      </c>
      <c r="F351" s="356">
        <f t="shared" si="109"/>
        <v>625471.8826522294</v>
      </c>
      <c r="H351" s="356">
        <f t="shared" si="102"/>
        <v>4987.600626599694</v>
      </c>
      <c r="I351" s="356">
        <v>0</v>
      </c>
      <c r="J351" s="356">
        <v>0</v>
      </c>
      <c r="K351" s="356">
        <f t="shared" si="110"/>
        <v>-630.4594832788291</v>
      </c>
      <c r="L351" s="356">
        <f t="shared" si="103"/>
        <v>629829.0237955503</v>
      </c>
      <c r="N351" s="356">
        <f t="shared" si="111"/>
        <v>328</v>
      </c>
      <c r="O351" s="357">
        <f t="shared" si="97"/>
        <v>27</v>
      </c>
      <c r="P351" s="357">
        <f t="shared" si="98"/>
        <v>4</v>
      </c>
      <c r="Q351" s="357">
        <f t="shared" si="99"/>
        <v>27</v>
      </c>
      <c r="R351" s="356">
        <f t="shared" si="112"/>
        <v>10778490.411768995</v>
      </c>
      <c r="S351" s="356">
        <f>IF($G$4="mensual",S348,IF($G$4="trimestral",S348,0))</f>
        <v>10000</v>
      </c>
      <c r="U351" s="356">
        <f t="shared" si="100"/>
        <v>86028.93755932777</v>
      </c>
      <c r="V351" s="356">
        <f t="shared" si="101"/>
        <v>-219.7126855016239</v>
      </c>
      <c r="X351" s="356">
        <f t="shared" si="104"/>
        <v>-10874.519349328322</v>
      </c>
      <c r="Y351" s="356">
        <f t="shared" si="105"/>
        <v>10863425.117293492</v>
      </c>
      <c r="AA351" s="357">
        <f>+Bono!J351</f>
        <v>332975.0997096507</v>
      </c>
      <c r="AC351" s="378">
        <f t="shared" si="106"/>
        <v>27.333333333333332</v>
      </c>
      <c r="AD351" s="356">
        <f t="shared" si="107"/>
        <v>11826229.240798693</v>
      </c>
    </row>
    <row r="352" spans="2:30" x14ac:dyDescent="0.25">
      <c r="B352" s="356">
        <f t="shared" si="108"/>
        <v>329</v>
      </c>
      <c r="C352" s="357">
        <f t="shared" si="94"/>
        <v>27</v>
      </c>
      <c r="D352" s="357">
        <f t="shared" si="95"/>
        <v>5</v>
      </c>
      <c r="E352" s="357">
        <f t="shared" si="96"/>
        <v>56</v>
      </c>
      <c r="F352" s="356">
        <f t="shared" si="109"/>
        <v>629829.0237955503</v>
      </c>
      <c r="H352" s="356">
        <f t="shared" si="102"/>
        <v>5022.345081945089</v>
      </c>
      <c r="I352" s="356">
        <v>0</v>
      </c>
      <c r="J352" s="356">
        <v>0</v>
      </c>
      <c r="K352" s="356">
        <f t="shared" si="110"/>
        <v>-634.8513688774955</v>
      </c>
      <c r="L352" s="356">
        <f t="shared" si="103"/>
        <v>634216.517508618</v>
      </c>
      <c r="N352" s="356">
        <f t="shared" si="111"/>
        <v>329</v>
      </c>
      <c r="O352" s="357">
        <f t="shared" si="97"/>
        <v>27</v>
      </c>
      <c r="P352" s="357">
        <f t="shared" si="98"/>
        <v>5</v>
      </c>
      <c r="Q352" s="357">
        <f t="shared" si="99"/>
        <v>27</v>
      </c>
      <c r="R352" s="356">
        <f t="shared" si="112"/>
        <v>10863425.117293492</v>
      </c>
      <c r="S352" s="356">
        <f>IF($G$4="mensual",S351,0)</f>
        <v>10000</v>
      </c>
      <c r="U352" s="356">
        <f t="shared" si="100"/>
        <v>86706.2188284677</v>
      </c>
      <c r="V352" s="356">
        <f t="shared" si="101"/>
        <v>-219.7126855016239</v>
      </c>
      <c r="X352" s="356">
        <f t="shared" si="104"/>
        <v>-10960.13133612196</v>
      </c>
      <c r="Y352" s="356">
        <f t="shared" si="105"/>
        <v>10948951.492100336</v>
      </c>
      <c r="AA352" s="357">
        <f>+Bono!J352</f>
        <v>335039.58395057154</v>
      </c>
      <c r="AC352" s="378">
        <f t="shared" si="106"/>
        <v>27.416666666666668</v>
      </c>
      <c r="AD352" s="356">
        <f t="shared" si="107"/>
        <v>11918207.593559526</v>
      </c>
    </row>
    <row r="353" spans="2:30" x14ac:dyDescent="0.25">
      <c r="B353" s="356">
        <f t="shared" si="108"/>
        <v>330</v>
      </c>
      <c r="C353" s="357">
        <f t="shared" si="94"/>
        <v>27</v>
      </c>
      <c r="D353" s="357">
        <f t="shared" si="95"/>
        <v>6</v>
      </c>
      <c r="E353" s="357">
        <f t="shared" si="96"/>
        <v>56</v>
      </c>
      <c r="F353" s="356">
        <f t="shared" si="109"/>
        <v>634216.517508618</v>
      </c>
      <c r="H353" s="356">
        <f t="shared" si="102"/>
        <v>5057.331572944023</v>
      </c>
      <c r="I353" s="356">
        <v>0</v>
      </c>
      <c r="J353" s="360">
        <f>-SUM(F353:H353)*$J$21</f>
        <v>-5753.464641734059</v>
      </c>
      <c r="K353" s="356">
        <f t="shared" si="110"/>
        <v>-633.520384439828</v>
      </c>
      <c r="L353" s="356">
        <f t="shared" si="103"/>
        <v>632886.8640553881</v>
      </c>
      <c r="N353" s="356">
        <f t="shared" si="111"/>
        <v>330</v>
      </c>
      <c r="O353" s="357">
        <f t="shared" si="97"/>
        <v>27</v>
      </c>
      <c r="P353" s="357">
        <f t="shared" si="98"/>
        <v>6</v>
      </c>
      <c r="Q353" s="357">
        <f t="shared" si="99"/>
        <v>27</v>
      </c>
      <c r="R353" s="356">
        <f t="shared" si="112"/>
        <v>10948951.492100336</v>
      </c>
      <c r="S353" s="356">
        <f>IF($G$4="mensual",S352,0)</f>
        <v>10000</v>
      </c>
      <c r="U353" s="356">
        <f t="shared" si="100"/>
        <v>87388.21815155252</v>
      </c>
      <c r="V353" s="356">
        <f t="shared" si="101"/>
        <v>-219.7126855016239</v>
      </c>
      <c r="X353" s="356">
        <f t="shared" si="104"/>
        <v>-11046.339710251888</v>
      </c>
      <c r="Y353" s="356">
        <f t="shared" si="105"/>
        <v>11035073.657856135</v>
      </c>
      <c r="AA353" s="357">
        <f>+Bono!J353</f>
        <v>334079.7793302492</v>
      </c>
      <c r="AC353" s="378">
        <f t="shared" si="106"/>
        <v>27.5</v>
      </c>
      <c r="AD353" s="356">
        <f t="shared" si="107"/>
        <v>12002040.301241772</v>
      </c>
    </row>
    <row r="354" spans="2:30" x14ac:dyDescent="0.25">
      <c r="B354" s="356">
        <f t="shared" si="108"/>
        <v>331</v>
      </c>
      <c r="C354" s="357">
        <f t="shared" si="94"/>
        <v>27</v>
      </c>
      <c r="D354" s="357">
        <f t="shared" si="95"/>
        <v>7</v>
      </c>
      <c r="E354" s="357">
        <f t="shared" si="96"/>
        <v>56</v>
      </c>
      <c r="F354" s="356">
        <f t="shared" si="109"/>
        <v>632886.8640553881</v>
      </c>
      <c r="H354" s="356">
        <f t="shared" si="102"/>
        <v>5046.728729586192</v>
      </c>
      <c r="I354" s="356">
        <v>0</v>
      </c>
      <c r="J354" s="356">
        <v>0</v>
      </c>
      <c r="K354" s="356">
        <f t="shared" si="110"/>
        <v>-637.9335927849744</v>
      </c>
      <c r="L354" s="356">
        <f t="shared" si="103"/>
        <v>637295.6591921895</v>
      </c>
      <c r="N354" s="356">
        <f t="shared" si="111"/>
        <v>331</v>
      </c>
      <c r="O354" s="357">
        <f t="shared" si="97"/>
        <v>27</v>
      </c>
      <c r="P354" s="357">
        <f t="shared" si="98"/>
        <v>7</v>
      </c>
      <c r="Q354" s="357">
        <f t="shared" si="99"/>
        <v>27</v>
      </c>
      <c r="R354" s="356">
        <f t="shared" si="112"/>
        <v>11035073.657856135</v>
      </c>
      <c r="S354" s="356">
        <f>+IF($G$4="mensual",S348,IF($G$4="trimestral",S348,IF($G$4="semestral",S348,0)))</f>
        <v>10000</v>
      </c>
      <c r="U354" s="356">
        <f t="shared" si="100"/>
        <v>88074.96839533058</v>
      </c>
      <c r="V354" s="356">
        <f t="shared" si="101"/>
        <v>-219.7126855016239</v>
      </c>
      <c r="X354" s="356">
        <f t="shared" si="104"/>
        <v>-11133.148626251465</v>
      </c>
      <c r="Y354" s="356">
        <f t="shared" si="105"/>
        <v>11121795.764939712</v>
      </c>
      <c r="AA354" s="357">
        <f>+Bono!J354</f>
        <v>336151.1127129526</v>
      </c>
      <c r="AC354" s="378">
        <f t="shared" si="106"/>
        <v>27.583333333333332</v>
      </c>
      <c r="AD354" s="356">
        <f t="shared" si="107"/>
        <v>12095242.536844855</v>
      </c>
    </row>
    <row r="355" spans="2:30" x14ac:dyDescent="0.25">
      <c r="B355" s="356">
        <f t="shared" si="108"/>
        <v>332</v>
      </c>
      <c r="C355" s="357">
        <f t="shared" si="94"/>
        <v>27</v>
      </c>
      <c r="D355" s="357">
        <f t="shared" si="95"/>
        <v>8</v>
      </c>
      <c r="E355" s="357">
        <f t="shared" si="96"/>
        <v>56</v>
      </c>
      <c r="F355" s="356">
        <f t="shared" si="109"/>
        <v>637295.6591921895</v>
      </c>
      <c r="H355" s="356">
        <f t="shared" si="102"/>
        <v>5081.885081129313</v>
      </c>
      <c r="I355" s="356">
        <v>0</v>
      </c>
      <c r="J355" s="356">
        <v>0</v>
      </c>
      <c r="K355" s="356">
        <f t="shared" si="110"/>
        <v>-642.3775442733188</v>
      </c>
      <c r="L355" s="356">
        <f t="shared" si="103"/>
        <v>641735.1667290454</v>
      </c>
      <c r="N355" s="356">
        <f t="shared" si="111"/>
        <v>332</v>
      </c>
      <c r="O355" s="357">
        <f t="shared" si="97"/>
        <v>27</v>
      </c>
      <c r="P355" s="357">
        <f t="shared" si="98"/>
        <v>8</v>
      </c>
      <c r="Q355" s="357">
        <f t="shared" si="99"/>
        <v>27</v>
      </c>
      <c r="R355" s="356">
        <f t="shared" si="112"/>
        <v>11121795.764939712</v>
      </c>
      <c r="S355" s="356">
        <f>IF($G$4="mensual",S354,0)</f>
        <v>10000</v>
      </c>
      <c r="U355" s="356">
        <f t="shared" si="100"/>
        <v>88766.50265550546</v>
      </c>
      <c r="V355" s="356">
        <f t="shared" si="101"/>
        <v>-219.7126855016239</v>
      </c>
      <c r="X355" s="356">
        <f t="shared" si="104"/>
        <v>-11220.562267595218</v>
      </c>
      <c r="Y355" s="356">
        <f t="shared" si="105"/>
        <v>11209121.992642121</v>
      </c>
      <c r="AA355" s="357">
        <f>+Bono!J355</f>
        <v>338235.28860288864</v>
      </c>
      <c r="AC355" s="378">
        <f t="shared" si="106"/>
        <v>27.666666666666668</v>
      </c>
      <c r="AD355" s="356">
        <f t="shared" si="107"/>
        <v>12189092.447974056</v>
      </c>
    </row>
    <row r="356" spans="2:30" x14ac:dyDescent="0.25">
      <c r="B356" s="356">
        <f t="shared" si="108"/>
        <v>333</v>
      </c>
      <c r="C356" s="357">
        <f t="shared" ref="C356:C419" si="113">C344+1</f>
        <v>27</v>
      </c>
      <c r="D356" s="357">
        <f t="shared" ref="D356:D419" si="114">D344</f>
        <v>9</v>
      </c>
      <c r="E356" s="357">
        <f t="shared" ref="E356:E419" si="115">E344+1</f>
        <v>56</v>
      </c>
      <c r="F356" s="356">
        <f t="shared" si="109"/>
        <v>641735.1667290454</v>
      </c>
      <c r="H356" s="356">
        <f t="shared" si="102"/>
        <v>5117.2863376633795</v>
      </c>
      <c r="I356" s="356">
        <v>0</v>
      </c>
      <c r="J356" s="360">
        <f>-SUM(F356:H356)*$J$21</f>
        <v>-5821.67207760038</v>
      </c>
      <c r="K356" s="356">
        <f t="shared" si="110"/>
        <v>-641.0307809891085</v>
      </c>
      <c r="L356" s="356">
        <f t="shared" si="103"/>
        <v>640389.7502081194</v>
      </c>
      <c r="N356" s="356">
        <f t="shared" si="111"/>
        <v>333</v>
      </c>
      <c r="O356" s="357">
        <f t="shared" ref="O356:O419" si="116">O344+1</f>
        <v>27</v>
      </c>
      <c r="P356" s="357">
        <f t="shared" ref="P356:P419" si="117">P344</f>
        <v>9</v>
      </c>
      <c r="Q356" s="357">
        <f t="shared" ref="Q356:Q419" si="118">Q344+1</f>
        <v>27</v>
      </c>
      <c r="R356" s="356">
        <f t="shared" si="112"/>
        <v>11209121.992642121</v>
      </c>
      <c r="S356" s="356">
        <f>IF($G$4="mensual",S355,0)</f>
        <v>10000</v>
      </c>
      <c r="U356" s="356">
        <f t="shared" ref="U356:U419" si="119">SUM(R356:T356)*$G$8</f>
        <v>89462.8542583309</v>
      </c>
      <c r="V356" s="356">
        <f t="shared" si="101"/>
        <v>-219.7126855016239</v>
      </c>
      <c r="X356" s="356">
        <f t="shared" si="104"/>
        <v>-11308.584846900452</v>
      </c>
      <c r="Y356" s="356">
        <f t="shared" si="105"/>
        <v>11297056.54936805</v>
      </c>
      <c r="AA356" s="357">
        <f>+Bono!J356</f>
        <v>337266.32908792875</v>
      </c>
      <c r="AC356" s="378">
        <f t="shared" si="106"/>
        <v>27.75</v>
      </c>
      <c r="AD356" s="356">
        <f t="shared" si="107"/>
        <v>12274712.628664097</v>
      </c>
    </row>
    <row r="357" spans="2:30" x14ac:dyDescent="0.25">
      <c r="B357" s="356">
        <f t="shared" si="108"/>
        <v>334</v>
      </c>
      <c r="C357" s="357">
        <f t="shared" si="113"/>
        <v>27</v>
      </c>
      <c r="D357" s="357">
        <f t="shared" si="114"/>
        <v>10</v>
      </c>
      <c r="E357" s="357">
        <f t="shared" si="115"/>
        <v>56</v>
      </c>
      <c r="F357" s="356">
        <f t="shared" si="109"/>
        <v>640389.7502081194</v>
      </c>
      <c r="H357" s="356">
        <f t="shared" si="102"/>
        <v>5106.557797390147</v>
      </c>
      <c r="I357" s="356">
        <v>0</v>
      </c>
      <c r="J357" s="356">
        <v>0</v>
      </c>
      <c r="K357" s="356">
        <f t="shared" si="110"/>
        <v>-645.4963080055096</v>
      </c>
      <c r="L357" s="356">
        <f t="shared" si="103"/>
        <v>644850.811697504</v>
      </c>
      <c r="N357" s="356">
        <f t="shared" si="111"/>
        <v>334</v>
      </c>
      <c r="O357" s="357">
        <f t="shared" si="116"/>
        <v>27</v>
      </c>
      <c r="P357" s="357">
        <f t="shared" si="117"/>
        <v>10</v>
      </c>
      <c r="Q357" s="357">
        <f t="shared" si="118"/>
        <v>27</v>
      </c>
      <c r="R357" s="356">
        <f t="shared" si="112"/>
        <v>11297056.54936805</v>
      </c>
      <c r="S357" s="356">
        <f>IF($G$4="mensual",S348,IF($G$4="trimestral",S348,0))</f>
        <v>10000</v>
      </c>
      <c r="U357" s="356">
        <f t="shared" si="119"/>
        <v>90164.05676221686</v>
      </c>
      <c r="V357" s="356">
        <f t="shared" si="101"/>
        <v>-219.7126855016239</v>
      </c>
      <c r="X357" s="356">
        <f t="shared" si="104"/>
        <v>-11397.220606130268</v>
      </c>
      <c r="Y357" s="356">
        <f t="shared" si="105"/>
        <v>11385603.672838636</v>
      </c>
      <c r="AA357" s="357">
        <f>+Bono!J357</f>
        <v>339357.4194487467</v>
      </c>
      <c r="AC357" s="378">
        <f t="shared" si="106"/>
        <v>27.833333333333332</v>
      </c>
      <c r="AD357" s="356">
        <f t="shared" si="107"/>
        <v>12369811.903984886</v>
      </c>
    </row>
    <row r="358" spans="2:30" x14ac:dyDescent="0.25">
      <c r="B358" s="356">
        <f t="shared" si="108"/>
        <v>335</v>
      </c>
      <c r="C358" s="357">
        <f t="shared" si="113"/>
        <v>27</v>
      </c>
      <c r="D358" s="357">
        <f t="shared" si="114"/>
        <v>11</v>
      </c>
      <c r="E358" s="357">
        <f t="shared" si="115"/>
        <v>56</v>
      </c>
      <c r="F358" s="356">
        <f t="shared" si="109"/>
        <v>644850.811697504</v>
      </c>
      <c r="H358" s="356">
        <f t="shared" si="102"/>
        <v>5142.130928168475</v>
      </c>
      <c r="I358" s="356">
        <v>0</v>
      </c>
      <c r="J358" s="356">
        <v>0</v>
      </c>
      <c r="K358" s="356">
        <f t="shared" si="110"/>
        <v>-649.9929426256724</v>
      </c>
      <c r="L358" s="356">
        <f t="shared" si="103"/>
        <v>649342.9496830468</v>
      </c>
      <c r="N358" s="356">
        <f t="shared" si="111"/>
        <v>335</v>
      </c>
      <c r="O358" s="357">
        <f t="shared" si="116"/>
        <v>27</v>
      </c>
      <c r="P358" s="357">
        <f t="shared" si="117"/>
        <v>11</v>
      </c>
      <c r="Q358" s="357">
        <f t="shared" si="118"/>
        <v>27</v>
      </c>
      <c r="R358" s="356">
        <f t="shared" si="112"/>
        <v>11385603.672838636</v>
      </c>
      <c r="S358" s="356">
        <f>IF($G$17="si",S346*(1+$G$20),S346)</f>
        <v>10000</v>
      </c>
      <c r="U358" s="356">
        <f t="shared" si="119"/>
        <v>90870.1439593468</v>
      </c>
      <c r="V358" s="356">
        <f t="shared" si="101"/>
        <v>-219.7126855016239</v>
      </c>
      <c r="X358" s="356">
        <f t="shared" si="104"/>
        <v>-11486.473816797983</v>
      </c>
      <c r="Y358" s="356">
        <f t="shared" si="105"/>
        <v>11474767.630295685</v>
      </c>
      <c r="AA358" s="357">
        <f>+Bono!J358</f>
        <v>341461.4748123532</v>
      </c>
      <c r="AC358" s="378">
        <f t="shared" si="106"/>
        <v>27.916666666666668</v>
      </c>
      <c r="AD358" s="356">
        <f t="shared" si="107"/>
        <v>12465572.054791084</v>
      </c>
    </row>
    <row r="359" spans="2:30" x14ac:dyDescent="0.25">
      <c r="B359" s="356">
        <f t="shared" si="108"/>
        <v>336</v>
      </c>
      <c r="C359" s="357">
        <f t="shared" si="113"/>
        <v>27</v>
      </c>
      <c r="D359" s="357">
        <f t="shared" si="114"/>
        <v>12</v>
      </c>
      <c r="E359" s="357">
        <f t="shared" si="115"/>
        <v>56</v>
      </c>
      <c r="F359" s="356">
        <f t="shared" si="109"/>
        <v>649342.9496830468</v>
      </c>
      <c r="H359" s="356">
        <f t="shared" si="102"/>
        <v>5177.951867291206</v>
      </c>
      <c r="I359" s="356">
        <v>0</v>
      </c>
      <c r="J359" s="360">
        <f>-SUM(F359:H359)*$J$21</f>
        <v>-5890.688113953043</v>
      </c>
      <c r="K359" s="356">
        <f t="shared" si="110"/>
        <v>-648.630213436385</v>
      </c>
      <c r="L359" s="356">
        <f t="shared" si="103"/>
        <v>647981.5832229486</v>
      </c>
      <c r="N359" s="356">
        <f t="shared" si="111"/>
        <v>336</v>
      </c>
      <c r="O359" s="357">
        <f t="shared" si="116"/>
        <v>27</v>
      </c>
      <c r="P359" s="357">
        <f t="shared" si="117"/>
        <v>12</v>
      </c>
      <c r="Q359" s="357">
        <f t="shared" si="118"/>
        <v>27</v>
      </c>
      <c r="R359" s="356">
        <f t="shared" si="112"/>
        <v>11474767.630295685</v>
      </c>
      <c r="S359" s="356">
        <f>IF($G$4="mensual",S358,0)</f>
        <v>10000</v>
      </c>
      <c r="U359" s="356">
        <f t="shared" si="119"/>
        <v>91581.1498773061</v>
      </c>
      <c r="V359" s="356">
        <f t="shared" si="101"/>
        <v>-219.7126855016239</v>
      </c>
      <c r="X359" s="356">
        <f t="shared" si="104"/>
        <v>-11576.348780172992</v>
      </c>
      <c r="Y359" s="356">
        <f t="shared" si="105"/>
        <v>11564552.718707316</v>
      </c>
      <c r="AA359" s="357">
        <f>+Bono!J359</f>
        <v>340483.2730807174</v>
      </c>
      <c r="AC359" s="378">
        <f t="shared" si="106"/>
        <v>28</v>
      </c>
      <c r="AD359" s="356">
        <f t="shared" si="107"/>
        <v>12553017.575010981</v>
      </c>
    </row>
    <row r="360" spans="2:30" x14ac:dyDescent="0.25">
      <c r="B360" s="356">
        <f t="shared" si="108"/>
        <v>337</v>
      </c>
      <c r="C360" s="357">
        <f t="shared" si="113"/>
        <v>28</v>
      </c>
      <c r="D360" s="357">
        <f t="shared" si="114"/>
        <v>1</v>
      </c>
      <c r="E360" s="357">
        <f t="shared" si="115"/>
        <v>57</v>
      </c>
      <c r="F360" s="356">
        <f t="shared" si="109"/>
        <v>647981.5832229486</v>
      </c>
      <c r="H360" s="356">
        <f t="shared" si="102"/>
        <v>5167.096139963183</v>
      </c>
      <c r="I360" s="356">
        <v>0</v>
      </c>
      <c r="J360" s="356">
        <v>0</v>
      </c>
      <c r="K360" s="356">
        <f t="shared" si="110"/>
        <v>-653.1486793629117</v>
      </c>
      <c r="L360" s="356">
        <f t="shared" si="103"/>
        <v>652495.5306835488</v>
      </c>
      <c r="N360" s="356">
        <f t="shared" si="111"/>
        <v>337</v>
      </c>
      <c r="O360" s="357">
        <f t="shared" si="116"/>
        <v>28</v>
      </c>
      <c r="P360" s="357">
        <f t="shared" si="117"/>
        <v>1</v>
      </c>
      <c r="Q360" s="357">
        <f t="shared" si="118"/>
        <v>28</v>
      </c>
      <c r="R360" s="356">
        <f t="shared" si="112"/>
        <v>11564552.718707316</v>
      </c>
      <c r="S360" s="356">
        <f>IF($G$17="si",S348*(1+$G$20),S348)</f>
        <v>10000</v>
      </c>
      <c r="U360" s="356">
        <f t="shared" si="119"/>
        <v>92297.10878072199</v>
      </c>
      <c r="V360" s="356">
        <f>V359*(1+$G$18)</f>
        <v>-228.50119292168887</v>
      </c>
      <c r="X360" s="356">
        <f t="shared" si="104"/>
        <v>-11666.849827488037</v>
      </c>
      <c r="Y360" s="356">
        <f t="shared" si="105"/>
        <v>11654954.476467626</v>
      </c>
      <c r="AA360" s="357">
        <f>+Bono!J360</f>
        <v>342594.30886743305</v>
      </c>
      <c r="AC360" s="378">
        <f t="shared" si="106"/>
        <v>28.083333333333332</v>
      </c>
      <c r="AD360" s="356">
        <f t="shared" si="107"/>
        <v>12650044.316018607</v>
      </c>
    </row>
    <row r="361" spans="2:30" x14ac:dyDescent="0.25">
      <c r="B361" s="356">
        <f t="shared" si="108"/>
        <v>338</v>
      </c>
      <c r="C361" s="357">
        <f t="shared" si="113"/>
        <v>28</v>
      </c>
      <c r="D361" s="357">
        <f t="shared" si="114"/>
        <v>2</v>
      </c>
      <c r="E361" s="357">
        <f t="shared" si="115"/>
        <v>57</v>
      </c>
      <c r="F361" s="356">
        <f t="shared" si="109"/>
        <v>652495.5306835488</v>
      </c>
      <c r="H361" s="356">
        <f t="shared" si="102"/>
        <v>5203.090990902703</v>
      </c>
      <c r="I361" s="356">
        <v>0</v>
      </c>
      <c r="J361" s="356">
        <v>0</v>
      </c>
      <c r="K361" s="356">
        <f t="shared" si="110"/>
        <v>-657.6986216744515</v>
      </c>
      <c r="L361" s="356">
        <f t="shared" si="103"/>
        <v>657040.9230527771</v>
      </c>
      <c r="N361" s="356">
        <f t="shared" si="111"/>
        <v>338</v>
      </c>
      <c r="O361" s="357">
        <f t="shared" si="116"/>
        <v>28</v>
      </c>
      <c r="P361" s="357">
        <f t="shared" si="117"/>
        <v>2</v>
      </c>
      <c r="Q361" s="357">
        <f t="shared" si="118"/>
        <v>28</v>
      </c>
      <c r="R361" s="356">
        <f t="shared" si="112"/>
        <v>11654954.476467626</v>
      </c>
      <c r="S361" s="356">
        <f>IF($G$4="mensual",S360,0)</f>
        <v>10000</v>
      </c>
      <c r="U361" s="356">
        <f t="shared" si="119"/>
        <v>93017.98509212244</v>
      </c>
      <c r="V361" s="356">
        <f>V360</f>
        <v>-228.50119292168887</v>
      </c>
      <c r="X361" s="356">
        <f t="shared" si="104"/>
        <v>-11757.972461559748</v>
      </c>
      <c r="Y361" s="356">
        <f t="shared" si="105"/>
        <v>11745985.987905268</v>
      </c>
      <c r="AA361" s="357">
        <f>+Bono!J361</f>
        <v>344718.43332089134</v>
      </c>
      <c r="AC361" s="378">
        <f t="shared" si="106"/>
        <v>28.166666666666668</v>
      </c>
      <c r="AD361" s="356">
        <f t="shared" si="107"/>
        <v>12747745.344278935</v>
      </c>
    </row>
    <row r="362" spans="2:30" x14ac:dyDescent="0.25">
      <c r="B362" s="356">
        <f t="shared" si="108"/>
        <v>339</v>
      </c>
      <c r="C362" s="357">
        <f t="shared" si="113"/>
        <v>28</v>
      </c>
      <c r="D362" s="357">
        <f t="shared" si="114"/>
        <v>3</v>
      </c>
      <c r="E362" s="357">
        <f t="shared" si="115"/>
        <v>57</v>
      </c>
      <c r="F362" s="356">
        <f t="shared" si="109"/>
        <v>657040.9230527771</v>
      </c>
      <c r="H362" s="356">
        <f t="shared" si="102"/>
        <v>5239.336587959397</v>
      </c>
      <c r="I362" s="356">
        <v>0</v>
      </c>
      <c r="J362" s="360">
        <f>-SUM(F362:H362)*$J$21</f>
        <v>-5960.522336766629</v>
      </c>
      <c r="K362" s="356">
        <f t="shared" si="110"/>
        <v>-656.3197373039699</v>
      </c>
      <c r="L362" s="356">
        <f t="shared" si="103"/>
        <v>655663.4175666659</v>
      </c>
      <c r="N362" s="356">
        <f t="shared" si="111"/>
        <v>339</v>
      </c>
      <c r="O362" s="357">
        <f t="shared" si="116"/>
        <v>28</v>
      </c>
      <c r="P362" s="357">
        <f t="shared" si="117"/>
        <v>3</v>
      </c>
      <c r="Q362" s="357">
        <f t="shared" si="118"/>
        <v>28</v>
      </c>
      <c r="R362" s="356">
        <f t="shared" si="112"/>
        <v>11745985.987905268</v>
      </c>
      <c r="S362" s="356">
        <f>IF($G$4="mensual",S361,0)</f>
        <v>10000</v>
      </c>
      <c r="U362" s="356">
        <f t="shared" si="119"/>
        <v>93743.88314778155</v>
      </c>
      <c r="V362" s="356">
        <f t="shared" si="101"/>
        <v>-228.50119292168887</v>
      </c>
      <c r="X362" s="356">
        <f t="shared" si="104"/>
        <v>-11849.72987105305</v>
      </c>
      <c r="Y362" s="356">
        <f t="shared" si="105"/>
        <v>11837651.639989074</v>
      </c>
      <c r="AA362" s="357">
        <f>+Bono!J362</f>
        <v>343730.90121763846</v>
      </c>
      <c r="AC362" s="378">
        <f t="shared" si="106"/>
        <v>28.25</v>
      </c>
      <c r="AD362" s="356">
        <f t="shared" si="107"/>
        <v>12837045.958773378</v>
      </c>
    </row>
    <row r="363" spans="2:30" x14ac:dyDescent="0.25">
      <c r="B363" s="356">
        <f t="shared" si="108"/>
        <v>340</v>
      </c>
      <c r="C363" s="357">
        <f t="shared" si="113"/>
        <v>28</v>
      </c>
      <c r="D363" s="357">
        <f t="shared" si="114"/>
        <v>4</v>
      </c>
      <c r="E363" s="357">
        <f t="shared" si="115"/>
        <v>57</v>
      </c>
      <c r="F363" s="356">
        <f t="shared" si="109"/>
        <v>655663.4175666659</v>
      </c>
      <c r="H363" s="356">
        <f t="shared" si="102"/>
        <v>5228.352165771561</v>
      </c>
      <c r="I363" s="356">
        <v>0</v>
      </c>
      <c r="J363" s="356">
        <v>0</v>
      </c>
      <c r="K363" s="356">
        <f t="shared" si="110"/>
        <v>-660.8917697324374</v>
      </c>
      <c r="L363" s="356">
        <f t="shared" si="103"/>
        <v>660230.877962705</v>
      </c>
      <c r="N363" s="356">
        <f t="shared" si="111"/>
        <v>340</v>
      </c>
      <c r="O363" s="357">
        <f t="shared" si="116"/>
        <v>28</v>
      </c>
      <c r="P363" s="357">
        <f t="shared" si="117"/>
        <v>4</v>
      </c>
      <c r="Q363" s="357">
        <f t="shared" si="118"/>
        <v>28</v>
      </c>
      <c r="R363" s="356">
        <f t="shared" si="112"/>
        <v>11837651.639989074</v>
      </c>
      <c r="S363" s="356">
        <f>IF($G$4="mensual",S360,IF($G$4="trimestral",S360,0))</f>
        <v>10000</v>
      </c>
      <c r="U363" s="356">
        <f t="shared" si="119"/>
        <v>94474.83793000487</v>
      </c>
      <c r="V363" s="356">
        <f t="shared" si="101"/>
        <v>-228.50119292168887</v>
      </c>
      <c r="X363" s="356">
        <f t="shared" si="104"/>
        <v>-11942.126477919079</v>
      </c>
      <c r="Y363" s="356">
        <f t="shared" si="105"/>
        <v>11929955.850248238</v>
      </c>
      <c r="AA363" s="357">
        <f>+Bono!J363</f>
        <v>345862.07267550455</v>
      </c>
      <c r="AC363" s="378">
        <f t="shared" si="106"/>
        <v>28.333333333333332</v>
      </c>
      <c r="AD363" s="356">
        <f t="shared" si="107"/>
        <v>12936048.800886447</v>
      </c>
    </row>
    <row r="364" spans="2:30" x14ac:dyDescent="0.25">
      <c r="B364" s="356">
        <f t="shared" si="108"/>
        <v>341</v>
      </c>
      <c r="C364" s="357">
        <f t="shared" si="113"/>
        <v>28</v>
      </c>
      <c r="D364" s="357">
        <f t="shared" si="114"/>
        <v>5</v>
      </c>
      <c r="E364" s="357">
        <f t="shared" si="115"/>
        <v>57</v>
      </c>
      <c r="F364" s="356">
        <f t="shared" si="109"/>
        <v>660230.877962705</v>
      </c>
      <c r="H364" s="356">
        <f t="shared" si="102"/>
        <v>5264.773736373033</v>
      </c>
      <c r="I364" s="356">
        <v>0</v>
      </c>
      <c r="J364" s="356">
        <v>0</v>
      </c>
      <c r="K364" s="356">
        <f t="shared" si="110"/>
        <v>-665.495651699078</v>
      </c>
      <c r="L364" s="356">
        <f t="shared" si="103"/>
        <v>664830.156047379</v>
      </c>
      <c r="N364" s="356">
        <f t="shared" si="111"/>
        <v>341</v>
      </c>
      <c r="O364" s="357">
        <f t="shared" si="116"/>
        <v>28</v>
      </c>
      <c r="P364" s="357">
        <f t="shared" si="117"/>
        <v>5</v>
      </c>
      <c r="Q364" s="357">
        <f t="shared" si="118"/>
        <v>28</v>
      </c>
      <c r="R364" s="356">
        <f t="shared" si="112"/>
        <v>11929955.850248238</v>
      </c>
      <c r="S364" s="356">
        <f>IF($G$4="mensual",S363,0)</f>
        <v>10000</v>
      </c>
      <c r="U364" s="356">
        <f t="shared" si="119"/>
        <v>95210.8846647905</v>
      </c>
      <c r="V364" s="356">
        <f t="shared" si="101"/>
        <v>-228.50119292168887</v>
      </c>
      <c r="X364" s="356">
        <f t="shared" si="104"/>
        <v>-12035.16673491303</v>
      </c>
      <c r="Y364" s="356">
        <f t="shared" si="105"/>
        <v>12022903.066985194</v>
      </c>
      <c r="AA364" s="357">
        <f>+Bono!J364</f>
        <v>348006.45764361</v>
      </c>
      <c r="AC364" s="378">
        <f t="shared" si="106"/>
        <v>28.416666666666668</v>
      </c>
      <c r="AD364" s="356">
        <f t="shared" si="107"/>
        <v>13035739.680676183</v>
      </c>
    </row>
    <row r="365" spans="2:30" x14ac:dyDescent="0.25">
      <c r="B365" s="356">
        <f t="shared" si="108"/>
        <v>342</v>
      </c>
      <c r="C365" s="357">
        <f t="shared" si="113"/>
        <v>28</v>
      </c>
      <c r="D365" s="357">
        <f t="shared" si="114"/>
        <v>6</v>
      </c>
      <c r="E365" s="357">
        <f t="shared" si="115"/>
        <v>57</v>
      </c>
      <c r="F365" s="356">
        <f t="shared" si="109"/>
        <v>664830.156047379</v>
      </c>
      <c r="H365" s="356">
        <f t="shared" si="102"/>
        <v>5301.449025691803</v>
      </c>
      <c r="I365" s="356">
        <v>0</v>
      </c>
      <c r="J365" s="360">
        <f>-SUM(F365:H365)*$J$21</f>
        <v>-6031.184445657638</v>
      </c>
      <c r="K365" s="356">
        <f t="shared" si="110"/>
        <v>-664.1004206274132</v>
      </c>
      <c r="L365" s="356">
        <f t="shared" si="103"/>
        <v>663436.3202067858</v>
      </c>
      <c r="N365" s="356">
        <f t="shared" si="111"/>
        <v>342</v>
      </c>
      <c r="O365" s="357">
        <f t="shared" si="116"/>
        <v>28</v>
      </c>
      <c r="P365" s="357">
        <f t="shared" si="117"/>
        <v>6</v>
      </c>
      <c r="Q365" s="357">
        <f t="shared" si="118"/>
        <v>28</v>
      </c>
      <c r="R365" s="356">
        <f t="shared" si="112"/>
        <v>12022903.066985194</v>
      </c>
      <c r="S365" s="356">
        <f>IF($G$4="mensual",S364,0)</f>
        <v>10000</v>
      </c>
      <c r="U365" s="356">
        <f t="shared" si="119"/>
        <v>95952.05882352674</v>
      </c>
      <c r="V365" s="356">
        <f t="shared" si="101"/>
        <v>-228.50119292168887</v>
      </c>
      <c r="X365" s="356">
        <f t="shared" si="104"/>
        <v>-12128.85512580872</v>
      </c>
      <c r="Y365" s="356">
        <f t="shared" si="105"/>
        <v>12116497.769489989</v>
      </c>
      <c r="AA365" s="357">
        <f>+Bono!J365</f>
        <v>347009.5061729515</v>
      </c>
      <c r="AC365" s="378">
        <f t="shared" si="106"/>
        <v>28.5</v>
      </c>
      <c r="AD365" s="356">
        <f t="shared" si="107"/>
        <v>13126943.595869726</v>
      </c>
    </row>
    <row r="366" spans="2:30" x14ac:dyDescent="0.25">
      <c r="B366" s="356">
        <f t="shared" si="108"/>
        <v>343</v>
      </c>
      <c r="C366" s="357">
        <f t="shared" si="113"/>
        <v>28</v>
      </c>
      <c r="D366" s="357">
        <f t="shared" si="114"/>
        <v>7</v>
      </c>
      <c r="E366" s="357">
        <f t="shared" si="115"/>
        <v>57</v>
      </c>
      <c r="F366" s="356">
        <f t="shared" si="109"/>
        <v>663436.3202067858</v>
      </c>
      <c r="H366" s="356">
        <f t="shared" si="102"/>
        <v>5290.334382964074</v>
      </c>
      <c r="I366" s="356">
        <v>0</v>
      </c>
      <c r="J366" s="356">
        <v>0</v>
      </c>
      <c r="K366" s="356">
        <f t="shared" si="110"/>
        <v>-668.7266545897498</v>
      </c>
      <c r="L366" s="356">
        <f t="shared" si="103"/>
        <v>668057.9279351601</v>
      </c>
      <c r="N366" s="356">
        <f t="shared" si="111"/>
        <v>343</v>
      </c>
      <c r="O366" s="357">
        <f t="shared" si="116"/>
        <v>28</v>
      </c>
      <c r="P366" s="357">
        <f t="shared" si="117"/>
        <v>7</v>
      </c>
      <c r="Q366" s="357">
        <f t="shared" si="118"/>
        <v>28</v>
      </c>
      <c r="R366" s="356">
        <f t="shared" si="112"/>
        <v>12116497.769489989</v>
      </c>
      <c r="S366" s="356">
        <f>+IF($G$4="mensual",S360,IF($G$4="trimestral",S360,IF($G$4="semestral",S360,0)))</f>
        <v>10000</v>
      </c>
      <c r="U366" s="356">
        <f t="shared" si="119"/>
        <v>96698.39612470144</v>
      </c>
      <c r="V366" s="356">
        <f t="shared" si="101"/>
        <v>-228.50119292168887</v>
      </c>
      <c r="X366" s="356">
        <f t="shared" si="104"/>
        <v>-12223.19616561469</v>
      </c>
      <c r="Y366" s="356">
        <f t="shared" si="105"/>
        <v>12210744.468256155</v>
      </c>
      <c r="AA366" s="357">
        <f>+Bono!J366</f>
        <v>349161.0053618352</v>
      </c>
      <c r="AC366" s="378">
        <f t="shared" si="106"/>
        <v>28.583333333333332</v>
      </c>
      <c r="AD366" s="356">
        <f t="shared" si="107"/>
        <v>13227963.40155315</v>
      </c>
    </row>
    <row r="367" spans="2:30" x14ac:dyDescent="0.25">
      <c r="B367" s="356">
        <f t="shared" si="108"/>
        <v>344</v>
      </c>
      <c r="C367" s="357">
        <f t="shared" si="113"/>
        <v>28</v>
      </c>
      <c r="D367" s="357">
        <f t="shared" si="114"/>
        <v>8</v>
      </c>
      <c r="E367" s="357">
        <f t="shared" si="115"/>
        <v>57</v>
      </c>
      <c r="F367" s="356">
        <f t="shared" si="109"/>
        <v>668057.9279351601</v>
      </c>
      <c r="H367" s="356">
        <f t="shared" si="102"/>
        <v>5327.187731997437</v>
      </c>
      <c r="I367" s="356">
        <v>0</v>
      </c>
      <c r="J367" s="356">
        <v>0</v>
      </c>
      <c r="K367" s="356">
        <f t="shared" si="110"/>
        <v>-673.3851156671576</v>
      </c>
      <c r="L367" s="356">
        <f t="shared" si="103"/>
        <v>672711.7305514904</v>
      </c>
      <c r="N367" s="356">
        <f t="shared" si="111"/>
        <v>344</v>
      </c>
      <c r="O367" s="357">
        <f t="shared" si="116"/>
        <v>28</v>
      </c>
      <c r="P367" s="357">
        <f t="shared" si="117"/>
        <v>8</v>
      </c>
      <c r="Q367" s="357">
        <f t="shared" si="118"/>
        <v>28</v>
      </c>
      <c r="R367" s="356">
        <f t="shared" si="112"/>
        <v>12210744.468256155</v>
      </c>
      <c r="S367" s="356">
        <f>IF($G$4="mensual",S366,0)</f>
        <v>10000</v>
      </c>
      <c r="U367" s="356">
        <f t="shared" si="119"/>
        <v>97449.93253562345</v>
      </c>
      <c r="V367" s="356">
        <f t="shared" si="101"/>
        <v>-228.50119292168887</v>
      </c>
      <c r="X367" s="356">
        <f t="shared" si="104"/>
        <v>-12318.19440079178</v>
      </c>
      <c r="Y367" s="356">
        <f t="shared" si="105"/>
        <v>12305647.705198066</v>
      </c>
      <c r="AA367" s="357">
        <f>+Bono!J367</f>
        <v>351325.84409524844</v>
      </c>
      <c r="AC367" s="378">
        <f t="shared" si="106"/>
        <v>28.666666666666668</v>
      </c>
      <c r="AD367" s="356">
        <f t="shared" si="107"/>
        <v>13329685.279844806</v>
      </c>
    </row>
    <row r="368" spans="2:30" x14ac:dyDescent="0.25">
      <c r="B368" s="356">
        <f t="shared" si="108"/>
        <v>345</v>
      </c>
      <c r="C368" s="357">
        <f t="shared" si="113"/>
        <v>28</v>
      </c>
      <c r="D368" s="357">
        <f t="shared" si="114"/>
        <v>9</v>
      </c>
      <c r="E368" s="357">
        <f t="shared" si="115"/>
        <v>57</v>
      </c>
      <c r="F368" s="356">
        <f t="shared" si="109"/>
        <v>672711.7305514904</v>
      </c>
      <c r="H368" s="356">
        <f t="shared" si="102"/>
        <v>5364.297807588456</v>
      </c>
      <c r="I368" s="356">
        <v>0</v>
      </c>
      <c r="J368" s="360">
        <f>-SUM(F368:H368)*$J$21</f>
        <v>-6102.684255231711</v>
      </c>
      <c r="K368" s="356">
        <f t="shared" si="110"/>
        <v>-671.9733441038471</v>
      </c>
      <c r="L368" s="356">
        <f t="shared" si="103"/>
        <v>671301.3707597433</v>
      </c>
      <c r="N368" s="356">
        <f t="shared" si="111"/>
        <v>345</v>
      </c>
      <c r="O368" s="357">
        <f t="shared" si="116"/>
        <v>28</v>
      </c>
      <c r="P368" s="357">
        <f t="shared" si="117"/>
        <v>9</v>
      </c>
      <c r="Q368" s="357">
        <f t="shared" si="118"/>
        <v>28</v>
      </c>
      <c r="R368" s="356">
        <f t="shared" si="112"/>
        <v>12305647.705198066</v>
      </c>
      <c r="S368" s="356">
        <f>IF($G$4="mensual",S367,0)</f>
        <v>10000</v>
      </c>
      <c r="U368" s="356">
        <f t="shared" si="119"/>
        <v>98206.70427415577</v>
      </c>
      <c r="V368" s="356">
        <f t="shared" si="101"/>
        <v>-228.50119292168887</v>
      </c>
      <c r="X368" s="356">
        <f t="shared" si="104"/>
        <v>-12413.854409472222</v>
      </c>
      <c r="Y368" s="356">
        <f t="shared" si="105"/>
        <v>12401212.053869827</v>
      </c>
      <c r="AA368" s="357">
        <f>+Bono!J368</f>
        <v>350319.38341252797</v>
      </c>
      <c r="AC368" s="378">
        <f t="shared" si="106"/>
        <v>28.75</v>
      </c>
      <c r="AD368" s="356">
        <f t="shared" si="107"/>
        <v>13422832.808042098</v>
      </c>
    </row>
    <row r="369" spans="2:30" x14ac:dyDescent="0.25">
      <c r="B369" s="356">
        <f t="shared" si="108"/>
        <v>346</v>
      </c>
      <c r="C369" s="357">
        <f t="shared" si="113"/>
        <v>28</v>
      </c>
      <c r="D369" s="357">
        <f t="shared" si="114"/>
        <v>10</v>
      </c>
      <c r="E369" s="357">
        <f t="shared" si="115"/>
        <v>57</v>
      </c>
      <c r="F369" s="356">
        <f t="shared" si="109"/>
        <v>671301.3707597433</v>
      </c>
      <c r="H369" s="356">
        <f t="shared" si="102"/>
        <v>5353.051400553784</v>
      </c>
      <c r="I369" s="356">
        <v>0</v>
      </c>
      <c r="J369" s="356">
        <v>0</v>
      </c>
      <c r="K369" s="356">
        <f t="shared" si="110"/>
        <v>-676.654422160297</v>
      </c>
      <c r="L369" s="356">
        <f t="shared" si="103"/>
        <v>675977.7677381367</v>
      </c>
      <c r="N369" s="356">
        <f t="shared" si="111"/>
        <v>346</v>
      </c>
      <c r="O369" s="357">
        <f t="shared" si="116"/>
        <v>28</v>
      </c>
      <c r="P369" s="357">
        <f t="shared" si="117"/>
        <v>10</v>
      </c>
      <c r="Q369" s="357">
        <f t="shared" si="118"/>
        <v>28</v>
      </c>
      <c r="R369" s="356">
        <f t="shared" si="112"/>
        <v>12401212.053869827</v>
      </c>
      <c r="S369" s="356">
        <f>IF($G$4="mensual",S360,IF($G$4="trimestral",S360,0))</f>
        <v>10000</v>
      </c>
      <c r="U369" s="356">
        <f t="shared" si="119"/>
        <v>98968.74781046111</v>
      </c>
      <c r="V369" s="356">
        <f t="shared" si="101"/>
        <v>-228.50119292168887</v>
      </c>
      <c r="X369" s="356">
        <f t="shared" si="104"/>
        <v>-12510.180801680288</v>
      </c>
      <c r="Y369" s="356">
        <f t="shared" si="105"/>
        <v>12497442.119685685</v>
      </c>
      <c r="AA369" s="357">
        <f>+Bono!J369</f>
        <v>352491.40422421903</v>
      </c>
      <c r="AC369" s="378">
        <f t="shared" si="106"/>
        <v>28.833333333333332</v>
      </c>
      <c r="AD369" s="356">
        <f t="shared" si="107"/>
        <v>13525911.291648041</v>
      </c>
    </row>
    <row r="370" spans="2:30" x14ac:dyDescent="0.25">
      <c r="B370" s="356">
        <f t="shared" si="108"/>
        <v>347</v>
      </c>
      <c r="C370" s="357">
        <f t="shared" si="113"/>
        <v>28</v>
      </c>
      <c r="D370" s="357">
        <f t="shared" si="114"/>
        <v>11</v>
      </c>
      <c r="E370" s="357">
        <f t="shared" si="115"/>
        <v>57</v>
      </c>
      <c r="F370" s="356">
        <f t="shared" si="109"/>
        <v>675977.7677381367</v>
      </c>
      <c r="H370" s="356">
        <f t="shared" si="102"/>
        <v>5390.341646760795</v>
      </c>
      <c r="I370" s="356">
        <v>0</v>
      </c>
      <c r="J370" s="356">
        <v>0</v>
      </c>
      <c r="K370" s="356">
        <f t="shared" si="110"/>
        <v>-681.3681093848975</v>
      </c>
      <c r="L370" s="356">
        <f t="shared" si="103"/>
        <v>680686.7412755126</v>
      </c>
      <c r="N370" s="356">
        <f t="shared" si="111"/>
        <v>347</v>
      </c>
      <c r="O370" s="357">
        <f t="shared" si="116"/>
        <v>28</v>
      </c>
      <c r="P370" s="357">
        <f t="shared" si="117"/>
        <v>11</v>
      </c>
      <c r="Q370" s="357">
        <f t="shared" si="118"/>
        <v>28</v>
      </c>
      <c r="R370" s="356">
        <f t="shared" si="112"/>
        <v>12497442.119685685</v>
      </c>
      <c r="S370" s="356">
        <f>IF($G$17="si",S358*(1+$G$20),S358)</f>
        <v>10000</v>
      </c>
      <c r="U370" s="356">
        <f t="shared" si="119"/>
        <v>99736.09986875941</v>
      </c>
      <c r="V370" s="356">
        <f t="shared" si="101"/>
        <v>-228.50119292168887</v>
      </c>
      <c r="X370" s="356">
        <f t="shared" si="104"/>
        <v>-12607.178219554446</v>
      </c>
      <c r="Y370" s="356">
        <f t="shared" si="105"/>
        <v>12594342.540141968</v>
      </c>
      <c r="AA370" s="357">
        <f>+Bono!J370</f>
        <v>354676.89181688137</v>
      </c>
      <c r="AC370" s="378">
        <f t="shared" si="106"/>
        <v>28.916666666666668</v>
      </c>
      <c r="AD370" s="356">
        <f t="shared" si="107"/>
        <v>13629706.173234362</v>
      </c>
    </row>
    <row r="371" spans="2:30" x14ac:dyDescent="0.25">
      <c r="B371" s="356">
        <f t="shared" si="108"/>
        <v>348</v>
      </c>
      <c r="C371" s="357">
        <f t="shared" si="113"/>
        <v>28</v>
      </c>
      <c r="D371" s="357">
        <f t="shared" si="114"/>
        <v>12</v>
      </c>
      <c r="E371" s="357">
        <f t="shared" si="115"/>
        <v>57</v>
      </c>
      <c r="F371" s="356">
        <f t="shared" si="109"/>
        <v>680686.7412755126</v>
      </c>
      <c r="H371" s="356">
        <f t="shared" si="102"/>
        <v>5427.891663023822</v>
      </c>
      <c r="I371" s="356">
        <v>0</v>
      </c>
      <c r="J371" s="360">
        <f>-SUM(F371:H371)*$J$21</f>
        <v>-6175.031696446829</v>
      </c>
      <c r="K371" s="356">
        <f t="shared" si="110"/>
        <v>-679.9396012420897</v>
      </c>
      <c r="L371" s="356">
        <f t="shared" si="103"/>
        <v>679259.6616408476</v>
      </c>
      <c r="N371" s="356">
        <f t="shared" si="111"/>
        <v>348</v>
      </c>
      <c r="O371" s="357">
        <f t="shared" si="116"/>
        <v>28</v>
      </c>
      <c r="P371" s="357">
        <f t="shared" si="117"/>
        <v>12</v>
      </c>
      <c r="Q371" s="357">
        <f t="shared" si="118"/>
        <v>28</v>
      </c>
      <c r="R371" s="356">
        <f t="shared" si="112"/>
        <v>12594342.540141968</v>
      </c>
      <c r="S371" s="356">
        <f>IF($G$4="mensual",S370,0)</f>
        <v>10000</v>
      </c>
      <c r="U371" s="356">
        <f t="shared" si="119"/>
        <v>100508.79742909764</v>
      </c>
      <c r="V371" s="356">
        <f t="shared" si="101"/>
        <v>-228.50119292168887</v>
      </c>
      <c r="X371" s="356">
        <f t="shared" si="104"/>
        <v>-12704.851337571066</v>
      </c>
      <c r="Y371" s="356">
        <f t="shared" si="105"/>
        <v>12691917.985040573</v>
      </c>
      <c r="AA371" s="357">
        <f>+Bono!J371</f>
        <v>353660.83122047834</v>
      </c>
      <c r="AC371" s="378">
        <f t="shared" si="106"/>
        <v>29</v>
      </c>
      <c r="AD371" s="356">
        <f t="shared" si="107"/>
        <v>13724838.477901898</v>
      </c>
    </row>
    <row r="372" spans="2:30" x14ac:dyDescent="0.25">
      <c r="B372" s="356">
        <f t="shared" si="108"/>
        <v>349</v>
      </c>
      <c r="C372" s="357">
        <f t="shared" si="113"/>
        <v>29</v>
      </c>
      <c r="D372" s="357">
        <f t="shared" si="114"/>
        <v>1</v>
      </c>
      <c r="E372" s="357">
        <f t="shared" si="115"/>
        <v>58</v>
      </c>
      <c r="F372" s="356">
        <f t="shared" si="109"/>
        <v>679259.6616408476</v>
      </c>
      <c r="H372" s="356">
        <f t="shared" si="102"/>
        <v>5416.511929613774</v>
      </c>
      <c r="I372" s="356">
        <v>0</v>
      </c>
      <c r="J372" s="356">
        <v>0</v>
      </c>
      <c r="K372" s="356">
        <f t="shared" si="110"/>
        <v>-684.6761735704614</v>
      </c>
      <c r="L372" s="356">
        <f t="shared" si="103"/>
        <v>683991.4973968909</v>
      </c>
      <c r="N372" s="356">
        <f t="shared" si="111"/>
        <v>349</v>
      </c>
      <c r="O372" s="357">
        <f t="shared" si="116"/>
        <v>29</v>
      </c>
      <c r="P372" s="357">
        <f t="shared" si="117"/>
        <v>1</v>
      </c>
      <c r="Q372" s="357">
        <f t="shared" si="118"/>
        <v>29</v>
      </c>
      <c r="R372" s="356">
        <f t="shared" si="112"/>
        <v>12691917.985040573</v>
      </c>
      <c r="S372" s="356">
        <f>IF($G$17="si",S360*(1+$G$20),S360)</f>
        <v>10000</v>
      </c>
      <c r="U372" s="356">
        <f t="shared" si="119"/>
        <v>101286.87772913187</v>
      </c>
      <c r="V372" s="356">
        <f>V371*(1+$G$18)</f>
        <v>-237.64124063855644</v>
      </c>
      <c r="X372" s="356">
        <f t="shared" si="104"/>
        <v>-12803.204862769706</v>
      </c>
      <c r="Y372" s="356">
        <f t="shared" si="105"/>
        <v>12790164.016666299</v>
      </c>
      <c r="AA372" s="357">
        <f>+Bono!J372</f>
        <v>355853.56939616264</v>
      </c>
      <c r="AC372" s="378">
        <f t="shared" si="106"/>
        <v>29.083333333333332</v>
      </c>
      <c r="AD372" s="356">
        <f t="shared" si="107"/>
        <v>13830009.083459351</v>
      </c>
    </row>
    <row r="373" spans="2:30" x14ac:dyDescent="0.25">
      <c r="B373" s="356">
        <f t="shared" si="108"/>
        <v>350</v>
      </c>
      <c r="C373" s="357">
        <f t="shared" si="113"/>
        <v>29</v>
      </c>
      <c r="D373" s="357">
        <f t="shared" si="114"/>
        <v>2</v>
      </c>
      <c r="E373" s="357">
        <f t="shared" si="115"/>
        <v>58</v>
      </c>
      <c r="F373" s="356">
        <f t="shared" si="109"/>
        <v>683991.4973968909</v>
      </c>
      <c r="H373" s="356">
        <f t="shared" si="102"/>
        <v>5454.244252418972</v>
      </c>
      <c r="I373" s="356">
        <v>0</v>
      </c>
      <c r="J373" s="356">
        <v>0</v>
      </c>
      <c r="K373" s="356">
        <f t="shared" si="110"/>
        <v>-689.4457416493099</v>
      </c>
      <c r="L373" s="356">
        <f t="shared" si="103"/>
        <v>688756.2959076605</v>
      </c>
      <c r="N373" s="356">
        <f t="shared" si="111"/>
        <v>350</v>
      </c>
      <c r="O373" s="357">
        <f t="shared" si="116"/>
        <v>29</v>
      </c>
      <c r="P373" s="357">
        <f t="shared" si="117"/>
        <v>2</v>
      </c>
      <c r="Q373" s="357">
        <f t="shared" si="118"/>
        <v>29</v>
      </c>
      <c r="R373" s="356">
        <f t="shared" si="112"/>
        <v>12790164.016666299</v>
      </c>
      <c r="S373" s="356">
        <f>IF($G$4="mensual",S372,0)</f>
        <v>10000</v>
      </c>
      <c r="U373" s="356">
        <f t="shared" si="119"/>
        <v>102070.30538189792</v>
      </c>
      <c r="V373" s="356">
        <f>V372</f>
        <v>-237.64124063855644</v>
      </c>
      <c r="X373" s="356">
        <f t="shared" si="104"/>
        <v>-12902.234322048196</v>
      </c>
      <c r="Y373" s="356">
        <f t="shared" si="105"/>
        <v>12889094.44648551</v>
      </c>
      <c r="AA373" s="357">
        <f>+Bono!J373</f>
        <v>358059.9028028781</v>
      </c>
      <c r="AC373" s="378">
        <f t="shared" si="106"/>
        <v>29.166666666666668</v>
      </c>
      <c r="AD373" s="356">
        <f t="shared" si="107"/>
        <v>13935910.64519605</v>
      </c>
    </row>
    <row r="374" spans="2:30" x14ac:dyDescent="0.25">
      <c r="B374" s="356">
        <f t="shared" si="108"/>
        <v>351</v>
      </c>
      <c r="C374" s="357">
        <f t="shared" si="113"/>
        <v>29</v>
      </c>
      <c r="D374" s="357">
        <f t="shared" si="114"/>
        <v>3</v>
      </c>
      <c r="E374" s="357">
        <f t="shared" si="115"/>
        <v>58</v>
      </c>
      <c r="F374" s="356">
        <f t="shared" si="109"/>
        <v>688756.2959076605</v>
      </c>
      <c r="H374" s="356">
        <f t="shared" si="102"/>
        <v>5492.23942485928</v>
      </c>
      <c r="I374" s="356">
        <v>0</v>
      </c>
      <c r="J374" s="360">
        <f>-SUM(F374:H374)*$J$21</f>
        <v>-6248.236817992679</v>
      </c>
      <c r="K374" s="356">
        <f t="shared" si="110"/>
        <v>-688.0002985145271</v>
      </c>
      <c r="L374" s="356">
        <f t="shared" si="103"/>
        <v>687312.2982160127</v>
      </c>
      <c r="N374" s="356">
        <f t="shared" si="111"/>
        <v>351</v>
      </c>
      <c r="O374" s="357">
        <f t="shared" si="116"/>
        <v>29</v>
      </c>
      <c r="P374" s="357">
        <f t="shared" si="117"/>
        <v>3</v>
      </c>
      <c r="Q374" s="357">
        <f t="shared" si="118"/>
        <v>29</v>
      </c>
      <c r="R374" s="356">
        <f t="shared" si="112"/>
        <v>12889094.44648551</v>
      </c>
      <c r="S374" s="356">
        <f>IF($G$4="mensual",S373,0)</f>
        <v>10000</v>
      </c>
      <c r="U374" s="356">
        <f t="shared" si="119"/>
        <v>102859.19052196814</v>
      </c>
      <c r="V374" s="356">
        <f t="shared" si="101"/>
        <v>-237.64124063855644</v>
      </c>
      <c r="X374" s="356">
        <f t="shared" si="104"/>
        <v>-13001.953637007478</v>
      </c>
      <c r="Y374" s="356">
        <f t="shared" si="105"/>
        <v>12988714.042129833</v>
      </c>
      <c r="AA374" s="357">
        <f>+Bono!J374</f>
        <v>357034.1507260337</v>
      </c>
      <c r="AC374" s="378">
        <f t="shared" si="106"/>
        <v>29.25</v>
      </c>
      <c r="AD374" s="356">
        <f t="shared" si="107"/>
        <v>14033060.49107188</v>
      </c>
    </row>
    <row r="375" spans="2:30" x14ac:dyDescent="0.25">
      <c r="B375" s="356">
        <f t="shared" si="108"/>
        <v>352</v>
      </c>
      <c r="C375" s="357">
        <f t="shared" si="113"/>
        <v>29</v>
      </c>
      <c r="D375" s="357">
        <f t="shared" si="114"/>
        <v>4</v>
      </c>
      <c r="E375" s="357">
        <f t="shared" si="115"/>
        <v>58</v>
      </c>
      <c r="F375" s="356">
        <f t="shared" si="109"/>
        <v>687312.2982160127</v>
      </c>
      <c r="H375" s="356">
        <f t="shared" si="102"/>
        <v>5480.724784487067</v>
      </c>
      <c r="I375" s="356">
        <v>0</v>
      </c>
      <c r="J375" s="356">
        <v>0</v>
      </c>
      <c r="K375" s="356">
        <f t="shared" si="110"/>
        <v>-692.7930230004997</v>
      </c>
      <c r="L375" s="356">
        <f t="shared" si="103"/>
        <v>692100.2299774992</v>
      </c>
      <c r="N375" s="356">
        <f t="shared" si="111"/>
        <v>352</v>
      </c>
      <c r="O375" s="357">
        <f t="shared" si="116"/>
        <v>29</v>
      </c>
      <c r="P375" s="357">
        <f t="shared" si="117"/>
        <v>4</v>
      </c>
      <c r="Q375" s="357">
        <f t="shared" si="118"/>
        <v>29</v>
      </c>
      <c r="R375" s="356">
        <f t="shared" si="112"/>
        <v>12988714.042129833</v>
      </c>
      <c r="S375" s="356">
        <f>IF($G$4="mensual",S372,IF($G$4="trimestral",S372,0))</f>
        <v>10000</v>
      </c>
      <c r="U375" s="356">
        <f t="shared" si="119"/>
        <v>103653.57116710657</v>
      </c>
      <c r="V375" s="356">
        <f t="shared" si="101"/>
        <v>-237.64124063855644</v>
      </c>
      <c r="X375" s="356">
        <f t="shared" si="104"/>
        <v>-13102.36761329694</v>
      </c>
      <c r="Y375" s="356">
        <f t="shared" si="105"/>
        <v>13089027.604443004</v>
      </c>
      <c r="AA375" s="357">
        <f>+Bono!J375</f>
        <v>359247.8038739333</v>
      </c>
      <c r="AC375" s="378">
        <f t="shared" si="106"/>
        <v>29.333333333333332</v>
      </c>
      <c r="AD375" s="356">
        <f t="shared" si="107"/>
        <v>14140375.638294438</v>
      </c>
    </row>
    <row r="376" spans="2:30" x14ac:dyDescent="0.25">
      <c r="B376" s="356">
        <f t="shared" si="108"/>
        <v>353</v>
      </c>
      <c r="C376" s="357">
        <f t="shared" si="113"/>
        <v>29</v>
      </c>
      <c r="D376" s="357">
        <f t="shared" si="114"/>
        <v>5</v>
      </c>
      <c r="E376" s="357">
        <f t="shared" si="115"/>
        <v>58</v>
      </c>
      <c r="F376" s="356">
        <f t="shared" si="109"/>
        <v>692100.2299774992</v>
      </c>
      <c r="H376" s="356">
        <f t="shared" si="102"/>
        <v>5518.90442471717</v>
      </c>
      <c r="I376" s="356">
        <v>0</v>
      </c>
      <c r="J376" s="356">
        <v>0</v>
      </c>
      <c r="K376" s="356">
        <f t="shared" si="110"/>
        <v>-697.6191344022164</v>
      </c>
      <c r="L376" s="356">
        <f t="shared" si="103"/>
        <v>696921.5152678142</v>
      </c>
      <c r="N376" s="356">
        <f t="shared" si="111"/>
        <v>353</v>
      </c>
      <c r="O376" s="357">
        <f t="shared" si="116"/>
        <v>29</v>
      </c>
      <c r="P376" s="357">
        <f t="shared" si="117"/>
        <v>5</v>
      </c>
      <c r="Q376" s="357">
        <f t="shared" si="118"/>
        <v>29</v>
      </c>
      <c r="R376" s="356">
        <f t="shared" si="112"/>
        <v>13089027.604443004</v>
      </c>
      <c r="S376" s="356">
        <f>IF($G$4="mensual",S375,0)</f>
        <v>10000</v>
      </c>
      <c r="U376" s="356">
        <f t="shared" si="119"/>
        <v>104453.48559991538</v>
      </c>
      <c r="V376" s="356">
        <f t="shared" si="101"/>
        <v>-237.64124063855644</v>
      </c>
      <c r="X376" s="356">
        <f t="shared" si="104"/>
        <v>-13203.481090042918</v>
      </c>
      <c r="Y376" s="356">
        <f t="shared" si="105"/>
        <v>13190039.967712238</v>
      </c>
      <c r="AA376" s="357">
        <f>+Bono!J376</f>
        <v>361475.18192811776</v>
      </c>
      <c r="AC376" s="378">
        <f t="shared" si="106"/>
        <v>29.416666666666668</v>
      </c>
      <c r="AD376" s="356">
        <f t="shared" si="107"/>
        <v>14248436.664908169</v>
      </c>
    </row>
    <row r="377" spans="2:30" x14ac:dyDescent="0.25">
      <c r="B377" s="356">
        <f t="shared" si="108"/>
        <v>354</v>
      </c>
      <c r="C377" s="357">
        <f t="shared" si="113"/>
        <v>29</v>
      </c>
      <c r="D377" s="357">
        <f t="shared" si="114"/>
        <v>6</v>
      </c>
      <c r="E377" s="357">
        <f t="shared" si="115"/>
        <v>58</v>
      </c>
      <c r="F377" s="356">
        <f t="shared" si="109"/>
        <v>696921.5152678142</v>
      </c>
      <c r="H377" s="356">
        <f t="shared" si="102"/>
        <v>5557.350030669949</v>
      </c>
      <c r="I377" s="356">
        <v>0</v>
      </c>
      <c r="J377" s="360">
        <f>-SUM(F377:H377)*$J$21</f>
        <v>-6322.309787686358</v>
      </c>
      <c r="K377" s="356">
        <f t="shared" si="110"/>
        <v>-696.1565555107978</v>
      </c>
      <c r="L377" s="356">
        <f t="shared" si="103"/>
        <v>695460.398955287</v>
      </c>
      <c r="N377" s="356">
        <f t="shared" si="111"/>
        <v>354</v>
      </c>
      <c r="O377" s="357">
        <f t="shared" si="116"/>
        <v>29</v>
      </c>
      <c r="P377" s="357">
        <f t="shared" si="117"/>
        <v>6</v>
      </c>
      <c r="Q377" s="357">
        <f t="shared" si="118"/>
        <v>29</v>
      </c>
      <c r="R377" s="356">
        <f t="shared" si="112"/>
        <v>13190039.967712238</v>
      </c>
      <c r="S377" s="356">
        <f>IF($G$4="mensual",S376,0)</f>
        <v>10000</v>
      </c>
      <c r="U377" s="356">
        <f t="shared" si="119"/>
        <v>105258.9723696797</v>
      </c>
      <c r="V377" s="356">
        <f t="shared" si="101"/>
        <v>-237.64124063855644</v>
      </c>
      <c r="X377" s="356">
        <f t="shared" si="104"/>
        <v>-13305.298940081919</v>
      </c>
      <c r="Y377" s="356">
        <f t="shared" si="105"/>
        <v>13291755.9999012</v>
      </c>
      <c r="AA377" s="357">
        <f>+Bono!J377</f>
        <v>360439.6459306827</v>
      </c>
      <c r="AC377" s="378">
        <f t="shared" si="106"/>
        <v>29.5</v>
      </c>
      <c r="AD377" s="356">
        <f t="shared" si="107"/>
        <v>14347656.04478717</v>
      </c>
    </row>
    <row r="378" spans="2:30" x14ac:dyDescent="0.25">
      <c r="B378" s="356">
        <f t="shared" si="108"/>
        <v>355</v>
      </c>
      <c r="C378" s="357">
        <f t="shared" si="113"/>
        <v>29</v>
      </c>
      <c r="D378" s="357">
        <f t="shared" si="114"/>
        <v>7</v>
      </c>
      <c r="E378" s="357">
        <f t="shared" si="115"/>
        <v>58</v>
      </c>
      <c r="F378" s="356">
        <f t="shared" si="109"/>
        <v>695460.398955287</v>
      </c>
      <c r="H378" s="356">
        <f t="shared" si="102"/>
        <v>5545.698884010895</v>
      </c>
      <c r="I378" s="356">
        <v>0</v>
      </c>
      <c r="J378" s="356">
        <v>0</v>
      </c>
      <c r="K378" s="356">
        <f t="shared" si="110"/>
        <v>-701.0060978392978</v>
      </c>
      <c r="L378" s="356">
        <f t="shared" si="103"/>
        <v>700305.0917414585</v>
      </c>
      <c r="N378" s="356">
        <f t="shared" si="111"/>
        <v>355</v>
      </c>
      <c r="O378" s="357">
        <f t="shared" si="116"/>
        <v>29</v>
      </c>
      <c r="P378" s="357">
        <f t="shared" si="117"/>
        <v>7</v>
      </c>
      <c r="Q378" s="357">
        <f t="shared" si="118"/>
        <v>29</v>
      </c>
      <c r="R378" s="356">
        <f t="shared" si="112"/>
        <v>13291755.9999012</v>
      </c>
      <c r="S378" s="356">
        <f>+IF($G$4="mensual",S372,IF($G$4="trimestral",S372,IF($G$4="semestral",S372,0)))</f>
        <v>10000</v>
      </c>
      <c r="U378" s="356">
        <f t="shared" si="119"/>
        <v>106070.07029422537</v>
      </c>
      <c r="V378" s="356">
        <f t="shared" si="101"/>
        <v>-237.64124063855644</v>
      </c>
      <c r="X378" s="356">
        <f t="shared" si="104"/>
        <v>-13407.826070195426</v>
      </c>
      <c r="Y378" s="356">
        <f t="shared" si="105"/>
        <v>13394180.602884592</v>
      </c>
      <c r="AA378" s="357">
        <f>+Bono!J378</f>
        <v>362674.41354386415</v>
      </c>
      <c r="AC378" s="378">
        <f t="shared" si="106"/>
        <v>29.583333333333332</v>
      </c>
      <c r="AD378" s="356">
        <f t="shared" si="107"/>
        <v>14457160.108169913</v>
      </c>
    </row>
    <row r="379" spans="2:30" x14ac:dyDescent="0.25">
      <c r="B379" s="356">
        <f t="shared" si="108"/>
        <v>356</v>
      </c>
      <c r="C379" s="357">
        <f t="shared" si="113"/>
        <v>29</v>
      </c>
      <c r="D379" s="357">
        <f t="shared" si="114"/>
        <v>8</v>
      </c>
      <c r="E379" s="357">
        <f t="shared" si="115"/>
        <v>58</v>
      </c>
      <c r="F379" s="356">
        <f t="shared" si="109"/>
        <v>700305.0917414585</v>
      </c>
      <c r="H379" s="356">
        <f t="shared" si="102"/>
        <v>5584.331144622724</v>
      </c>
      <c r="I379" s="356">
        <v>0</v>
      </c>
      <c r="J379" s="356">
        <v>0</v>
      </c>
      <c r="K379" s="356">
        <f t="shared" si="110"/>
        <v>-705.8894228860813</v>
      </c>
      <c r="L379" s="356">
        <f t="shared" si="103"/>
        <v>705183.5334631952</v>
      </c>
      <c r="N379" s="356">
        <f t="shared" si="111"/>
        <v>356</v>
      </c>
      <c r="O379" s="357">
        <f t="shared" si="116"/>
        <v>29</v>
      </c>
      <c r="P379" s="357">
        <f t="shared" si="117"/>
        <v>8</v>
      </c>
      <c r="Q379" s="357">
        <f t="shared" si="118"/>
        <v>29</v>
      </c>
      <c r="R379" s="356">
        <f t="shared" si="112"/>
        <v>13394180.602884592</v>
      </c>
      <c r="S379" s="356">
        <f>IF($G$4="mensual",S378,0)</f>
        <v>10000</v>
      </c>
      <c r="U379" s="356">
        <f t="shared" si="119"/>
        <v>106886.81846178966</v>
      </c>
      <c r="V379" s="356">
        <f t="shared" si="101"/>
        <v>-237.64124063855644</v>
      </c>
      <c r="X379" s="356">
        <f t="shared" si="104"/>
        <v>-13511.06742134638</v>
      </c>
      <c r="Y379" s="356">
        <f t="shared" si="105"/>
        <v>13497318.712684397</v>
      </c>
      <c r="AA379" s="357">
        <f>+Bono!J379</f>
        <v>364923.03697546426</v>
      </c>
      <c r="AC379" s="378">
        <f t="shared" si="106"/>
        <v>29.666666666666668</v>
      </c>
      <c r="AD379" s="356">
        <f t="shared" si="107"/>
        <v>14567425.283123055</v>
      </c>
    </row>
    <row r="380" spans="2:30" x14ac:dyDescent="0.25">
      <c r="B380" s="356">
        <f t="shared" si="108"/>
        <v>357</v>
      </c>
      <c r="C380" s="357">
        <f t="shared" si="113"/>
        <v>29</v>
      </c>
      <c r="D380" s="357">
        <f t="shared" si="114"/>
        <v>9</v>
      </c>
      <c r="E380" s="357">
        <f t="shared" si="115"/>
        <v>58</v>
      </c>
      <c r="F380" s="356">
        <f t="shared" si="109"/>
        <v>705183.5334631952</v>
      </c>
      <c r="H380" s="356">
        <f t="shared" si="102"/>
        <v>5623.232523986076</v>
      </c>
      <c r="I380" s="356">
        <v>0</v>
      </c>
      <c r="J380" s="360">
        <f>-SUM(F380:H380)*$J$21</f>
        <v>-6397.2608938846315</v>
      </c>
      <c r="K380" s="356">
        <f t="shared" si="110"/>
        <v>-704.4095050932966</v>
      </c>
      <c r="L380" s="356">
        <f t="shared" si="103"/>
        <v>703705.0955882033</v>
      </c>
      <c r="N380" s="356">
        <f t="shared" si="111"/>
        <v>357</v>
      </c>
      <c r="O380" s="357">
        <f t="shared" si="116"/>
        <v>29</v>
      </c>
      <c r="P380" s="357">
        <f t="shared" si="117"/>
        <v>9</v>
      </c>
      <c r="Q380" s="357">
        <f t="shared" si="118"/>
        <v>29</v>
      </c>
      <c r="R380" s="356">
        <f t="shared" si="112"/>
        <v>13497318.712684397</v>
      </c>
      <c r="S380" s="356">
        <f>IF($G$4="mensual",S379,0)</f>
        <v>10000</v>
      </c>
      <c r="U380" s="356">
        <f t="shared" si="119"/>
        <v>107709.256232905</v>
      </c>
      <c r="V380" s="356">
        <f t="shared" si="101"/>
        <v>-237.64124063855644</v>
      </c>
      <c r="X380" s="356">
        <f t="shared" si="104"/>
        <v>-13615.0279689173</v>
      </c>
      <c r="Y380" s="356">
        <f t="shared" si="105"/>
        <v>13601175.299707746</v>
      </c>
      <c r="AA380" s="357">
        <f>+Bono!J380</f>
        <v>363877.62373556837</v>
      </c>
      <c r="AC380" s="378">
        <f t="shared" si="106"/>
        <v>29.75</v>
      </c>
      <c r="AD380" s="356">
        <f t="shared" si="107"/>
        <v>14668758.019031517</v>
      </c>
    </row>
    <row r="381" spans="2:30" x14ac:dyDescent="0.25">
      <c r="B381" s="356">
        <f t="shared" si="108"/>
        <v>358</v>
      </c>
      <c r="C381" s="357">
        <f t="shared" si="113"/>
        <v>29</v>
      </c>
      <c r="D381" s="357">
        <f t="shared" si="114"/>
        <v>10</v>
      </c>
      <c r="E381" s="357">
        <f t="shared" si="115"/>
        <v>58</v>
      </c>
      <c r="F381" s="356">
        <f t="shared" si="109"/>
        <v>703705.0955882033</v>
      </c>
      <c r="H381" s="356">
        <f t="shared" si="102"/>
        <v>5611.44325275548</v>
      </c>
      <c r="I381" s="356">
        <v>0</v>
      </c>
      <c r="J381" s="356">
        <v>0</v>
      </c>
      <c r="K381" s="356">
        <f t="shared" si="110"/>
        <v>-709.3165388409587</v>
      </c>
      <c r="L381" s="356">
        <f t="shared" si="103"/>
        <v>708607.2223021177</v>
      </c>
      <c r="N381" s="356">
        <f t="shared" si="111"/>
        <v>358</v>
      </c>
      <c r="O381" s="357">
        <f t="shared" si="116"/>
        <v>29</v>
      </c>
      <c r="P381" s="357">
        <f t="shared" si="117"/>
        <v>10</v>
      </c>
      <c r="Q381" s="357">
        <f t="shared" si="118"/>
        <v>29</v>
      </c>
      <c r="R381" s="356">
        <f t="shared" si="112"/>
        <v>13601175.299707746</v>
      </c>
      <c r="S381" s="356">
        <f>IF($G$4="mensual",S372,IF($G$4="trimestral",S372,0))</f>
        <v>10000</v>
      </c>
      <c r="U381" s="356">
        <f t="shared" si="119"/>
        <v>108537.42324229584</v>
      </c>
      <c r="V381" s="356">
        <f t="shared" ref="V381:V443" si="120">V380</f>
        <v>-237.64124063855644</v>
      </c>
      <c r="X381" s="356">
        <f t="shared" si="104"/>
        <v>-13719.712722950042</v>
      </c>
      <c r="Y381" s="356">
        <f t="shared" si="105"/>
        <v>13705755.368986454</v>
      </c>
      <c r="AA381" s="357">
        <f>+Bono!J381</f>
        <v>366133.7072099208</v>
      </c>
      <c r="AC381" s="378">
        <f t="shared" si="106"/>
        <v>29.833333333333332</v>
      </c>
      <c r="AD381" s="356">
        <f t="shared" si="107"/>
        <v>14780496.298498493</v>
      </c>
    </row>
    <row r="382" spans="2:30" x14ac:dyDescent="0.25">
      <c r="B382" s="356">
        <f t="shared" si="108"/>
        <v>359</v>
      </c>
      <c r="C382" s="357">
        <f t="shared" si="113"/>
        <v>29</v>
      </c>
      <c r="D382" s="357">
        <f t="shared" si="114"/>
        <v>11</v>
      </c>
      <c r="E382" s="357">
        <f t="shared" si="115"/>
        <v>58</v>
      </c>
      <c r="F382" s="356">
        <f t="shared" si="109"/>
        <v>708607.2223021177</v>
      </c>
      <c r="H382" s="356">
        <f t="shared" si="102"/>
        <v>5650.533499572514</v>
      </c>
      <c r="I382" s="356">
        <v>0</v>
      </c>
      <c r="J382" s="356">
        <v>0</v>
      </c>
      <c r="K382" s="356">
        <f t="shared" si="110"/>
        <v>-714.2577558016903</v>
      </c>
      <c r="L382" s="356">
        <f t="shared" si="103"/>
        <v>713543.4980458886</v>
      </c>
      <c r="N382" s="356">
        <f t="shared" si="111"/>
        <v>359</v>
      </c>
      <c r="O382" s="357">
        <f t="shared" si="116"/>
        <v>29</v>
      </c>
      <c r="P382" s="357">
        <f t="shared" si="117"/>
        <v>11</v>
      </c>
      <c r="Q382" s="357">
        <f t="shared" si="118"/>
        <v>29</v>
      </c>
      <c r="R382" s="356">
        <f t="shared" si="112"/>
        <v>13705755.368986454</v>
      </c>
      <c r="S382" s="356">
        <f>IF($G$17="si",S370*(1+$G$20),S370)</f>
        <v>10000</v>
      </c>
      <c r="U382" s="356">
        <f t="shared" si="119"/>
        <v>109371.35940078874</v>
      </c>
      <c r="V382" s="356">
        <f t="shared" si="120"/>
        <v>-237.64124063855644</v>
      </c>
      <c r="X382" s="356">
        <f t="shared" si="104"/>
        <v>-13825.126728387242</v>
      </c>
      <c r="Y382" s="356">
        <f t="shared" si="105"/>
        <v>13811063.960418217</v>
      </c>
      <c r="AA382" s="357">
        <f>+Bono!J382</f>
        <v>368403.7786635037</v>
      </c>
      <c r="AC382" s="378">
        <f t="shared" si="106"/>
        <v>29.916666666666668</v>
      </c>
      <c r="AD382" s="356">
        <f t="shared" si="107"/>
        <v>14893011.237127608</v>
      </c>
    </row>
    <row r="383" spans="2:30" x14ac:dyDescent="0.25">
      <c r="B383" s="356">
        <f t="shared" si="108"/>
        <v>360</v>
      </c>
      <c r="C383" s="357">
        <f t="shared" si="113"/>
        <v>29</v>
      </c>
      <c r="D383" s="357">
        <f t="shared" si="114"/>
        <v>12</v>
      </c>
      <c r="E383" s="357">
        <f t="shared" si="115"/>
        <v>58</v>
      </c>
      <c r="F383" s="356">
        <f t="shared" si="109"/>
        <v>713543.4980458886</v>
      </c>
      <c r="H383" s="356">
        <f t="shared" si="102"/>
        <v>5689.896055549135</v>
      </c>
      <c r="I383" s="356">
        <v>0</v>
      </c>
      <c r="J383" s="360">
        <f>-SUM(F383:H383)*$J$21</f>
        <v>-6473.10054691294</v>
      </c>
      <c r="K383" s="356">
        <f t="shared" si="110"/>
        <v>-712.7602935545248</v>
      </c>
      <c r="L383" s="356">
        <f t="shared" si="103"/>
        <v>712047.5332609703</v>
      </c>
      <c r="N383" s="356">
        <f t="shared" si="111"/>
        <v>360</v>
      </c>
      <c r="O383" s="357">
        <f t="shared" si="116"/>
        <v>29</v>
      </c>
      <c r="P383" s="357">
        <f t="shared" si="117"/>
        <v>12</v>
      </c>
      <c r="Q383" s="357">
        <f t="shared" si="118"/>
        <v>29</v>
      </c>
      <c r="R383" s="356">
        <f t="shared" si="112"/>
        <v>13811063.960418217</v>
      </c>
      <c r="S383" s="356">
        <f>IF($G$4="mensual",S382,0)</f>
        <v>10000</v>
      </c>
      <c r="U383" s="356">
        <f t="shared" si="119"/>
        <v>110211.10489723568</v>
      </c>
      <c r="V383" s="356">
        <f t="shared" si="120"/>
        <v>-237.64124063855644</v>
      </c>
      <c r="X383" s="356">
        <f t="shared" si="104"/>
        <v>-13931.275065315454</v>
      </c>
      <c r="Y383" s="356">
        <f t="shared" si="105"/>
        <v>13917106.1490095</v>
      </c>
      <c r="AA383" s="357">
        <f>+Bono!J383</f>
        <v>367348.39396914584</v>
      </c>
      <c r="AC383" s="378">
        <f t="shared" si="106"/>
        <v>30</v>
      </c>
      <c r="AD383" s="356">
        <f t="shared" si="107"/>
        <v>14996502.076239616</v>
      </c>
    </row>
    <row r="384" spans="2:30" x14ac:dyDescent="0.25">
      <c r="B384" s="356">
        <f t="shared" si="108"/>
        <v>361</v>
      </c>
      <c r="C384" s="357">
        <f t="shared" si="113"/>
        <v>30</v>
      </c>
      <c r="D384" s="357">
        <f t="shared" si="114"/>
        <v>1</v>
      </c>
      <c r="E384" s="357">
        <f t="shared" si="115"/>
        <v>59</v>
      </c>
      <c r="F384" s="356">
        <f t="shared" si="109"/>
        <v>712047.5332609703</v>
      </c>
      <c r="H384" s="356">
        <f t="shared" si="102"/>
        <v>5677.967022277501</v>
      </c>
      <c r="I384" s="356">
        <v>0</v>
      </c>
      <c r="J384" s="356">
        <v>0</v>
      </c>
      <c r="K384" s="356">
        <f t="shared" si="110"/>
        <v>-717.7255002832478</v>
      </c>
      <c r="L384" s="356">
        <f t="shared" si="103"/>
        <v>717007.7747829645</v>
      </c>
      <c r="N384" s="356">
        <f t="shared" si="111"/>
        <v>361</v>
      </c>
      <c r="O384" s="357">
        <f t="shared" si="116"/>
        <v>30</v>
      </c>
      <c r="P384" s="357">
        <f t="shared" si="117"/>
        <v>1</v>
      </c>
      <c r="Q384" s="357">
        <f t="shared" si="118"/>
        <v>30</v>
      </c>
      <c r="R384" s="356">
        <f t="shared" si="112"/>
        <v>13917106.1490095</v>
      </c>
      <c r="S384" s="356">
        <f>IF($G$17="si",S372*(1+$G$20),S372)</f>
        <v>10000</v>
      </c>
      <c r="U384" s="356">
        <f t="shared" si="119"/>
        <v>111056.70020045087</v>
      </c>
      <c r="V384" s="356">
        <f>V383*(1+$G$18)</f>
        <v>-247.14689026409872</v>
      </c>
      <c r="X384" s="356">
        <f t="shared" si="104"/>
        <v>-14038.162849209952</v>
      </c>
      <c r="Y384" s="356">
        <f t="shared" si="105"/>
        <v>14023877.539470477</v>
      </c>
      <c r="AA384" s="357">
        <f>+Bono!J384</f>
        <v>369625.9966215309</v>
      </c>
      <c r="AC384" s="378">
        <f t="shared" si="106"/>
        <v>30.083333333333332</v>
      </c>
      <c r="AD384" s="356">
        <f t="shared" si="107"/>
        <v>15110511.310874972</v>
      </c>
    </row>
    <row r="385" spans="2:30" x14ac:dyDescent="0.25">
      <c r="B385" s="356">
        <f t="shared" si="108"/>
        <v>362</v>
      </c>
      <c r="C385" s="357">
        <f t="shared" si="113"/>
        <v>30</v>
      </c>
      <c r="D385" s="357">
        <f t="shared" si="114"/>
        <v>2</v>
      </c>
      <c r="E385" s="357">
        <f t="shared" si="115"/>
        <v>59</v>
      </c>
      <c r="F385" s="356">
        <f t="shared" si="109"/>
        <v>717007.7747829645</v>
      </c>
      <c r="H385" s="356">
        <f t="shared" si="102"/>
        <v>5717.520684735162</v>
      </c>
      <c r="I385" s="356">
        <v>0</v>
      </c>
      <c r="J385" s="356">
        <v>0</v>
      </c>
      <c r="K385" s="356">
        <f t="shared" si="110"/>
        <v>-722.7252954676997</v>
      </c>
      <c r="L385" s="356">
        <f t="shared" si="103"/>
        <v>722002.570172232</v>
      </c>
      <c r="N385" s="356">
        <f t="shared" si="111"/>
        <v>362</v>
      </c>
      <c r="O385" s="357">
        <f t="shared" si="116"/>
        <v>30</v>
      </c>
      <c r="P385" s="357">
        <f t="shared" si="117"/>
        <v>2</v>
      </c>
      <c r="Q385" s="357">
        <f t="shared" si="118"/>
        <v>30</v>
      </c>
      <c r="R385" s="356">
        <f t="shared" si="112"/>
        <v>14023877.539470477</v>
      </c>
      <c r="S385" s="356">
        <f>IF($G$4="mensual",S384,0)</f>
        <v>10000</v>
      </c>
      <c r="U385" s="356">
        <f t="shared" si="119"/>
        <v>111908.11026177602</v>
      </c>
      <c r="V385" s="356">
        <f>V384</f>
        <v>-247.14689026409872</v>
      </c>
      <c r="X385" s="356">
        <f t="shared" si="104"/>
        <v>-14145.785649732254</v>
      </c>
      <c r="Y385" s="356">
        <f t="shared" si="105"/>
        <v>14131392.717192257</v>
      </c>
      <c r="AA385" s="357">
        <f>+Bono!J385</f>
        <v>371917.7206745463</v>
      </c>
      <c r="AC385" s="378">
        <f t="shared" si="106"/>
        <v>30.166666666666668</v>
      </c>
      <c r="AD385" s="356">
        <f t="shared" si="107"/>
        <v>15225313.008039035</v>
      </c>
    </row>
    <row r="386" spans="2:30" x14ac:dyDescent="0.25">
      <c r="B386" s="356">
        <f t="shared" si="108"/>
        <v>363</v>
      </c>
      <c r="C386" s="357">
        <f t="shared" si="113"/>
        <v>30</v>
      </c>
      <c r="D386" s="357">
        <f t="shared" si="114"/>
        <v>3</v>
      </c>
      <c r="E386" s="357">
        <f t="shared" si="115"/>
        <v>59</v>
      </c>
      <c r="F386" s="356">
        <f t="shared" si="109"/>
        <v>722002.570172232</v>
      </c>
      <c r="H386" s="356">
        <f t="shared" si="102"/>
        <v>5757.349884582823</v>
      </c>
      <c r="I386" s="356">
        <v>0</v>
      </c>
      <c r="J386" s="360">
        <f>-SUM(F386:H386)*$J$21</f>
        <v>-6549.8392805113335</v>
      </c>
      <c r="K386" s="356">
        <f t="shared" si="110"/>
        <v>-721.2100807763035</v>
      </c>
      <c r="L386" s="356">
        <f t="shared" si="103"/>
        <v>720488.8706955272</v>
      </c>
      <c r="N386" s="356">
        <f t="shared" si="111"/>
        <v>363</v>
      </c>
      <c r="O386" s="357">
        <f t="shared" si="116"/>
        <v>30</v>
      </c>
      <c r="P386" s="357">
        <f t="shared" si="117"/>
        <v>3</v>
      </c>
      <c r="Q386" s="357">
        <f t="shared" si="118"/>
        <v>30</v>
      </c>
      <c r="R386" s="356">
        <f t="shared" si="112"/>
        <v>14131392.717192257</v>
      </c>
      <c r="S386" s="356">
        <f>IF($G$4="mensual",S385,0)</f>
        <v>10000</v>
      </c>
      <c r="U386" s="356">
        <f t="shared" si="119"/>
        <v>112765.45138716802</v>
      </c>
      <c r="V386" s="356">
        <f t="shared" si="120"/>
        <v>-247.14689026409872</v>
      </c>
      <c r="X386" s="356">
        <f t="shared" si="104"/>
        <v>-14254.158168579426</v>
      </c>
      <c r="Y386" s="356">
        <f t="shared" si="105"/>
        <v>14239656.863520583</v>
      </c>
      <c r="AA386" s="357">
        <f>+Bono!J386</f>
        <v>370852.2694151039</v>
      </c>
      <c r="AC386" s="378">
        <f t="shared" si="106"/>
        <v>30.25</v>
      </c>
      <c r="AD386" s="356">
        <f t="shared" si="107"/>
        <v>15330998.003631216</v>
      </c>
    </row>
    <row r="387" spans="2:30" x14ac:dyDescent="0.25">
      <c r="B387" s="356">
        <f t="shared" si="108"/>
        <v>364</v>
      </c>
      <c r="C387" s="357">
        <f t="shared" si="113"/>
        <v>30</v>
      </c>
      <c r="D387" s="357">
        <f t="shared" si="114"/>
        <v>4</v>
      </c>
      <c r="E387" s="357">
        <f t="shared" si="115"/>
        <v>59</v>
      </c>
      <c r="F387" s="356">
        <f t="shared" si="109"/>
        <v>720488.8706955272</v>
      </c>
      <c r="H387" s="356">
        <f t="shared" si="102"/>
        <v>5745.27943238842</v>
      </c>
      <c r="I387" s="356">
        <v>0</v>
      </c>
      <c r="J387" s="356">
        <v>0</v>
      </c>
      <c r="K387" s="356">
        <f t="shared" si="110"/>
        <v>-726.2341501279155</v>
      </c>
      <c r="L387" s="356">
        <f t="shared" si="103"/>
        <v>725507.9159777876</v>
      </c>
      <c r="N387" s="356">
        <f t="shared" si="111"/>
        <v>364</v>
      </c>
      <c r="O387" s="357">
        <f t="shared" si="116"/>
        <v>30</v>
      </c>
      <c r="P387" s="357">
        <f t="shared" si="117"/>
        <v>4</v>
      </c>
      <c r="Q387" s="357">
        <f t="shared" si="118"/>
        <v>30</v>
      </c>
      <c r="R387" s="356">
        <f t="shared" si="112"/>
        <v>14239656.863520583</v>
      </c>
      <c r="S387" s="356">
        <f>IF($G$4="mensual",S384,IF($G$4="trimestral",S384,0))</f>
        <v>10000</v>
      </c>
      <c r="U387" s="356">
        <f t="shared" si="119"/>
        <v>113628.76489340549</v>
      </c>
      <c r="V387" s="356">
        <f t="shared" si="120"/>
        <v>-247.14689026409872</v>
      </c>
      <c r="X387" s="356">
        <f t="shared" si="104"/>
        <v>-14363.285628413989</v>
      </c>
      <c r="Y387" s="356">
        <f t="shared" si="105"/>
        <v>14348675.19589531</v>
      </c>
      <c r="AA387" s="357">
        <f>+Bono!J387</f>
        <v>373151.5965016783</v>
      </c>
      <c r="AC387" s="378">
        <f t="shared" si="106"/>
        <v>30.333333333333332</v>
      </c>
      <c r="AD387" s="356">
        <f t="shared" si="107"/>
        <v>15447334.708374776</v>
      </c>
    </row>
    <row r="388" spans="2:30" x14ac:dyDescent="0.25">
      <c r="B388" s="356">
        <f t="shared" si="108"/>
        <v>365</v>
      </c>
      <c r="C388" s="357">
        <f t="shared" si="113"/>
        <v>30</v>
      </c>
      <c r="D388" s="357">
        <f t="shared" si="114"/>
        <v>5</v>
      </c>
      <c r="E388" s="357">
        <f t="shared" si="115"/>
        <v>59</v>
      </c>
      <c r="F388" s="356">
        <f t="shared" si="109"/>
        <v>725507.9159777876</v>
      </c>
      <c r="H388" s="356">
        <f t="shared" si="102"/>
        <v>5785.302004288191</v>
      </c>
      <c r="I388" s="356">
        <v>0</v>
      </c>
      <c r="J388" s="356">
        <v>0</v>
      </c>
      <c r="K388" s="356">
        <f t="shared" si="110"/>
        <v>-731.2932179820758</v>
      </c>
      <c r="L388" s="356">
        <f t="shared" si="103"/>
        <v>730561.9247640937</v>
      </c>
      <c r="N388" s="356">
        <f t="shared" si="111"/>
        <v>365</v>
      </c>
      <c r="O388" s="357">
        <f t="shared" si="116"/>
        <v>30</v>
      </c>
      <c r="P388" s="357">
        <f t="shared" si="117"/>
        <v>5</v>
      </c>
      <c r="Q388" s="357">
        <f t="shared" si="118"/>
        <v>30</v>
      </c>
      <c r="R388" s="356">
        <f t="shared" si="112"/>
        <v>14348675.19589531</v>
      </c>
      <c r="S388" s="356">
        <f>IF($G$4="mensual",S387,0)</f>
        <v>10000</v>
      </c>
      <c r="U388" s="356">
        <f t="shared" si="119"/>
        <v>114498.09238508648</v>
      </c>
      <c r="V388" s="356">
        <f t="shared" si="120"/>
        <v>-247.14689026409872</v>
      </c>
      <c r="X388" s="356">
        <f t="shared" si="104"/>
        <v>-14473.173288280397</v>
      </c>
      <c r="Y388" s="356">
        <f t="shared" si="105"/>
        <v>14458452.968101854</v>
      </c>
      <c r="AA388" s="357">
        <f>+Bono!J388</f>
        <v>375465.17968289484</v>
      </c>
      <c r="AC388" s="378">
        <f t="shared" si="106"/>
        <v>30.416666666666668</v>
      </c>
      <c r="AD388" s="356">
        <f t="shared" si="107"/>
        <v>15564480.072548842</v>
      </c>
    </row>
    <row r="389" spans="2:30" x14ac:dyDescent="0.25">
      <c r="B389" s="356">
        <f t="shared" si="108"/>
        <v>366</v>
      </c>
      <c r="C389" s="357">
        <f t="shared" si="113"/>
        <v>30</v>
      </c>
      <c r="D389" s="357">
        <f t="shared" si="114"/>
        <v>6</v>
      </c>
      <c r="E389" s="357">
        <f t="shared" si="115"/>
        <v>59</v>
      </c>
      <c r="F389" s="356">
        <f t="shared" si="109"/>
        <v>730561.9247640937</v>
      </c>
      <c r="H389" s="356">
        <f t="shared" si="102"/>
        <v>5825.60338007911</v>
      </c>
      <c r="I389" s="356">
        <v>0</v>
      </c>
      <c r="J389" s="360">
        <f>-SUM(F389:H389)*$J$21</f>
        <v>-6627.487753297556</v>
      </c>
      <c r="K389" s="356">
        <f t="shared" si="110"/>
        <v>-729.7600403908754</v>
      </c>
      <c r="L389" s="356">
        <f t="shared" si="103"/>
        <v>729030.2803504844</v>
      </c>
      <c r="N389" s="356">
        <f t="shared" si="111"/>
        <v>366</v>
      </c>
      <c r="O389" s="357">
        <f t="shared" si="116"/>
        <v>30</v>
      </c>
      <c r="P389" s="357">
        <f t="shared" si="117"/>
        <v>6</v>
      </c>
      <c r="Q389" s="357">
        <f t="shared" si="118"/>
        <v>30</v>
      </c>
      <c r="R389" s="356">
        <f t="shared" si="112"/>
        <v>14458452.968101854</v>
      </c>
      <c r="S389" s="356">
        <f>IF($G$4="mensual",S388,0)</f>
        <v>10000</v>
      </c>
      <c r="U389" s="356">
        <f t="shared" si="119"/>
        <v>115373.47575663365</v>
      </c>
      <c r="V389" s="356">
        <f t="shared" si="120"/>
        <v>-247.14689026409872</v>
      </c>
      <c r="X389" s="356">
        <f t="shared" si="104"/>
        <v>-14583.826443858488</v>
      </c>
      <c r="Y389" s="356">
        <f t="shared" si="105"/>
        <v>14568995.470524365</v>
      </c>
      <c r="AA389" s="357">
        <f>+Bono!J389</f>
        <v>374389.5658405526</v>
      </c>
      <c r="AC389" s="378">
        <f t="shared" si="106"/>
        <v>30.5</v>
      </c>
      <c r="AD389" s="356">
        <f t="shared" si="107"/>
        <v>15672415.316715403</v>
      </c>
    </row>
    <row r="390" spans="2:30" x14ac:dyDescent="0.25">
      <c r="B390" s="356">
        <f t="shared" si="108"/>
        <v>367</v>
      </c>
      <c r="C390" s="357">
        <f t="shared" si="113"/>
        <v>30</v>
      </c>
      <c r="D390" s="357">
        <f t="shared" si="114"/>
        <v>7</v>
      </c>
      <c r="E390" s="357">
        <f t="shared" si="115"/>
        <v>59</v>
      </c>
      <c r="F390" s="356">
        <f t="shared" si="109"/>
        <v>729030.2803504844</v>
      </c>
      <c r="H390" s="356">
        <f t="shared" si="102"/>
        <v>5813.389832437843</v>
      </c>
      <c r="I390" s="356">
        <v>0</v>
      </c>
      <c r="J390" s="356">
        <v>0</v>
      </c>
      <c r="K390" s="356">
        <f t="shared" si="110"/>
        <v>-734.8436701829223</v>
      </c>
      <c r="L390" s="356">
        <f t="shared" si="103"/>
        <v>734108.8265127393</v>
      </c>
      <c r="N390" s="356">
        <f t="shared" si="111"/>
        <v>367</v>
      </c>
      <c r="O390" s="357">
        <f t="shared" si="116"/>
        <v>30</v>
      </c>
      <c r="P390" s="357">
        <f t="shared" si="117"/>
        <v>7</v>
      </c>
      <c r="Q390" s="357">
        <f t="shared" si="118"/>
        <v>30</v>
      </c>
      <c r="R390" s="356">
        <f t="shared" si="112"/>
        <v>14568995.470524365</v>
      </c>
      <c r="S390" s="356">
        <f>+IF($G$4="mensual",S384,IF($G$4="trimestral",S384,IF($G$4="semestral",S384,0)))</f>
        <v>10000</v>
      </c>
      <c r="U390" s="356">
        <f t="shared" si="119"/>
        <v>116254.9571943132</v>
      </c>
      <c r="V390" s="356">
        <f t="shared" si="120"/>
        <v>-247.14689026409872</v>
      </c>
      <c r="X390" s="356">
        <f t="shared" si="104"/>
        <v>-14695.250427718678</v>
      </c>
      <c r="Y390" s="356">
        <f t="shared" si="105"/>
        <v>14680308.030400695</v>
      </c>
      <c r="AA390" s="357">
        <f>+Bono!J390</f>
        <v>376710.8245752658</v>
      </c>
      <c r="AC390" s="378">
        <f t="shared" si="106"/>
        <v>30.583333333333332</v>
      </c>
      <c r="AD390" s="356">
        <f t="shared" si="107"/>
        <v>15791127.6814887</v>
      </c>
    </row>
    <row r="391" spans="2:30" x14ac:dyDescent="0.25">
      <c r="B391" s="356">
        <f t="shared" si="108"/>
        <v>368</v>
      </c>
      <c r="C391" s="357">
        <f t="shared" si="113"/>
        <v>30</v>
      </c>
      <c r="D391" s="357">
        <f t="shared" si="114"/>
        <v>8</v>
      </c>
      <c r="E391" s="357">
        <f t="shared" si="115"/>
        <v>59</v>
      </c>
      <c r="F391" s="356">
        <f t="shared" si="109"/>
        <v>734108.8265127393</v>
      </c>
      <c r="H391" s="356">
        <f t="shared" si="102"/>
        <v>5853.886872710334</v>
      </c>
      <c r="I391" s="356">
        <v>0</v>
      </c>
      <c r="J391" s="356">
        <v>0</v>
      </c>
      <c r="K391" s="356">
        <f t="shared" si="110"/>
        <v>-739.9627133854497</v>
      </c>
      <c r="L391" s="356">
        <f t="shared" si="103"/>
        <v>739222.7506720641</v>
      </c>
      <c r="N391" s="356">
        <f t="shared" si="111"/>
        <v>368</v>
      </c>
      <c r="O391" s="357">
        <f t="shared" si="116"/>
        <v>30</v>
      </c>
      <c r="P391" s="357">
        <f t="shared" si="117"/>
        <v>8</v>
      </c>
      <c r="Q391" s="357">
        <f t="shared" si="118"/>
        <v>30</v>
      </c>
      <c r="R391" s="356">
        <f t="shared" si="112"/>
        <v>14680308.030400695</v>
      </c>
      <c r="S391" s="356">
        <f>IF($G$4="mensual",S390,0)</f>
        <v>10000</v>
      </c>
      <c r="U391" s="356">
        <f t="shared" si="119"/>
        <v>117142.57917826781</v>
      </c>
      <c r="V391" s="356">
        <f t="shared" si="120"/>
        <v>-247.14689026409872</v>
      </c>
      <c r="X391" s="356">
        <f t="shared" si="104"/>
        <v>-14807.450609578964</v>
      </c>
      <c r="Y391" s="356">
        <f t="shared" si="105"/>
        <v>14792396.01207912</v>
      </c>
      <c r="AA391" s="357">
        <f>+Bono!J391</f>
        <v>379046.4753833835</v>
      </c>
      <c r="AC391" s="378">
        <f t="shared" si="106"/>
        <v>30.666666666666668</v>
      </c>
      <c r="AD391" s="356">
        <f t="shared" si="107"/>
        <v>15910665.238134569</v>
      </c>
    </row>
    <row r="392" spans="2:30" x14ac:dyDescent="0.25">
      <c r="B392" s="356">
        <f t="shared" si="108"/>
        <v>369</v>
      </c>
      <c r="C392" s="357">
        <f t="shared" si="113"/>
        <v>30</v>
      </c>
      <c r="D392" s="357">
        <f t="shared" si="114"/>
        <v>9</v>
      </c>
      <c r="E392" s="357">
        <f t="shared" si="115"/>
        <v>59</v>
      </c>
      <c r="F392" s="356">
        <f t="shared" si="109"/>
        <v>739222.7506720641</v>
      </c>
      <c r="H392" s="356">
        <f t="shared" si="102"/>
        <v>5894.666022099554</v>
      </c>
      <c r="I392" s="356">
        <v>0</v>
      </c>
      <c r="J392" s="360">
        <f>-SUM(F392:H392)*$J$21</f>
        <v>-6706.056750247474</v>
      </c>
      <c r="K392" s="356">
        <f t="shared" si="110"/>
        <v>-738.4113599439162</v>
      </c>
      <c r="L392" s="356">
        <f t="shared" si="103"/>
        <v>737672.9485839723</v>
      </c>
      <c r="N392" s="356">
        <f t="shared" si="111"/>
        <v>369</v>
      </c>
      <c r="O392" s="357">
        <f t="shared" si="116"/>
        <v>30</v>
      </c>
      <c r="P392" s="357">
        <f t="shared" si="117"/>
        <v>9</v>
      </c>
      <c r="Q392" s="357">
        <f t="shared" si="118"/>
        <v>30</v>
      </c>
      <c r="R392" s="356">
        <f t="shared" si="112"/>
        <v>14792396.01207912</v>
      </c>
      <c r="S392" s="356">
        <f>IF($G$4="mensual",S391,0)</f>
        <v>10000</v>
      </c>
      <c r="U392" s="356">
        <f t="shared" si="119"/>
        <v>118036.38448456397</v>
      </c>
      <c r="V392" s="356">
        <f t="shared" si="120"/>
        <v>-247.14689026409872</v>
      </c>
      <c r="X392" s="356">
        <f t="shared" si="104"/>
        <v>-14920.432396563685</v>
      </c>
      <c r="Y392" s="356">
        <f t="shared" si="105"/>
        <v>14905264.817276858</v>
      </c>
      <c r="AA392" s="357">
        <f>+Bono!J392</f>
        <v>377960.60202448047</v>
      </c>
      <c r="AC392" s="378">
        <f t="shared" si="106"/>
        <v>30.75</v>
      </c>
      <c r="AD392" s="356">
        <f t="shared" si="107"/>
        <v>16020898.36788531</v>
      </c>
    </row>
    <row r="393" spans="2:30" x14ac:dyDescent="0.25">
      <c r="B393" s="356">
        <f t="shared" si="108"/>
        <v>370</v>
      </c>
      <c r="C393" s="357">
        <f t="shared" si="113"/>
        <v>30</v>
      </c>
      <c r="D393" s="357">
        <f t="shared" si="114"/>
        <v>10</v>
      </c>
      <c r="E393" s="357">
        <f t="shared" si="115"/>
        <v>59</v>
      </c>
      <c r="F393" s="356">
        <f t="shared" si="109"/>
        <v>737672.9485839723</v>
      </c>
      <c r="H393" s="356">
        <f t="shared" si="102"/>
        <v>5882.307682612101</v>
      </c>
      <c r="I393" s="356">
        <v>0</v>
      </c>
      <c r="J393" s="356">
        <v>0</v>
      </c>
      <c r="K393" s="356">
        <f t="shared" si="110"/>
        <v>-743.5552562665844</v>
      </c>
      <c r="L393" s="356">
        <f t="shared" si="103"/>
        <v>742811.7010103178</v>
      </c>
      <c r="N393" s="356">
        <f t="shared" si="111"/>
        <v>370</v>
      </c>
      <c r="O393" s="357">
        <f t="shared" si="116"/>
        <v>30</v>
      </c>
      <c r="P393" s="357">
        <f t="shared" si="117"/>
        <v>10</v>
      </c>
      <c r="Q393" s="357">
        <f t="shared" si="118"/>
        <v>30</v>
      </c>
      <c r="R393" s="356">
        <f t="shared" si="112"/>
        <v>14905264.817276858</v>
      </c>
      <c r="S393" s="356">
        <f>IF($G$4="mensual",S384,IF($G$4="trimestral",S384,0))</f>
        <v>10000</v>
      </c>
      <c r="U393" s="356">
        <f t="shared" si="119"/>
        <v>118936.41618725332</v>
      </c>
      <c r="V393" s="356">
        <f t="shared" si="120"/>
        <v>-247.14689026409872</v>
      </c>
      <c r="X393" s="356">
        <f t="shared" si="104"/>
        <v>-15034.201233464111</v>
      </c>
      <c r="Y393" s="356">
        <f t="shared" si="105"/>
        <v>15018919.885340383</v>
      </c>
      <c r="AA393" s="357">
        <f>+Bono!J393</f>
        <v>380304.00159774855</v>
      </c>
      <c r="AC393" s="378">
        <f t="shared" si="106"/>
        <v>30.833333333333332</v>
      </c>
      <c r="AD393" s="356">
        <f t="shared" si="107"/>
        <v>16142035.58794845</v>
      </c>
    </row>
    <row r="394" spans="2:30" x14ac:dyDescent="0.25">
      <c r="B394" s="356">
        <f t="shared" si="108"/>
        <v>371</v>
      </c>
      <c r="C394" s="357">
        <f t="shared" si="113"/>
        <v>30</v>
      </c>
      <c r="D394" s="357">
        <f t="shared" si="114"/>
        <v>11</v>
      </c>
      <c r="E394" s="357">
        <f t="shared" si="115"/>
        <v>59</v>
      </c>
      <c r="F394" s="356">
        <f t="shared" si="109"/>
        <v>742811.7010103178</v>
      </c>
      <c r="H394" s="356">
        <f t="shared" si="102"/>
        <v>5923.28481608915</v>
      </c>
      <c r="I394" s="356">
        <v>0</v>
      </c>
      <c r="J394" s="356">
        <v>0</v>
      </c>
      <c r="K394" s="356">
        <f t="shared" si="110"/>
        <v>-748.734985826407</v>
      </c>
      <c r="L394" s="356">
        <f t="shared" si="103"/>
        <v>747986.2508405806</v>
      </c>
      <c r="N394" s="356">
        <f t="shared" si="111"/>
        <v>371</v>
      </c>
      <c r="O394" s="357">
        <f t="shared" si="116"/>
        <v>30</v>
      </c>
      <c r="P394" s="357">
        <f t="shared" si="117"/>
        <v>11</v>
      </c>
      <c r="Q394" s="357">
        <f t="shared" si="118"/>
        <v>30</v>
      </c>
      <c r="R394" s="356">
        <f t="shared" si="112"/>
        <v>15018919.885340383</v>
      </c>
      <c r="S394" s="356">
        <f>IF($G$17="si",S382*(1+$G$20),S382)</f>
        <v>10000</v>
      </c>
      <c r="U394" s="356">
        <f t="shared" si="119"/>
        <v>119842.71766044847</v>
      </c>
      <c r="V394" s="356">
        <f t="shared" si="120"/>
        <v>-247.14689026409872</v>
      </c>
      <c r="X394" s="356">
        <f t="shared" si="104"/>
        <v>-15148.76260300083</v>
      </c>
      <c r="Y394" s="356">
        <f t="shared" si="105"/>
        <v>15133366.693507565</v>
      </c>
      <c r="AA394" s="357">
        <f>+Bono!J394</f>
        <v>382661.9305201884</v>
      </c>
      <c r="AC394" s="378">
        <f t="shared" si="106"/>
        <v>30.916666666666668</v>
      </c>
      <c r="AD394" s="356">
        <f t="shared" si="107"/>
        <v>16264014.874868333</v>
      </c>
    </row>
    <row r="395" spans="2:30" x14ac:dyDescent="0.25">
      <c r="B395" s="356">
        <f t="shared" si="108"/>
        <v>372</v>
      </c>
      <c r="C395" s="357">
        <f t="shared" si="113"/>
        <v>30</v>
      </c>
      <c r="D395" s="357">
        <f t="shared" si="114"/>
        <v>12</v>
      </c>
      <c r="E395" s="357">
        <f t="shared" si="115"/>
        <v>59</v>
      </c>
      <c r="F395" s="356">
        <f t="shared" si="109"/>
        <v>747986.2508405806</v>
      </c>
      <c r="H395" s="356">
        <f t="shared" si="102"/>
        <v>5964.547403092026</v>
      </c>
      <c r="I395" s="356">
        <v>0</v>
      </c>
      <c r="J395" s="360">
        <f>-SUM(F395:H395)*$J$21</f>
        <v>-6785.557184193054</v>
      </c>
      <c r="K395" s="356">
        <f t="shared" si="110"/>
        <v>-747.1652410594795</v>
      </c>
      <c r="L395" s="356">
        <f t="shared" si="103"/>
        <v>746418.07581842</v>
      </c>
      <c r="N395" s="356">
        <f t="shared" si="111"/>
        <v>372</v>
      </c>
      <c r="O395" s="357">
        <f t="shared" si="116"/>
        <v>30</v>
      </c>
      <c r="P395" s="357">
        <f t="shared" si="117"/>
        <v>12</v>
      </c>
      <c r="Q395" s="357">
        <f t="shared" si="118"/>
        <v>30</v>
      </c>
      <c r="R395" s="356">
        <f t="shared" si="112"/>
        <v>15133366.693507565</v>
      </c>
      <c r="S395" s="356">
        <f>IF($G$4="mensual",S394,0)</f>
        <v>10000</v>
      </c>
      <c r="U395" s="356">
        <f t="shared" si="119"/>
        <v>120755.3325804134</v>
      </c>
      <c r="V395" s="356">
        <f t="shared" si="120"/>
        <v>-247.14689026409872</v>
      </c>
      <c r="X395" s="356">
        <f t="shared" si="104"/>
        <v>-15264.12202608798</v>
      </c>
      <c r="Y395" s="356">
        <f t="shared" si="105"/>
        <v>15248610.757171627</v>
      </c>
      <c r="AA395" s="357">
        <f>+Bono!J395</f>
        <v>381565.6997864822</v>
      </c>
      <c r="AC395" s="378">
        <f t="shared" si="106"/>
        <v>31</v>
      </c>
      <c r="AD395" s="356">
        <f t="shared" si="107"/>
        <v>16376594.532776529</v>
      </c>
    </row>
    <row r="396" spans="2:30" x14ac:dyDescent="0.25">
      <c r="B396" s="356">
        <f t="shared" si="108"/>
        <v>373</v>
      </c>
      <c r="C396" s="357">
        <f t="shared" si="113"/>
        <v>31</v>
      </c>
      <c r="D396" s="357">
        <f t="shared" si="114"/>
        <v>1</v>
      </c>
      <c r="E396" s="357">
        <f t="shared" si="115"/>
        <v>60</v>
      </c>
      <c r="F396" s="356">
        <f t="shared" si="109"/>
        <v>746418.07581842</v>
      </c>
      <c r="H396" s="356">
        <f t="shared" si="102"/>
        <v>5952.042555248218</v>
      </c>
      <c r="I396" s="356">
        <v>0</v>
      </c>
      <c r="J396" s="356">
        <v>0</v>
      </c>
      <c r="K396" s="356">
        <f t="shared" si="110"/>
        <v>-752.3701183736683</v>
      </c>
      <c r="L396" s="356">
        <f t="shared" si="103"/>
        <v>751617.7482552946</v>
      </c>
      <c r="N396" s="356">
        <f t="shared" si="111"/>
        <v>373</v>
      </c>
      <c r="O396" s="357">
        <f t="shared" si="116"/>
        <v>31</v>
      </c>
      <c r="P396" s="357">
        <f t="shared" si="117"/>
        <v>1</v>
      </c>
      <c r="Q396" s="357">
        <f t="shared" si="118"/>
        <v>31</v>
      </c>
      <c r="R396" s="356">
        <f t="shared" si="112"/>
        <v>15248610.757171627</v>
      </c>
      <c r="S396" s="356">
        <f>IF($G$17="si",S384*(1+$G$20),S384)</f>
        <v>10000</v>
      </c>
      <c r="U396" s="356">
        <f t="shared" si="119"/>
        <v>121674.30492766816</v>
      </c>
      <c r="V396" s="356">
        <f>V395*(1+$G$18)</f>
        <v>-257.0327658746627</v>
      </c>
      <c r="X396" s="356">
        <f t="shared" si="104"/>
        <v>-15380.285062099296</v>
      </c>
      <c r="Y396" s="356">
        <f t="shared" si="105"/>
        <v>15364647.744271321</v>
      </c>
      <c r="AA396" s="357">
        <f>+Bono!J396</f>
        <v>383931.4513840402</v>
      </c>
      <c r="AC396" s="378">
        <f t="shared" si="106"/>
        <v>31.083333333333332</v>
      </c>
      <c r="AD396" s="356">
        <f t="shared" si="107"/>
        <v>16500196.943910655</v>
      </c>
    </row>
    <row r="397" spans="2:30" x14ac:dyDescent="0.25">
      <c r="B397" s="356">
        <f t="shared" si="108"/>
        <v>374</v>
      </c>
      <c r="C397" s="357">
        <f t="shared" si="113"/>
        <v>31</v>
      </c>
      <c r="D397" s="357">
        <f t="shared" si="114"/>
        <v>2</v>
      </c>
      <c r="E397" s="357">
        <f t="shared" si="115"/>
        <v>60</v>
      </c>
      <c r="F397" s="356">
        <f t="shared" si="109"/>
        <v>751617.7482552946</v>
      </c>
      <c r="H397" s="356">
        <f t="shared" si="102"/>
        <v>5993.505473444156</v>
      </c>
      <c r="I397" s="356">
        <v>0</v>
      </c>
      <c r="J397" s="356">
        <v>0</v>
      </c>
      <c r="K397" s="356">
        <f t="shared" si="110"/>
        <v>-757.6112537287388</v>
      </c>
      <c r="L397" s="356">
        <f t="shared" si="103"/>
        <v>756853.64247501</v>
      </c>
      <c r="N397" s="356">
        <f t="shared" si="111"/>
        <v>374</v>
      </c>
      <c r="O397" s="357">
        <f t="shared" si="116"/>
        <v>31</v>
      </c>
      <c r="P397" s="357">
        <f t="shared" si="117"/>
        <v>2</v>
      </c>
      <c r="Q397" s="357">
        <f t="shared" si="118"/>
        <v>31</v>
      </c>
      <c r="R397" s="356">
        <f t="shared" si="112"/>
        <v>15364647.744271321</v>
      </c>
      <c r="S397" s="356">
        <f>IF($G$4="mensual",S396,0)</f>
        <v>10000</v>
      </c>
      <c r="U397" s="356">
        <f t="shared" si="119"/>
        <v>122599.600157748</v>
      </c>
      <c r="V397" s="356">
        <f>V396</f>
        <v>-257.0327658746627</v>
      </c>
      <c r="X397" s="356">
        <f t="shared" si="104"/>
        <v>-15497.24734442907</v>
      </c>
      <c r="Y397" s="356">
        <f t="shared" si="105"/>
        <v>15481493.064318767</v>
      </c>
      <c r="AA397" s="357">
        <f>+Bono!J397</f>
        <v>386311.8709159132</v>
      </c>
      <c r="AC397" s="378">
        <f t="shared" si="106"/>
        <v>31.166666666666668</v>
      </c>
      <c r="AD397" s="356">
        <f t="shared" si="107"/>
        <v>16624658.577709692</v>
      </c>
    </row>
    <row r="398" spans="2:30" x14ac:dyDescent="0.25">
      <c r="B398" s="356">
        <f t="shared" si="108"/>
        <v>375</v>
      </c>
      <c r="C398" s="357">
        <f t="shared" si="113"/>
        <v>31</v>
      </c>
      <c r="D398" s="357">
        <f t="shared" si="114"/>
        <v>3</v>
      </c>
      <c r="E398" s="357">
        <f t="shared" si="115"/>
        <v>60</v>
      </c>
      <c r="F398" s="356">
        <f t="shared" si="109"/>
        <v>756853.64247501</v>
      </c>
      <c r="H398" s="356">
        <f t="shared" si="102"/>
        <v>6035.2572292230525</v>
      </c>
      <c r="I398" s="356">
        <v>0</v>
      </c>
      <c r="J398" s="360">
        <f>-SUM(F398:H398)*$J$21</f>
        <v>-6866.000097338098</v>
      </c>
      <c r="K398" s="356">
        <f t="shared" si="110"/>
        <v>-756.022899606895</v>
      </c>
      <c r="L398" s="356">
        <f t="shared" si="103"/>
        <v>755266.8767072881</v>
      </c>
      <c r="N398" s="356">
        <f t="shared" si="111"/>
        <v>375</v>
      </c>
      <c r="O398" s="357">
        <f t="shared" si="116"/>
        <v>31</v>
      </c>
      <c r="P398" s="357">
        <f t="shared" si="117"/>
        <v>3</v>
      </c>
      <c r="Q398" s="357">
        <f t="shared" si="118"/>
        <v>31</v>
      </c>
      <c r="R398" s="356">
        <f t="shared" si="112"/>
        <v>15481493.064318767</v>
      </c>
      <c r="S398" s="356">
        <f>IF($G$4="mensual",S397,0)</f>
        <v>10000</v>
      </c>
      <c r="U398" s="356">
        <f t="shared" si="119"/>
        <v>123531.34114826654</v>
      </c>
      <c r="V398" s="356">
        <f t="shared" si="120"/>
        <v>-257.0327658746627</v>
      </c>
      <c r="X398" s="356">
        <f t="shared" si="104"/>
        <v>-15615.024405467033</v>
      </c>
      <c r="Y398" s="356">
        <f t="shared" si="105"/>
        <v>15599152.348295692</v>
      </c>
      <c r="AA398" s="357">
        <f>+Bono!J398</f>
        <v>385205.18401576125</v>
      </c>
      <c r="AC398" s="378">
        <f t="shared" si="106"/>
        <v>31.25</v>
      </c>
      <c r="AD398" s="356">
        <f t="shared" si="107"/>
        <v>16739624.409018742</v>
      </c>
    </row>
    <row r="399" spans="2:30" x14ac:dyDescent="0.25">
      <c r="B399" s="356">
        <f t="shared" si="108"/>
        <v>376</v>
      </c>
      <c r="C399" s="357">
        <f t="shared" si="113"/>
        <v>31</v>
      </c>
      <c r="D399" s="357">
        <f t="shared" si="114"/>
        <v>4</v>
      </c>
      <c r="E399" s="357">
        <f t="shared" si="115"/>
        <v>60</v>
      </c>
      <c r="F399" s="356">
        <f t="shared" si="109"/>
        <v>755266.8767072881</v>
      </c>
      <c r="H399" s="356">
        <f t="shared" si="102"/>
        <v>6022.604136163461</v>
      </c>
      <c r="I399" s="356">
        <v>0</v>
      </c>
      <c r="J399" s="356">
        <v>0</v>
      </c>
      <c r="K399" s="356">
        <f t="shared" si="110"/>
        <v>-761.2894808434515</v>
      </c>
      <c r="L399" s="356">
        <f t="shared" si="103"/>
        <v>760528.1913626081</v>
      </c>
      <c r="N399" s="356">
        <f t="shared" si="111"/>
        <v>376</v>
      </c>
      <c r="O399" s="357">
        <f t="shared" si="116"/>
        <v>31</v>
      </c>
      <c r="P399" s="357">
        <f t="shared" si="117"/>
        <v>4</v>
      </c>
      <c r="Q399" s="357">
        <f t="shared" si="118"/>
        <v>31</v>
      </c>
      <c r="R399" s="356">
        <f t="shared" si="112"/>
        <v>15599152.348295692</v>
      </c>
      <c r="S399" s="356">
        <f>IF($G$4="mensual",S396,IF($G$4="trimestral",S396,0))</f>
        <v>10000</v>
      </c>
      <c r="U399" s="356">
        <f t="shared" si="119"/>
        <v>124469.57280146281</v>
      </c>
      <c r="V399" s="356">
        <f t="shared" si="120"/>
        <v>-257.0327658746627</v>
      </c>
      <c r="X399" s="356">
        <f t="shared" si="104"/>
        <v>-15733.621921097156</v>
      </c>
      <c r="Y399" s="356">
        <f t="shared" si="105"/>
        <v>15717631.266410183</v>
      </c>
      <c r="AA399" s="357">
        <f>+Bono!J399</f>
        <v>387593.5008376948</v>
      </c>
      <c r="AC399" s="378">
        <f t="shared" si="106"/>
        <v>31.333333333333332</v>
      </c>
      <c r="AD399" s="356">
        <f t="shared" si="107"/>
        <v>16865752.958610486</v>
      </c>
    </row>
    <row r="400" spans="2:30" x14ac:dyDescent="0.25">
      <c r="B400" s="356">
        <f t="shared" si="108"/>
        <v>377</v>
      </c>
      <c r="C400" s="357">
        <f t="shared" si="113"/>
        <v>31</v>
      </c>
      <c r="D400" s="357">
        <f t="shared" si="114"/>
        <v>5</v>
      </c>
      <c r="E400" s="357">
        <f t="shared" si="115"/>
        <v>60</v>
      </c>
      <c r="F400" s="356">
        <f t="shared" si="109"/>
        <v>760528.1913626081</v>
      </c>
      <c r="H400" s="356">
        <f t="shared" si="102"/>
        <v>6064.5585980656315</v>
      </c>
      <c r="I400" s="356">
        <v>0</v>
      </c>
      <c r="J400" s="356">
        <v>0</v>
      </c>
      <c r="K400" s="356">
        <f t="shared" si="110"/>
        <v>-766.5927499606737</v>
      </c>
      <c r="L400" s="356">
        <f t="shared" si="103"/>
        <v>765826.157210713</v>
      </c>
      <c r="N400" s="356">
        <f t="shared" si="111"/>
        <v>377</v>
      </c>
      <c r="O400" s="357">
        <f t="shared" si="116"/>
        <v>31</v>
      </c>
      <c r="P400" s="357">
        <f t="shared" si="117"/>
        <v>5</v>
      </c>
      <c r="Q400" s="357">
        <f t="shared" si="118"/>
        <v>31</v>
      </c>
      <c r="R400" s="356">
        <f t="shared" si="112"/>
        <v>15717631.266410183</v>
      </c>
      <c r="S400" s="356">
        <f>IF($G$4="mensual",S399,0)</f>
        <v>10000</v>
      </c>
      <c r="U400" s="356">
        <f t="shared" si="119"/>
        <v>125414.34033237235</v>
      </c>
      <c r="V400" s="356">
        <f t="shared" si="120"/>
        <v>-257.0327658746627</v>
      </c>
      <c r="X400" s="356">
        <f t="shared" si="104"/>
        <v>-15853.045606742555</v>
      </c>
      <c r="Y400" s="356">
        <f t="shared" si="105"/>
        <v>15836935.528369939</v>
      </c>
      <c r="AA400" s="357">
        <f>+Bono!J400</f>
        <v>389996.6255009519</v>
      </c>
      <c r="AC400" s="378">
        <f t="shared" si="106"/>
        <v>31.416666666666668</v>
      </c>
      <c r="AD400" s="356">
        <f t="shared" si="107"/>
        <v>16992758.311081603</v>
      </c>
    </row>
    <row r="401" spans="2:30" x14ac:dyDescent="0.25">
      <c r="B401" s="356">
        <f t="shared" si="108"/>
        <v>378</v>
      </c>
      <c r="C401" s="357">
        <f t="shared" si="113"/>
        <v>31</v>
      </c>
      <c r="D401" s="357">
        <f t="shared" si="114"/>
        <v>6</v>
      </c>
      <c r="E401" s="357">
        <f t="shared" si="115"/>
        <v>60</v>
      </c>
      <c r="F401" s="356">
        <f t="shared" si="109"/>
        <v>765826.157210713</v>
      </c>
      <c r="H401" s="356">
        <f t="shared" si="102"/>
        <v>6106.805321725957</v>
      </c>
      <c r="I401" s="356">
        <v>0</v>
      </c>
      <c r="J401" s="360">
        <f>-SUM(F401:H401)*$J$21</f>
        <v>-6947.396662791951</v>
      </c>
      <c r="K401" s="356">
        <f t="shared" si="110"/>
        <v>-764.985565869647</v>
      </c>
      <c r="L401" s="356">
        <f t="shared" si="103"/>
        <v>764220.5803037774</v>
      </c>
      <c r="N401" s="356">
        <f t="shared" si="111"/>
        <v>378</v>
      </c>
      <c r="O401" s="357">
        <f t="shared" si="116"/>
        <v>31</v>
      </c>
      <c r="P401" s="357">
        <f t="shared" si="117"/>
        <v>6</v>
      </c>
      <c r="Q401" s="357">
        <f t="shared" si="118"/>
        <v>31</v>
      </c>
      <c r="R401" s="356">
        <f t="shared" si="112"/>
        <v>15836935.528369939</v>
      </c>
      <c r="S401" s="356">
        <f>IF($G$4="mensual",S400,0)</f>
        <v>10000</v>
      </c>
      <c r="U401" s="356">
        <f t="shared" si="119"/>
        <v>126365.68927100617</v>
      </c>
      <c r="V401" s="356">
        <f t="shared" si="120"/>
        <v>-257.0327658746627</v>
      </c>
      <c r="X401" s="356">
        <f t="shared" si="104"/>
        <v>-15973.301217640947</v>
      </c>
      <c r="Y401" s="356">
        <f t="shared" si="105"/>
        <v>15957070.88365743</v>
      </c>
      <c r="AA401" s="357">
        <f>+Bono!J401</f>
        <v>388879.38270040817</v>
      </c>
      <c r="AC401" s="378">
        <f t="shared" si="106"/>
        <v>31.5</v>
      </c>
      <c r="AD401" s="356">
        <f t="shared" si="107"/>
        <v>17110170.846661616</v>
      </c>
    </row>
    <row r="402" spans="2:30" x14ac:dyDescent="0.25">
      <c r="B402" s="356">
        <f t="shared" si="108"/>
        <v>379</v>
      </c>
      <c r="C402" s="357">
        <f t="shared" si="113"/>
        <v>31</v>
      </c>
      <c r="D402" s="357">
        <f t="shared" si="114"/>
        <v>7</v>
      </c>
      <c r="E402" s="357">
        <f t="shared" si="115"/>
        <v>60</v>
      </c>
      <c r="F402" s="356">
        <f t="shared" si="109"/>
        <v>764220.5803037774</v>
      </c>
      <c r="H402" s="356">
        <f t="shared" si="102"/>
        <v>6094.002226000647</v>
      </c>
      <c r="I402" s="356">
        <v>0</v>
      </c>
      <c r="J402" s="356">
        <v>0</v>
      </c>
      <c r="K402" s="356">
        <f t="shared" si="110"/>
        <v>-770.314582529778</v>
      </c>
      <c r="L402" s="356">
        <f t="shared" si="103"/>
        <v>769544.2679472482</v>
      </c>
      <c r="N402" s="356">
        <f t="shared" si="111"/>
        <v>379</v>
      </c>
      <c r="O402" s="357">
        <f t="shared" si="116"/>
        <v>31</v>
      </c>
      <c r="P402" s="357">
        <f t="shared" si="117"/>
        <v>7</v>
      </c>
      <c r="Q402" s="357">
        <f t="shared" si="118"/>
        <v>31</v>
      </c>
      <c r="R402" s="356">
        <f t="shared" si="112"/>
        <v>15957070.88365743</v>
      </c>
      <c r="S402" s="356">
        <f>+IF($G$4="mensual",S396,IF($G$4="trimestral",S396,IF($G$4="semestral",S396,0)))</f>
        <v>10000</v>
      </c>
      <c r="U402" s="356">
        <f t="shared" si="119"/>
        <v>127323.66546454486</v>
      </c>
      <c r="V402" s="356">
        <f t="shared" si="120"/>
        <v>-257.0327658746627</v>
      </c>
      <c r="X402" s="356">
        <f t="shared" si="104"/>
        <v>-16094.394549121975</v>
      </c>
      <c r="Y402" s="356">
        <f t="shared" si="105"/>
        <v>16078043.121806977</v>
      </c>
      <c r="AA402" s="357">
        <f>+Bono!J402</f>
        <v>391290.4799803671</v>
      </c>
      <c r="AC402" s="378">
        <f t="shared" si="106"/>
        <v>31.583333333333332</v>
      </c>
      <c r="AD402" s="356">
        <f t="shared" si="107"/>
        <v>17238877.869734593</v>
      </c>
    </row>
    <row r="403" spans="2:30" x14ac:dyDescent="0.25">
      <c r="B403" s="356">
        <f t="shared" si="108"/>
        <v>380</v>
      </c>
      <c r="C403" s="357">
        <f t="shared" si="113"/>
        <v>31</v>
      </c>
      <c r="D403" s="357">
        <f t="shared" si="114"/>
        <v>8</v>
      </c>
      <c r="E403" s="357">
        <f t="shared" si="115"/>
        <v>60</v>
      </c>
      <c r="F403" s="356">
        <f t="shared" si="109"/>
        <v>769544.2679472482</v>
      </c>
      <c r="H403" s="356">
        <f t="shared" si="102"/>
        <v>6136.454058869303</v>
      </c>
      <c r="I403" s="356">
        <v>0</v>
      </c>
      <c r="J403" s="356">
        <v>0</v>
      </c>
      <c r="K403" s="356">
        <f t="shared" si="110"/>
        <v>-775.6807220061174</v>
      </c>
      <c r="L403" s="356">
        <f t="shared" si="103"/>
        <v>774905.0412841113</v>
      </c>
      <c r="N403" s="356">
        <f t="shared" si="111"/>
        <v>380</v>
      </c>
      <c r="O403" s="357">
        <f t="shared" si="116"/>
        <v>31</v>
      </c>
      <c r="P403" s="357">
        <f t="shared" si="117"/>
        <v>8</v>
      </c>
      <c r="Q403" s="357">
        <f t="shared" si="118"/>
        <v>31</v>
      </c>
      <c r="R403" s="356">
        <f t="shared" si="112"/>
        <v>16078043.121806977</v>
      </c>
      <c r="S403" s="356">
        <f>IF($G$4="mensual",S402,0)</f>
        <v>10000</v>
      </c>
      <c r="U403" s="356">
        <f t="shared" si="119"/>
        <v>128288.31507954815</v>
      </c>
      <c r="V403" s="356">
        <f t="shared" si="120"/>
        <v>-257.0327658746627</v>
      </c>
      <c r="X403" s="356">
        <f t="shared" si="104"/>
        <v>-16216.331436886525</v>
      </c>
      <c r="Y403" s="356">
        <f t="shared" si="105"/>
        <v>16199858.072683763</v>
      </c>
      <c r="AA403" s="357">
        <f>+Bono!J403</f>
        <v>393716.52634313185</v>
      </c>
      <c r="AC403" s="378">
        <f t="shared" si="106"/>
        <v>31.666666666666668</v>
      </c>
      <c r="AD403" s="356">
        <f t="shared" si="107"/>
        <v>17368479.640311006</v>
      </c>
    </row>
    <row r="404" spans="2:30" x14ac:dyDescent="0.25">
      <c r="B404" s="356">
        <f t="shared" si="108"/>
        <v>381</v>
      </c>
      <c r="C404" s="357">
        <f t="shared" si="113"/>
        <v>31</v>
      </c>
      <c r="D404" s="357">
        <f t="shared" si="114"/>
        <v>9</v>
      </c>
      <c r="E404" s="357">
        <f t="shared" si="115"/>
        <v>60</v>
      </c>
      <c r="F404" s="356">
        <f t="shared" si="109"/>
        <v>774905.0412841113</v>
      </c>
      <c r="H404" s="356">
        <f t="shared" si="102"/>
        <v>6179.201618264972</v>
      </c>
      <c r="I404" s="356">
        <v>0</v>
      </c>
      <c r="J404" s="360">
        <f>-SUM(F404:H404)*$J$21</f>
        <v>-7029.758186121388</v>
      </c>
      <c r="K404" s="356">
        <f t="shared" si="110"/>
        <v>-774.054484716255</v>
      </c>
      <c r="L404" s="356">
        <f t="shared" si="103"/>
        <v>773280.4302315387</v>
      </c>
      <c r="N404" s="356">
        <f t="shared" si="111"/>
        <v>381</v>
      </c>
      <c r="O404" s="357">
        <f t="shared" si="116"/>
        <v>31</v>
      </c>
      <c r="P404" s="357">
        <f t="shared" si="117"/>
        <v>9</v>
      </c>
      <c r="Q404" s="357">
        <f t="shared" si="118"/>
        <v>31</v>
      </c>
      <c r="R404" s="356">
        <f t="shared" si="112"/>
        <v>16199858.072683763</v>
      </c>
      <c r="S404" s="356">
        <f>IF($G$4="mensual",S403,0)</f>
        <v>10000</v>
      </c>
      <c r="U404" s="356">
        <f t="shared" si="119"/>
        <v>129259.68460417965</v>
      </c>
      <c r="V404" s="356">
        <f t="shared" si="120"/>
        <v>-257.0327658746627</v>
      </c>
      <c r="X404" s="356">
        <f t="shared" si="104"/>
        <v>-16339.117757287942</v>
      </c>
      <c r="Y404" s="356">
        <f t="shared" si="105"/>
        <v>16322521.606764778</v>
      </c>
      <c r="AA404" s="357">
        <f>+Bono!J404</f>
        <v>392588.62695695914</v>
      </c>
      <c r="AC404" s="378">
        <f t="shared" si="106"/>
        <v>31.75</v>
      </c>
      <c r="AD404" s="356">
        <f t="shared" si="107"/>
        <v>17488390.663953274</v>
      </c>
    </row>
    <row r="405" spans="2:30" x14ac:dyDescent="0.25">
      <c r="B405" s="356">
        <f t="shared" si="108"/>
        <v>382</v>
      </c>
      <c r="C405" s="357">
        <f t="shared" si="113"/>
        <v>31</v>
      </c>
      <c r="D405" s="357">
        <f t="shared" si="114"/>
        <v>10</v>
      </c>
      <c r="E405" s="357">
        <f t="shared" si="115"/>
        <v>60</v>
      </c>
      <c r="F405" s="356">
        <f t="shared" si="109"/>
        <v>773280.4302315387</v>
      </c>
      <c r="H405" s="356">
        <f t="shared" si="102"/>
        <v>6166.24674158941</v>
      </c>
      <c r="I405" s="356">
        <v>0</v>
      </c>
      <c r="J405" s="356">
        <v>0</v>
      </c>
      <c r="K405" s="356">
        <f t="shared" si="110"/>
        <v>-779.4466769731281</v>
      </c>
      <c r="L405" s="356">
        <f t="shared" si="103"/>
        <v>778667.230296155</v>
      </c>
      <c r="N405" s="356">
        <f t="shared" si="111"/>
        <v>382</v>
      </c>
      <c r="O405" s="357">
        <f t="shared" si="116"/>
        <v>31</v>
      </c>
      <c r="P405" s="357">
        <f t="shared" si="117"/>
        <v>10</v>
      </c>
      <c r="Q405" s="357">
        <f t="shared" si="118"/>
        <v>31</v>
      </c>
      <c r="R405" s="356">
        <f t="shared" si="112"/>
        <v>16322521.606764778</v>
      </c>
      <c r="S405" s="356">
        <f>IF($G$4="mensual",S396,IF($G$4="trimestral",S396,0))</f>
        <v>10000</v>
      </c>
      <c r="U405" s="356">
        <f t="shared" si="119"/>
        <v>130237.82085044729</v>
      </c>
      <c r="V405" s="356">
        <f t="shared" si="120"/>
        <v>-257.0327658746627</v>
      </c>
      <c r="X405" s="356">
        <f t="shared" si="104"/>
        <v>-16462.759427615227</v>
      </c>
      <c r="Y405" s="356">
        <f t="shared" si="105"/>
        <v>16446039.635421736</v>
      </c>
      <c r="AA405" s="357">
        <f>+Bono!J405</f>
        <v>395022.72198155447</v>
      </c>
      <c r="AC405" s="378">
        <f t="shared" si="106"/>
        <v>31.833333333333332</v>
      </c>
      <c r="AD405" s="356">
        <f t="shared" si="107"/>
        <v>17619729.587699443</v>
      </c>
    </row>
    <row r="406" spans="2:30" x14ac:dyDescent="0.25">
      <c r="B406" s="356">
        <f t="shared" si="108"/>
        <v>383</v>
      </c>
      <c r="C406" s="357">
        <f t="shared" si="113"/>
        <v>31</v>
      </c>
      <c r="D406" s="357">
        <f t="shared" si="114"/>
        <v>11</v>
      </c>
      <c r="E406" s="357">
        <f t="shared" si="115"/>
        <v>60</v>
      </c>
      <c r="F406" s="356">
        <f t="shared" si="109"/>
        <v>778667.230296155</v>
      </c>
      <c r="H406" s="356">
        <f t="shared" si="102"/>
        <v>6209.201841767087</v>
      </c>
      <c r="I406" s="356">
        <v>0</v>
      </c>
      <c r="J406" s="356">
        <v>0</v>
      </c>
      <c r="K406" s="356">
        <f t="shared" si="110"/>
        <v>-784.876432137922</v>
      </c>
      <c r="L406" s="356">
        <f t="shared" si="103"/>
        <v>784091.5557057841</v>
      </c>
      <c r="N406" s="356">
        <f t="shared" si="111"/>
        <v>383</v>
      </c>
      <c r="O406" s="357">
        <f t="shared" si="116"/>
        <v>31</v>
      </c>
      <c r="P406" s="357">
        <f t="shared" si="117"/>
        <v>11</v>
      </c>
      <c r="Q406" s="357">
        <f t="shared" si="118"/>
        <v>31</v>
      </c>
      <c r="R406" s="356">
        <f t="shared" si="112"/>
        <v>16446039.635421736</v>
      </c>
      <c r="S406" s="356">
        <f>IF($G$17="si",S394*(1+$G$20),S394)</f>
        <v>10000</v>
      </c>
      <c r="U406" s="356">
        <f t="shared" si="119"/>
        <v>131222.77095645922</v>
      </c>
      <c r="V406" s="356">
        <f t="shared" si="120"/>
        <v>-257.0327658746627</v>
      </c>
      <c r="X406" s="356">
        <f t="shared" si="104"/>
        <v>-16587.262406378195</v>
      </c>
      <c r="Y406" s="356">
        <f t="shared" si="105"/>
        <v>16570418.111205941</v>
      </c>
      <c r="AA406" s="357">
        <f>+Bono!J406</f>
        <v>397471.9086776398</v>
      </c>
      <c r="AC406" s="378">
        <f t="shared" si="106"/>
        <v>31.916666666666668</v>
      </c>
      <c r="AD406" s="356">
        <f t="shared" si="107"/>
        <v>17751981.575589366</v>
      </c>
    </row>
    <row r="407" spans="2:30" x14ac:dyDescent="0.25">
      <c r="B407" s="356">
        <f t="shared" si="108"/>
        <v>384</v>
      </c>
      <c r="C407" s="357">
        <f t="shared" si="113"/>
        <v>31</v>
      </c>
      <c r="D407" s="357">
        <f t="shared" si="114"/>
        <v>12</v>
      </c>
      <c r="E407" s="357">
        <f t="shared" si="115"/>
        <v>60</v>
      </c>
      <c r="F407" s="356">
        <f t="shared" si="109"/>
        <v>784091.5557057841</v>
      </c>
      <c r="H407" s="356">
        <f t="shared" si="102"/>
        <v>6252.456174315541</v>
      </c>
      <c r="I407" s="356">
        <v>0</v>
      </c>
      <c r="J407" s="360">
        <f>-SUM(F407:H407)*$J$21</f>
        <v>-7113.096106920898</v>
      </c>
      <c r="K407" s="356">
        <f t="shared" si="110"/>
        <v>-783.2309157731788</v>
      </c>
      <c r="L407" s="356">
        <f t="shared" si="103"/>
        <v>782447.6848574056</v>
      </c>
      <c r="N407" s="356">
        <f t="shared" si="111"/>
        <v>384</v>
      </c>
      <c r="O407" s="357">
        <f t="shared" si="116"/>
        <v>31</v>
      </c>
      <c r="P407" s="357">
        <f t="shared" si="117"/>
        <v>12</v>
      </c>
      <c r="Q407" s="357">
        <f t="shared" si="118"/>
        <v>31</v>
      </c>
      <c r="R407" s="356">
        <f t="shared" si="112"/>
        <v>16570418.111205941</v>
      </c>
      <c r="S407" s="356">
        <f>IF($G$4="mensual",S406,0)</f>
        <v>10000</v>
      </c>
      <c r="U407" s="356">
        <f t="shared" si="119"/>
        <v>132214.58238869547</v>
      </c>
      <c r="V407" s="356">
        <f t="shared" si="120"/>
        <v>-257.0327658746627</v>
      </c>
      <c r="X407" s="356">
        <f t="shared" si="104"/>
        <v>-16712.632693594638</v>
      </c>
      <c r="Y407" s="356">
        <f t="shared" si="105"/>
        <v>16695663.028135167</v>
      </c>
      <c r="AA407" s="357">
        <f>+Bono!J407</f>
        <v>396333.25106023595</v>
      </c>
      <c r="AC407" s="378">
        <f t="shared" si="106"/>
        <v>32</v>
      </c>
      <c r="AD407" s="356">
        <f t="shared" si="107"/>
        <v>17874443.964052808</v>
      </c>
    </row>
    <row r="408" spans="2:30" x14ac:dyDescent="0.25">
      <c r="B408" s="356">
        <f t="shared" si="108"/>
        <v>385</v>
      </c>
      <c r="C408" s="357">
        <f t="shared" si="113"/>
        <v>32</v>
      </c>
      <c r="D408" s="357">
        <f t="shared" si="114"/>
        <v>1</v>
      </c>
      <c r="E408" s="357">
        <f t="shared" si="115"/>
        <v>61</v>
      </c>
      <c r="F408" s="356">
        <f t="shared" si="109"/>
        <v>782447.6848574056</v>
      </c>
      <c r="H408" s="356">
        <f t="shared" ref="H408:H471" si="121">SUM(F408:G408)*$G$8</f>
        <v>6239.34771732359</v>
      </c>
      <c r="I408" s="356">
        <v>0</v>
      </c>
      <c r="J408" s="356">
        <v>0</v>
      </c>
      <c r="K408" s="356">
        <f t="shared" si="110"/>
        <v>-788.6870325747292</v>
      </c>
      <c r="L408" s="356">
        <f t="shared" ref="L408:L471" si="122">SUM(F408:K408)</f>
        <v>787898.3455421545</v>
      </c>
      <c r="N408" s="356">
        <f t="shared" si="111"/>
        <v>385</v>
      </c>
      <c r="O408" s="357">
        <f t="shared" si="116"/>
        <v>32</v>
      </c>
      <c r="P408" s="357">
        <f t="shared" si="117"/>
        <v>1</v>
      </c>
      <c r="Q408" s="357">
        <f t="shared" si="118"/>
        <v>32</v>
      </c>
      <c r="R408" s="356">
        <f t="shared" si="112"/>
        <v>16695663.028135167</v>
      </c>
      <c r="S408" s="356">
        <f>IF($G$17="si",S396*(1+$G$20),S396)</f>
        <v>10000</v>
      </c>
      <c r="U408" s="356">
        <f t="shared" si="119"/>
        <v>133213.30294429552</v>
      </c>
      <c r="V408" s="356">
        <f>V407*(1+$G$18)</f>
        <v>-267.3140765096492</v>
      </c>
      <c r="X408" s="356">
        <f t="shared" ref="X408:X471" si="123">-SUM(R408:U408)*0.1%</f>
        <v>-16838.876331079464</v>
      </c>
      <c r="Y408" s="356">
        <f t="shared" ref="Y408:Y471" si="124">SUM(R408:X408)</f>
        <v>16821770.140671875</v>
      </c>
      <c r="AA408" s="357">
        <f>+Bono!J408</f>
        <v>398790.56318862113</v>
      </c>
      <c r="AC408" s="378">
        <f t="shared" ref="AC408:AC471" si="125">+B408/12</f>
        <v>32.083333333333336</v>
      </c>
      <c r="AD408" s="356">
        <f t="shared" ref="AD408:AD471" si="126">+AA408+Y408+L408</f>
        <v>18008459.04940265</v>
      </c>
    </row>
    <row r="409" spans="2:30" x14ac:dyDescent="0.25">
      <c r="B409" s="356">
        <f t="shared" ref="B409:B472" si="127">+B408+1</f>
        <v>386</v>
      </c>
      <c r="C409" s="357">
        <f t="shared" si="113"/>
        <v>32</v>
      </c>
      <c r="D409" s="357">
        <f t="shared" si="114"/>
        <v>2</v>
      </c>
      <c r="E409" s="357">
        <f t="shared" si="115"/>
        <v>61</v>
      </c>
      <c r="F409" s="356">
        <f t="shared" ref="F409:F472" si="128">L408</f>
        <v>787898.3455421545</v>
      </c>
      <c r="H409" s="356">
        <f t="shared" si="121"/>
        <v>6282.812051054082</v>
      </c>
      <c r="I409" s="356">
        <v>0</v>
      </c>
      <c r="J409" s="356">
        <v>0</v>
      </c>
      <c r="K409" s="356">
        <f t="shared" ref="K409:K472" si="129">-SUM(F409:J409)*0.1%</f>
        <v>-794.1811575932086</v>
      </c>
      <c r="L409" s="356">
        <f t="shared" si="122"/>
        <v>793386.9764356153</v>
      </c>
      <c r="N409" s="356">
        <f t="shared" ref="N409:N472" si="130">+N408+1</f>
        <v>386</v>
      </c>
      <c r="O409" s="357">
        <f t="shared" si="116"/>
        <v>32</v>
      </c>
      <c r="P409" s="357">
        <f t="shared" si="117"/>
        <v>2</v>
      </c>
      <c r="Q409" s="357">
        <f t="shared" si="118"/>
        <v>32</v>
      </c>
      <c r="R409" s="356">
        <f t="shared" ref="R409:R472" si="131">Y408</f>
        <v>16821770.140671875</v>
      </c>
      <c r="S409" s="356">
        <f>IF($G$4="mensual",S408,0)</f>
        <v>10000</v>
      </c>
      <c r="U409" s="356">
        <f t="shared" si="119"/>
        <v>134218.8987687468</v>
      </c>
      <c r="V409" s="356">
        <f>V408</f>
        <v>-267.3140765096492</v>
      </c>
      <c r="X409" s="356">
        <f t="shared" si="123"/>
        <v>-16965.98903944062</v>
      </c>
      <c r="Y409" s="356">
        <f t="shared" si="124"/>
        <v>16948755.73632467</v>
      </c>
      <c r="AA409" s="357">
        <f>+Bono!J409</f>
        <v>401263.11093723285</v>
      </c>
      <c r="AC409" s="378">
        <f t="shared" si="125"/>
        <v>32.166666666666664</v>
      </c>
      <c r="AD409" s="356">
        <f t="shared" si="126"/>
        <v>18143405.823697522</v>
      </c>
    </row>
    <row r="410" spans="2:30" x14ac:dyDescent="0.25">
      <c r="B410" s="356">
        <f t="shared" si="127"/>
        <v>387</v>
      </c>
      <c r="C410" s="357">
        <f t="shared" si="113"/>
        <v>32</v>
      </c>
      <c r="D410" s="357">
        <f t="shared" si="114"/>
        <v>3</v>
      </c>
      <c r="E410" s="357">
        <f t="shared" si="115"/>
        <v>61</v>
      </c>
      <c r="F410" s="356">
        <f t="shared" si="128"/>
        <v>793386.9764356153</v>
      </c>
      <c r="H410" s="356">
        <f t="shared" si="121"/>
        <v>6326.579164560959</v>
      </c>
      <c r="I410" s="356">
        <v>0</v>
      </c>
      <c r="J410" s="360">
        <f>-SUM(F410:H410)*$J$21</f>
        <v>-7197.422000401588</v>
      </c>
      <c r="K410" s="356">
        <f t="shared" si="129"/>
        <v>-792.5161335997748</v>
      </c>
      <c r="L410" s="356">
        <f t="shared" si="122"/>
        <v>791723.617466175</v>
      </c>
      <c r="N410" s="356">
        <f t="shared" si="130"/>
        <v>387</v>
      </c>
      <c r="O410" s="357">
        <f t="shared" si="116"/>
        <v>32</v>
      </c>
      <c r="P410" s="357">
        <f t="shared" si="117"/>
        <v>3</v>
      </c>
      <c r="Q410" s="357">
        <f t="shared" si="118"/>
        <v>32</v>
      </c>
      <c r="R410" s="356">
        <f t="shared" si="131"/>
        <v>16948755.73632467</v>
      </c>
      <c r="S410" s="356">
        <f>IF($G$4="mensual",S409,0)</f>
        <v>10000</v>
      </c>
      <c r="U410" s="356">
        <f t="shared" si="119"/>
        <v>135231.4997409302</v>
      </c>
      <c r="V410" s="356">
        <f t="shared" si="120"/>
        <v>-267.3140765096492</v>
      </c>
      <c r="X410" s="356">
        <f t="shared" si="123"/>
        <v>-17093.9872360656</v>
      </c>
      <c r="Y410" s="356">
        <f t="shared" si="124"/>
        <v>17076625.934753027</v>
      </c>
      <c r="AA410" s="357">
        <f>+Bono!J410</f>
        <v>400113.5924734704</v>
      </c>
      <c r="AC410" s="378">
        <f t="shared" si="125"/>
        <v>32.25</v>
      </c>
      <c r="AD410" s="356">
        <f t="shared" si="126"/>
        <v>18268463.14469267</v>
      </c>
    </row>
    <row r="411" spans="2:30" x14ac:dyDescent="0.25">
      <c r="B411" s="356">
        <f t="shared" si="127"/>
        <v>388</v>
      </c>
      <c r="C411" s="357">
        <f t="shared" si="113"/>
        <v>32</v>
      </c>
      <c r="D411" s="357">
        <f t="shared" si="114"/>
        <v>4</v>
      </c>
      <c r="E411" s="357">
        <f t="shared" si="115"/>
        <v>61</v>
      </c>
      <c r="F411" s="356">
        <f t="shared" si="128"/>
        <v>791723.617466175</v>
      </c>
      <c r="H411" s="356">
        <f t="shared" si="121"/>
        <v>6313.315306554964</v>
      </c>
      <c r="I411" s="356">
        <v>0</v>
      </c>
      <c r="J411" s="356">
        <v>0</v>
      </c>
      <c r="K411" s="356">
        <f t="shared" si="129"/>
        <v>-798.03693277273</v>
      </c>
      <c r="L411" s="356">
        <f t="shared" si="122"/>
        <v>797238.8958399573</v>
      </c>
      <c r="N411" s="356">
        <f t="shared" si="130"/>
        <v>388</v>
      </c>
      <c r="O411" s="357">
        <f t="shared" si="116"/>
        <v>32</v>
      </c>
      <c r="P411" s="357">
        <f t="shared" si="117"/>
        <v>4</v>
      </c>
      <c r="Q411" s="357">
        <f t="shared" si="118"/>
        <v>32</v>
      </c>
      <c r="R411" s="356">
        <f t="shared" si="131"/>
        <v>17076625.934753027</v>
      </c>
      <c r="S411" s="356">
        <f>IF($G$4="mensual",S408,IF($G$4="trimestral",S408,0))</f>
        <v>10000</v>
      </c>
      <c r="U411" s="356">
        <f t="shared" si="119"/>
        <v>136251.15465986967</v>
      </c>
      <c r="V411" s="356">
        <f t="shared" si="120"/>
        <v>-267.3140765096492</v>
      </c>
      <c r="X411" s="356">
        <f t="shared" si="123"/>
        <v>-17222.877089412897</v>
      </c>
      <c r="Y411" s="356">
        <f t="shared" si="124"/>
        <v>17205386.898246974</v>
      </c>
      <c r="AA411" s="357">
        <f>+Bono!J411</f>
        <v>402594.34315711004</v>
      </c>
      <c r="AC411" s="378">
        <f t="shared" si="125"/>
        <v>32.333333333333336</v>
      </c>
      <c r="AD411" s="356">
        <f t="shared" si="126"/>
        <v>18405220.13724404</v>
      </c>
    </row>
    <row r="412" spans="2:30" x14ac:dyDescent="0.25">
      <c r="B412" s="356">
        <f t="shared" si="127"/>
        <v>389</v>
      </c>
      <c r="C412" s="357">
        <f t="shared" si="113"/>
        <v>32</v>
      </c>
      <c r="D412" s="357">
        <f t="shared" si="114"/>
        <v>5</v>
      </c>
      <c r="E412" s="357">
        <f t="shared" si="115"/>
        <v>61</v>
      </c>
      <c r="F412" s="356">
        <f t="shared" si="128"/>
        <v>797238.8958399573</v>
      </c>
      <c r="H412" s="356">
        <f t="shared" si="121"/>
        <v>6357.294910812</v>
      </c>
      <c r="I412" s="356">
        <v>0</v>
      </c>
      <c r="J412" s="356">
        <v>0</v>
      </c>
      <c r="K412" s="356">
        <f t="shared" si="129"/>
        <v>-803.5961907507693</v>
      </c>
      <c r="L412" s="356">
        <f t="shared" si="122"/>
        <v>802792.5945600186</v>
      </c>
      <c r="N412" s="356">
        <f t="shared" si="130"/>
        <v>389</v>
      </c>
      <c r="O412" s="357">
        <f t="shared" si="116"/>
        <v>32</v>
      </c>
      <c r="P412" s="357">
        <f t="shared" si="117"/>
        <v>5</v>
      </c>
      <c r="Q412" s="357">
        <f t="shared" si="118"/>
        <v>32</v>
      </c>
      <c r="R412" s="356">
        <f t="shared" si="131"/>
        <v>17205386.898246974</v>
      </c>
      <c r="S412" s="356">
        <f>IF($G$4="mensual",S411,0)</f>
        <v>10000</v>
      </c>
      <c r="U412" s="356">
        <f t="shared" si="119"/>
        <v>137277.91266453138</v>
      </c>
      <c r="V412" s="356">
        <f t="shared" si="120"/>
        <v>-267.3140765096492</v>
      </c>
      <c r="X412" s="356">
        <f t="shared" si="123"/>
        <v>-17352.66481091151</v>
      </c>
      <c r="Y412" s="356">
        <f t="shared" si="124"/>
        <v>17335044.832024086</v>
      </c>
      <c r="AA412" s="357">
        <f>+Bono!J412</f>
        <v>405090.47478273755</v>
      </c>
      <c r="AC412" s="378">
        <f t="shared" si="125"/>
        <v>32.416666666666664</v>
      </c>
      <c r="AD412" s="356">
        <f t="shared" si="126"/>
        <v>18542927.901366845</v>
      </c>
    </row>
    <row r="413" spans="2:30" x14ac:dyDescent="0.25">
      <c r="B413" s="356">
        <f t="shared" si="127"/>
        <v>390</v>
      </c>
      <c r="C413" s="357">
        <f t="shared" si="113"/>
        <v>32</v>
      </c>
      <c r="D413" s="357">
        <f t="shared" si="114"/>
        <v>6</v>
      </c>
      <c r="E413" s="357">
        <f t="shared" si="115"/>
        <v>61</v>
      </c>
      <c r="F413" s="356">
        <f t="shared" si="128"/>
        <v>802792.5945600186</v>
      </c>
      <c r="H413" s="356">
        <f t="shared" si="121"/>
        <v>6401.580884305593</v>
      </c>
      <c r="I413" s="356">
        <v>0</v>
      </c>
      <c r="J413" s="360">
        <f>-SUM(F413:H413)*$J$21</f>
        <v>-7282.747578998919</v>
      </c>
      <c r="K413" s="356">
        <f t="shared" si="129"/>
        <v>-801.9114278653253</v>
      </c>
      <c r="L413" s="356">
        <f t="shared" si="122"/>
        <v>801109.5164374601</v>
      </c>
      <c r="N413" s="356">
        <f t="shared" si="130"/>
        <v>390</v>
      </c>
      <c r="O413" s="357">
        <f t="shared" si="116"/>
        <v>32</v>
      </c>
      <c r="P413" s="357">
        <f t="shared" si="117"/>
        <v>6</v>
      </c>
      <c r="Q413" s="357">
        <f t="shared" si="118"/>
        <v>32</v>
      </c>
      <c r="R413" s="356">
        <f t="shared" si="131"/>
        <v>17335044.832024086</v>
      </c>
      <c r="S413" s="356">
        <f>IF($G$4="mensual",S412,0)</f>
        <v>10000</v>
      </c>
      <c r="U413" s="356">
        <f t="shared" si="119"/>
        <v>138311.82323619156</v>
      </c>
      <c r="V413" s="356">
        <f t="shared" si="120"/>
        <v>-267.3140765096492</v>
      </c>
      <c r="X413" s="356">
        <f t="shared" si="123"/>
        <v>-17483.356655260275</v>
      </c>
      <c r="Y413" s="356">
        <f t="shared" si="124"/>
        <v>17465605.984528508</v>
      </c>
      <c r="AA413" s="357">
        <f>+Bono!J413</f>
        <v>403929.9918787163</v>
      </c>
      <c r="AC413" s="378">
        <f t="shared" si="125"/>
        <v>32.5</v>
      </c>
      <c r="AD413" s="356">
        <f t="shared" si="126"/>
        <v>18670645.492844682</v>
      </c>
    </row>
    <row r="414" spans="2:30" x14ac:dyDescent="0.25">
      <c r="B414" s="356">
        <f t="shared" si="127"/>
        <v>391</v>
      </c>
      <c r="C414" s="357">
        <f t="shared" si="113"/>
        <v>32</v>
      </c>
      <c r="D414" s="357">
        <f t="shared" si="114"/>
        <v>7</v>
      </c>
      <c r="E414" s="357">
        <f t="shared" si="115"/>
        <v>61</v>
      </c>
      <c r="F414" s="356">
        <f t="shared" si="128"/>
        <v>801109.5164374601</v>
      </c>
      <c r="H414" s="356">
        <f t="shared" si="121"/>
        <v>6388.159783003495</v>
      </c>
      <c r="I414" s="356">
        <v>0</v>
      </c>
      <c r="J414" s="356">
        <v>0</v>
      </c>
      <c r="K414" s="356">
        <f t="shared" si="129"/>
        <v>-807.4976762204636</v>
      </c>
      <c r="L414" s="356">
        <f t="shared" si="122"/>
        <v>806690.1785442431</v>
      </c>
      <c r="N414" s="356">
        <f t="shared" si="130"/>
        <v>391</v>
      </c>
      <c r="O414" s="357">
        <f t="shared" si="116"/>
        <v>32</v>
      </c>
      <c r="P414" s="357">
        <f t="shared" si="117"/>
        <v>7</v>
      </c>
      <c r="Q414" s="357">
        <f t="shared" si="118"/>
        <v>32</v>
      </c>
      <c r="R414" s="356">
        <f t="shared" si="131"/>
        <v>17465605.984528508</v>
      </c>
      <c r="S414" s="356">
        <f>+IF($G$4="mensual",S408,IF($G$4="trimestral",S408,IF($G$4="semestral",S408,0)))</f>
        <v>10000</v>
      </c>
      <c r="U414" s="356">
        <f t="shared" si="119"/>
        <v>139352.93620082134</v>
      </c>
      <c r="V414" s="356">
        <f t="shared" si="120"/>
        <v>-267.3140765096492</v>
      </c>
      <c r="X414" s="356">
        <f t="shared" si="123"/>
        <v>-17614.95892072933</v>
      </c>
      <c r="Y414" s="356">
        <f t="shared" si="124"/>
        <v>17597076.64773209</v>
      </c>
      <c r="AA414" s="357">
        <f>+Bono!J414</f>
        <v>406434.4046813434</v>
      </c>
      <c r="AC414" s="378">
        <f t="shared" si="125"/>
        <v>32.583333333333336</v>
      </c>
      <c r="AD414" s="356">
        <f t="shared" si="126"/>
        <v>18810201.230957676</v>
      </c>
    </row>
    <row r="415" spans="2:30" x14ac:dyDescent="0.25">
      <c r="B415" s="356">
        <f t="shared" si="127"/>
        <v>392</v>
      </c>
      <c r="C415" s="357">
        <f t="shared" si="113"/>
        <v>32</v>
      </c>
      <c r="D415" s="357">
        <f t="shared" si="114"/>
        <v>8</v>
      </c>
      <c r="E415" s="357">
        <f t="shared" si="115"/>
        <v>61</v>
      </c>
      <c r="F415" s="356">
        <f t="shared" si="128"/>
        <v>806690.1785442431</v>
      </c>
      <c r="H415" s="356">
        <f t="shared" si="121"/>
        <v>6432.660766329245</v>
      </c>
      <c r="I415" s="356">
        <v>0</v>
      </c>
      <c r="J415" s="356">
        <v>0</v>
      </c>
      <c r="K415" s="356">
        <f t="shared" si="129"/>
        <v>-813.1228393105724</v>
      </c>
      <c r="L415" s="356">
        <f t="shared" si="122"/>
        <v>812309.7164712618</v>
      </c>
      <c r="N415" s="356">
        <f t="shared" si="130"/>
        <v>392</v>
      </c>
      <c r="O415" s="357">
        <f t="shared" si="116"/>
        <v>32</v>
      </c>
      <c r="P415" s="357">
        <f t="shared" si="117"/>
        <v>8</v>
      </c>
      <c r="Q415" s="357">
        <f t="shared" si="118"/>
        <v>32</v>
      </c>
      <c r="R415" s="356">
        <f t="shared" si="131"/>
        <v>17597076.64773209</v>
      </c>
      <c r="S415" s="356">
        <f>IF($G$4="mensual",S414,0)</f>
        <v>10000</v>
      </c>
      <c r="U415" s="356">
        <f t="shared" si="119"/>
        <v>140401.30173148782</v>
      </c>
      <c r="V415" s="356">
        <f t="shared" si="120"/>
        <v>-267.3140765096492</v>
      </c>
      <c r="X415" s="356">
        <f t="shared" si="123"/>
        <v>-17747.47794946358</v>
      </c>
      <c r="Y415" s="356">
        <f t="shared" si="124"/>
        <v>17729463.157437608</v>
      </c>
      <c r="AA415" s="357">
        <f>+Bono!J415</f>
        <v>408954.34513384075</v>
      </c>
      <c r="AC415" s="378">
        <f t="shared" si="125"/>
        <v>32.666666666666664</v>
      </c>
      <c r="AD415" s="356">
        <f t="shared" si="126"/>
        <v>18950727.21904271</v>
      </c>
    </row>
    <row r="416" spans="2:30" x14ac:dyDescent="0.25">
      <c r="B416" s="356">
        <f t="shared" si="127"/>
        <v>393</v>
      </c>
      <c r="C416" s="357">
        <f t="shared" si="113"/>
        <v>32</v>
      </c>
      <c r="D416" s="357">
        <f t="shared" si="114"/>
        <v>9</v>
      </c>
      <c r="E416" s="357">
        <f t="shared" si="115"/>
        <v>61</v>
      </c>
      <c r="F416" s="356">
        <f t="shared" si="128"/>
        <v>812309.7164712618</v>
      </c>
      <c r="H416" s="356">
        <f t="shared" si="121"/>
        <v>6477.471750904843</v>
      </c>
      <c r="I416" s="356">
        <v>0</v>
      </c>
      <c r="J416" s="360">
        <f>-SUM(F416:H416)*$J$21</f>
        <v>-7369.084693999501</v>
      </c>
      <c r="K416" s="356">
        <f t="shared" si="129"/>
        <v>-811.4181035281672</v>
      </c>
      <c r="L416" s="356">
        <f t="shared" si="122"/>
        <v>810606.6854246389</v>
      </c>
      <c r="N416" s="356">
        <f t="shared" si="130"/>
        <v>393</v>
      </c>
      <c r="O416" s="357">
        <f t="shared" si="116"/>
        <v>32</v>
      </c>
      <c r="P416" s="357">
        <f t="shared" si="117"/>
        <v>9</v>
      </c>
      <c r="Q416" s="357">
        <f t="shared" si="118"/>
        <v>32</v>
      </c>
      <c r="R416" s="356">
        <f t="shared" si="131"/>
        <v>17729463.157437608</v>
      </c>
      <c r="S416" s="356">
        <f>IF($G$4="mensual",S415,0)</f>
        <v>10000</v>
      </c>
      <c r="U416" s="356">
        <f t="shared" si="119"/>
        <v>141456.97035077206</v>
      </c>
      <c r="V416" s="356">
        <f t="shared" si="120"/>
        <v>-267.3140765096492</v>
      </c>
      <c r="X416" s="356">
        <f t="shared" si="123"/>
        <v>-17880.92012778838</v>
      </c>
      <c r="Y416" s="356">
        <f t="shared" si="124"/>
        <v>17862771.893584084</v>
      </c>
      <c r="AA416" s="357">
        <f>+Bono!J416</f>
        <v>407782.7932075517</v>
      </c>
      <c r="AC416" s="378">
        <f t="shared" si="125"/>
        <v>32.75</v>
      </c>
      <c r="AD416" s="356">
        <f t="shared" si="126"/>
        <v>19081161.372216277</v>
      </c>
    </row>
    <row r="417" spans="2:30" x14ac:dyDescent="0.25">
      <c r="B417" s="356">
        <f t="shared" si="127"/>
        <v>394</v>
      </c>
      <c r="C417" s="357">
        <f t="shared" si="113"/>
        <v>32</v>
      </c>
      <c r="D417" s="357">
        <f t="shared" si="114"/>
        <v>10</v>
      </c>
      <c r="E417" s="357">
        <f t="shared" si="115"/>
        <v>61</v>
      </c>
      <c r="F417" s="356">
        <f t="shared" si="128"/>
        <v>810606.6854246389</v>
      </c>
      <c r="H417" s="356">
        <f t="shared" si="121"/>
        <v>6463.8915421842885</v>
      </c>
      <c r="I417" s="356">
        <v>0</v>
      </c>
      <c r="J417" s="356">
        <v>0</v>
      </c>
      <c r="K417" s="356">
        <f t="shared" si="129"/>
        <v>-817.0705769668232</v>
      </c>
      <c r="L417" s="356">
        <f t="shared" si="122"/>
        <v>816253.5063898563</v>
      </c>
      <c r="N417" s="356">
        <f t="shared" si="130"/>
        <v>394</v>
      </c>
      <c r="O417" s="357">
        <f t="shared" si="116"/>
        <v>32</v>
      </c>
      <c r="P417" s="357">
        <f t="shared" si="117"/>
        <v>10</v>
      </c>
      <c r="Q417" s="357">
        <f t="shared" si="118"/>
        <v>32</v>
      </c>
      <c r="R417" s="356">
        <f t="shared" si="131"/>
        <v>17862771.893584084</v>
      </c>
      <c r="S417" s="356">
        <f>IF($G$4="mensual",S408,IF($G$4="trimestral",S408,0))</f>
        <v>10000</v>
      </c>
      <c r="U417" s="356">
        <f t="shared" si="119"/>
        <v>142519.99293320373</v>
      </c>
      <c r="V417" s="356">
        <f t="shared" si="120"/>
        <v>-267.3140765096492</v>
      </c>
      <c r="X417" s="356">
        <f t="shared" si="123"/>
        <v>-18015.291886517287</v>
      </c>
      <c r="Y417" s="356">
        <f t="shared" si="124"/>
        <v>17997009.28055426</v>
      </c>
      <c r="AA417" s="357">
        <f>+Bono!J417</f>
        <v>410311.0938253149</v>
      </c>
      <c r="AC417" s="378">
        <f t="shared" si="125"/>
        <v>32.833333333333336</v>
      </c>
      <c r="AD417" s="356">
        <f t="shared" si="126"/>
        <v>19223573.88076943</v>
      </c>
    </row>
    <row r="418" spans="2:30" x14ac:dyDescent="0.25">
      <c r="B418" s="356">
        <f t="shared" si="127"/>
        <v>395</v>
      </c>
      <c r="C418" s="357">
        <f t="shared" si="113"/>
        <v>32</v>
      </c>
      <c r="D418" s="357">
        <f t="shared" si="114"/>
        <v>11</v>
      </c>
      <c r="E418" s="357">
        <f t="shared" si="115"/>
        <v>61</v>
      </c>
      <c r="F418" s="356">
        <f t="shared" si="128"/>
        <v>816253.5063898563</v>
      </c>
      <c r="H418" s="356">
        <f t="shared" si="121"/>
        <v>6508.92008553781</v>
      </c>
      <c r="I418" s="356">
        <v>0</v>
      </c>
      <c r="J418" s="356">
        <v>0</v>
      </c>
      <c r="K418" s="356">
        <f t="shared" si="129"/>
        <v>-822.7624264753941</v>
      </c>
      <c r="L418" s="356">
        <f t="shared" si="122"/>
        <v>821939.6640489188</v>
      </c>
      <c r="N418" s="356">
        <f t="shared" si="130"/>
        <v>395</v>
      </c>
      <c r="O418" s="357">
        <f t="shared" si="116"/>
        <v>32</v>
      </c>
      <c r="P418" s="357">
        <f t="shared" si="117"/>
        <v>11</v>
      </c>
      <c r="Q418" s="357">
        <f t="shared" si="118"/>
        <v>32</v>
      </c>
      <c r="R418" s="356">
        <f t="shared" si="131"/>
        <v>17997009.28055426</v>
      </c>
      <c r="S418" s="356">
        <f>IF($G$17="si",S406*(1+$G$20),S406)</f>
        <v>10000</v>
      </c>
      <c r="U418" s="356">
        <f t="shared" si="119"/>
        <v>143590.42070771303</v>
      </c>
      <c r="V418" s="356">
        <f t="shared" si="120"/>
        <v>-267.3140765096492</v>
      </c>
      <c r="X418" s="356">
        <f t="shared" si="123"/>
        <v>-18150.599701261974</v>
      </c>
      <c r="Y418" s="356">
        <f t="shared" si="124"/>
        <v>18132181.787484203</v>
      </c>
      <c r="AA418" s="357">
        <f>+Bono!J418</f>
        <v>412855.07020017295</v>
      </c>
      <c r="AC418" s="378">
        <f t="shared" si="125"/>
        <v>32.916666666666664</v>
      </c>
      <c r="AD418" s="356">
        <f t="shared" si="126"/>
        <v>19366976.52173329</v>
      </c>
    </row>
    <row r="419" spans="2:30" x14ac:dyDescent="0.25">
      <c r="B419" s="356">
        <f t="shared" si="127"/>
        <v>396</v>
      </c>
      <c r="C419" s="357">
        <f t="shared" si="113"/>
        <v>32</v>
      </c>
      <c r="D419" s="357">
        <f t="shared" si="114"/>
        <v>12</v>
      </c>
      <c r="E419" s="357">
        <f t="shared" si="115"/>
        <v>61</v>
      </c>
      <c r="F419" s="356">
        <f t="shared" si="128"/>
        <v>821939.6640489188</v>
      </c>
      <c r="H419" s="356">
        <f t="shared" si="121"/>
        <v>6554.262305212061</v>
      </c>
      <c r="I419" s="356">
        <v>0</v>
      </c>
      <c r="J419" s="360">
        <f>-SUM(F419:H419)*$J$21</f>
        <v>-7456.445337187179</v>
      </c>
      <c r="K419" s="356">
        <f t="shared" si="129"/>
        <v>-821.0374810169437</v>
      </c>
      <c r="L419" s="356">
        <f t="shared" si="122"/>
        <v>820216.4435359268</v>
      </c>
      <c r="N419" s="356">
        <f t="shared" si="130"/>
        <v>396</v>
      </c>
      <c r="O419" s="357">
        <f t="shared" si="116"/>
        <v>32</v>
      </c>
      <c r="P419" s="357">
        <f t="shared" si="117"/>
        <v>12</v>
      </c>
      <c r="Q419" s="357">
        <f t="shared" si="118"/>
        <v>32</v>
      </c>
      <c r="R419" s="356">
        <f t="shared" si="131"/>
        <v>18132181.787484203</v>
      </c>
      <c r="S419" s="356">
        <f>IF($G$4="mensual",S418,0)</f>
        <v>10000</v>
      </c>
      <c r="U419" s="356">
        <f t="shared" si="119"/>
        <v>144668.30526009935</v>
      </c>
      <c r="V419" s="356">
        <f t="shared" si="120"/>
        <v>-267.3140765096492</v>
      </c>
      <c r="X419" s="356">
        <f t="shared" si="123"/>
        <v>-18286.850092744302</v>
      </c>
      <c r="Y419" s="356">
        <f t="shared" si="124"/>
        <v>18268295.92857505</v>
      </c>
      <c r="AA419" s="357">
        <f>+Bono!J419</f>
        <v>411672.3436720738</v>
      </c>
      <c r="AC419" s="378">
        <f t="shared" si="125"/>
        <v>33</v>
      </c>
      <c r="AD419" s="356">
        <f t="shared" si="126"/>
        <v>19500184.715783052</v>
      </c>
    </row>
    <row r="420" spans="2:30" x14ac:dyDescent="0.25">
      <c r="B420" s="356">
        <f t="shared" si="127"/>
        <v>397</v>
      </c>
      <c r="C420" s="357">
        <f t="shared" ref="C420:C483" si="132">C408+1</f>
        <v>33</v>
      </c>
      <c r="D420" s="357">
        <f t="shared" ref="D420:D483" si="133">D408</f>
        <v>1</v>
      </c>
      <c r="E420" s="357">
        <f t="shared" ref="E420:E483" si="134">E408+1</f>
        <v>62</v>
      </c>
      <c r="F420" s="356">
        <f t="shared" si="128"/>
        <v>820216.4435359268</v>
      </c>
      <c r="H420" s="356">
        <f t="shared" si="121"/>
        <v>6540.521102851495</v>
      </c>
      <c r="I420" s="356">
        <v>0</v>
      </c>
      <c r="J420" s="356">
        <v>0</v>
      </c>
      <c r="K420" s="356">
        <f t="shared" si="129"/>
        <v>-826.7569646387783</v>
      </c>
      <c r="L420" s="356">
        <f t="shared" si="122"/>
        <v>825930.2076741394</v>
      </c>
      <c r="N420" s="356">
        <f t="shared" si="130"/>
        <v>397</v>
      </c>
      <c r="O420" s="357">
        <f t="shared" ref="O420:O483" si="135">O408+1</f>
        <v>33</v>
      </c>
      <c r="P420" s="357">
        <f t="shared" ref="P420:P483" si="136">P408</f>
        <v>1</v>
      </c>
      <c r="Q420" s="357">
        <f t="shared" ref="Q420:Q483" si="137">Q408+1</f>
        <v>33</v>
      </c>
      <c r="R420" s="356">
        <f t="shared" si="131"/>
        <v>18268295.92857505</v>
      </c>
      <c r="S420" s="356">
        <f>IF($G$17="si",S408*(1+$G$20),S408)</f>
        <v>10000</v>
      </c>
      <c r="U420" s="356">
        <f t="shared" ref="U420:U483" si="138">SUM(R420:T420)*$G$8</f>
        <v>145753.69853551738</v>
      </c>
      <c r="V420" s="356">
        <f>V419*(1+$G$18)</f>
        <v>-278.0066395700352</v>
      </c>
      <c r="X420" s="356">
        <f t="shared" si="123"/>
        <v>-18424.049627110566</v>
      </c>
      <c r="Y420" s="356">
        <f t="shared" si="124"/>
        <v>18405347.570843887</v>
      </c>
      <c r="AA420" s="357">
        <f>+Bono!J420</f>
        <v>414224.75995387696</v>
      </c>
      <c r="AC420" s="378">
        <f t="shared" si="125"/>
        <v>33.083333333333336</v>
      </c>
      <c r="AD420" s="356">
        <f t="shared" si="126"/>
        <v>19645502.5384719</v>
      </c>
    </row>
    <row r="421" spans="2:30" x14ac:dyDescent="0.25">
      <c r="B421" s="356">
        <f t="shared" si="127"/>
        <v>398</v>
      </c>
      <c r="C421" s="357">
        <f t="shared" si="132"/>
        <v>33</v>
      </c>
      <c r="D421" s="357">
        <f t="shared" si="133"/>
        <v>2</v>
      </c>
      <c r="E421" s="357">
        <f t="shared" si="134"/>
        <v>62</v>
      </c>
      <c r="F421" s="356">
        <f t="shared" si="128"/>
        <v>825930.2076741394</v>
      </c>
      <c r="H421" s="356">
        <f t="shared" si="121"/>
        <v>6586.083460467237</v>
      </c>
      <c r="I421" s="356">
        <v>0</v>
      </c>
      <c r="J421" s="356">
        <v>0</v>
      </c>
      <c r="K421" s="356">
        <f t="shared" si="129"/>
        <v>-832.5162911346067</v>
      </c>
      <c r="L421" s="356">
        <f t="shared" si="122"/>
        <v>831683.774843472</v>
      </c>
      <c r="N421" s="356">
        <f t="shared" si="130"/>
        <v>398</v>
      </c>
      <c r="O421" s="357">
        <f t="shared" si="135"/>
        <v>33</v>
      </c>
      <c r="P421" s="357">
        <f t="shared" si="136"/>
        <v>2</v>
      </c>
      <c r="Q421" s="357">
        <f t="shared" si="137"/>
        <v>33</v>
      </c>
      <c r="R421" s="356">
        <f t="shared" si="131"/>
        <v>18405347.570843887</v>
      </c>
      <c r="S421" s="356">
        <f>IF($G$4="mensual",S420,0)</f>
        <v>10000</v>
      </c>
      <c r="U421" s="356">
        <f t="shared" si="138"/>
        <v>146846.56757698097</v>
      </c>
      <c r="V421" s="356">
        <f>V420</f>
        <v>-278.0066395700352</v>
      </c>
      <c r="X421" s="356">
        <f t="shared" si="123"/>
        <v>-18562.19413842087</v>
      </c>
      <c r="Y421" s="356">
        <f t="shared" si="124"/>
        <v>18543353.937642876</v>
      </c>
      <c r="AA421" s="357">
        <f>+Bono!J421</f>
        <v>416793.0015126893</v>
      </c>
      <c r="AC421" s="378">
        <f t="shared" si="125"/>
        <v>33.166666666666664</v>
      </c>
      <c r="AD421" s="356">
        <f t="shared" si="126"/>
        <v>19791830.713999037</v>
      </c>
    </row>
    <row r="422" spans="2:30" x14ac:dyDescent="0.25">
      <c r="B422" s="356">
        <f t="shared" si="127"/>
        <v>399</v>
      </c>
      <c r="C422" s="357">
        <f t="shared" si="132"/>
        <v>33</v>
      </c>
      <c r="D422" s="357">
        <f t="shared" si="133"/>
        <v>3</v>
      </c>
      <c r="E422" s="357">
        <f t="shared" si="134"/>
        <v>62</v>
      </c>
      <c r="F422" s="356">
        <f t="shared" si="128"/>
        <v>831683.774843472</v>
      </c>
      <c r="H422" s="356">
        <f t="shared" si="121"/>
        <v>6631.963213042626</v>
      </c>
      <c r="I422" s="356">
        <v>0</v>
      </c>
      <c r="J422" s="360">
        <f>-SUM(F422:H422)*$J$21</f>
        <v>-7544.8416425086325</v>
      </c>
      <c r="K422" s="356">
        <f t="shared" si="129"/>
        <v>-830.7708964140061</v>
      </c>
      <c r="L422" s="356">
        <f t="shared" si="122"/>
        <v>829940.125517592</v>
      </c>
      <c r="N422" s="356">
        <f t="shared" si="130"/>
        <v>399</v>
      </c>
      <c r="O422" s="357">
        <f t="shared" si="135"/>
        <v>33</v>
      </c>
      <c r="P422" s="357">
        <f t="shared" si="136"/>
        <v>3</v>
      </c>
      <c r="Q422" s="357">
        <f t="shared" si="137"/>
        <v>33</v>
      </c>
      <c r="R422" s="356">
        <f t="shared" si="131"/>
        <v>18543353.937642876</v>
      </c>
      <c r="S422" s="356">
        <f>IF($G$4="mensual",S421,0)</f>
        <v>10000</v>
      </c>
      <c r="U422" s="356">
        <f t="shared" si="138"/>
        <v>147947.0497259189</v>
      </c>
      <c r="V422" s="356">
        <f t="shared" si="120"/>
        <v>-278.0066395700352</v>
      </c>
      <c r="X422" s="356">
        <f t="shared" si="123"/>
        <v>-18701.300987368795</v>
      </c>
      <c r="Y422" s="356">
        <f t="shared" si="124"/>
        <v>18682321.679741856</v>
      </c>
      <c r="AA422" s="357">
        <f>+Bono!J422</f>
        <v>415598.9937961894</v>
      </c>
      <c r="AC422" s="378">
        <f t="shared" si="125"/>
        <v>33.25</v>
      </c>
      <c r="AD422" s="356">
        <f t="shared" si="126"/>
        <v>19927860.799055636</v>
      </c>
    </row>
    <row r="423" spans="2:30" x14ac:dyDescent="0.25">
      <c r="B423" s="356">
        <f t="shared" si="127"/>
        <v>400</v>
      </c>
      <c r="C423" s="357">
        <f t="shared" si="132"/>
        <v>33</v>
      </c>
      <c r="D423" s="357">
        <f t="shared" si="133"/>
        <v>4</v>
      </c>
      <c r="E423" s="357">
        <f t="shared" si="134"/>
        <v>62</v>
      </c>
      <c r="F423" s="356">
        <f t="shared" si="128"/>
        <v>829940.125517592</v>
      </c>
      <c r="H423" s="356">
        <f t="shared" si="121"/>
        <v>6618.059108459294</v>
      </c>
      <c r="I423" s="356">
        <v>0</v>
      </c>
      <c r="J423" s="356">
        <v>0</v>
      </c>
      <c r="K423" s="356">
        <f t="shared" si="129"/>
        <v>-836.5581846260512</v>
      </c>
      <c r="L423" s="356">
        <f t="shared" si="122"/>
        <v>835721.6264414252</v>
      </c>
      <c r="N423" s="356">
        <f t="shared" si="130"/>
        <v>400</v>
      </c>
      <c r="O423" s="357">
        <f t="shared" si="135"/>
        <v>33</v>
      </c>
      <c r="P423" s="357">
        <f t="shared" si="136"/>
        <v>4</v>
      </c>
      <c r="Q423" s="357">
        <f t="shared" si="137"/>
        <v>33</v>
      </c>
      <c r="R423" s="356">
        <f t="shared" si="131"/>
        <v>18682321.679741856</v>
      </c>
      <c r="S423" s="356">
        <f>IF($G$4="mensual",S420,IF($G$4="trimestral",S420,0))</f>
        <v>10000</v>
      </c>
      <c r="U423" s="356">
        <f t="shared" si="138"/>
        <v>149055.19801650385</v>
      </c>
      <c r="V423" s="356">
        <f t="shared" si="120"/>
        <v>-278.0066395700352</v>
      </c>
      <c r="X423" s="356">
        <f t="shared" si="123"/>
        <v>-18841.37687775836</v>
      </c>
      <c r="Y423" s="356">
        <f t="shared" si="124"/>
        <v>18822257.494241033</v>
      </c>
      <c r="AA423" s="357">
        <f>+Bono!J423</f>
        <v>418175.75576422527</v>
      </c>
      <c r="AC423" s="378">
        <f t="shared" si="125"/>
        <v>33.333333333333336</v>
      </c>
      <c r="AD423" s="356">
        <f t="shared" si="126"/>
        <v>20076154.876446683</v>
      </c>
    </row>
    <row r="424" spans="2:30" x14ac:dyDescent="0.25">
      <c r="B424" s="356">
        <f t="shared" si="127"/>
        <v>401</v>
      </c>
      <c r="C424" s="357">
        <f t="shared" si="132"/>
        <v>33</v>
      </c>
      <c r="D424" s="357">
        <f t="shared" si="133"/>
        <v>5</v>
      </c>
      <c r="E424" s="357">
        <f t="shared" si="134"/>
        <v>62</v>
      </c>
      <c r="F424" s="356">
        <f t="shared" si="128"/>
        <v>835721.6264414252</v>
      </c>
      <c r="H424" s="356">
        <f t="shared" si="121"/>
        <v>6664.161608715777</v>
      </c>
      <c r="I424" s="356">
        <v>0</v>
      </c>
      <c r="J424" s="356">
        <v>0</v>
      </c>
      <c r="K424" s="356">
        <f t="shared" si="129"/>
        <v>-842.385788050141</v>
      </c>
      <c r="L424" s="356">
        <f t="shared" si="122"/>
        <v>841543.4022620908</v>
      </c>
      <c r="N424" s="356">
        <f t="shared" si="130"/>
        <v>401</v>
      </c>
      <c r="O424" s="357">
        <f t="shared" si="135"/>
        <v>33</v>
      </c>
      <c r="P424" s="357">
        <f t="shared" si="136"/>
        <v>5</v>
      </c>
      <c r="Q424" s="357">
        <f t="shared" si="137"/>
        <v>33</v>
      </c>
      <c r="R424" s="356">
        <f t="shared" si="131"/>
        <v>18822257.494241033</v>
      </c>
      <c r="S424" s="356">
        <f>IF($G$4="mensual",S423,0)</f>
        <v>10000</v>
      </c>
      <c r="U424" s="356">
        <f t="shared" si="138"/>
        <v>150171.06585235332</v>
      </c>
      <c r="V424" s="356">
        <f t="shared" si="120"/>
        <v>-278.0066395700352</v>
      </c>
      <c r="X424" s="356">
        <f t="shared" si="123"/>
        <v>-18982.428560093384</v>
      </c>
      <c r="Y424" s="356">
        <f t="shared" si="124"/>
        <v>18963168.12489372</v>
      </c>
      <c r="AA424" s="357">
        <f>+Bono!J424</f>
        <v>420768.49395534885</v>
      </c>
      <c r="AC424" s="378">
        <f t="shared" si="125"/>
        <v>33.416666666666664</v>
      </c>
      <c r="AD424" s="356">
        <f t="shared" si="126"/>
        <v>20225480.02111116</v>
      </c>
    </row>
    <row r="425" spans="2:30" x14ac:dyDescent="0.25">
      <c r="B425" s="356">
        <f t="shared" si="127"/>
        <v>402</v>
      </c>
      <c r="C425" s="357">
        <f t="shared" si="132"/>
        <v>33</v>
      </c>
      <c r="D425" s="357">
        <f t="shared" si="133"/>
        <v>6</v>
      </c>
      <c r="E425" s="357">
        <f t="shared" si="134"/>
        <v>62</v>
      </c>
      <c r="F425" s="356">
        <f t="shared" si="128"/>
        <v>841543.4022620908</v>
      </c>
      <c r="H425" s="356">
        <f t="shared" si="121"/>
        <v>6710.585266655362</v>
      </c>
      <c r="I425" s="356">
        <v>0</v>
      </c>
      <c r="J425" s="360">
        <f>-SUM(F425:H425)*$J$21</f>
        <v>-7634.285887758716</v>
      </c>
      <c r="K425" s="356">
        <f t="shared" si="129"/>
        <v>-840.6197016409874</v>
      </c>
      <c r="L425" s="356">
        <f t="shared" si="122"/>
        <v>839779.0819393464</v>
      </c>
      <c r="N425" s="356">
        <f t="shared" si="130"/>
        <v>402</v>
      </c>
      <c r="O425" s="357">
        <f t="shared" si="135"/>
        <v>33</v>
      </c>
      <c r="P425" s="357">
        <f t="shared" si="136"/>
        <v>6</v>
      </c>
      <c r="Q425" s="357">
        <f t="shared" si="137"/>
        <v>33</v>
      </c>
      <c r="R425" s="356">
        <f t="shared" si="131"/>
        <v>18963168.12489372</v>
      </c>
      <c r="S425" s="356">
        <f>IF($G$4="mensual",S424,0)</f>
        <v>10000</v>
      </c>
      <c r="U425" s="356">
        <f t="shared" si="138"/>
        <v>151294.70700910324</v>
      </c>
      <c r="V425" s="356">
        <f t="shared" si="120"/>
        <v>-278.0066395700352</v>
      </c>
      <c r="X425" s="356">
        <f t="shared" si="123"/>
        <v>-19124.462831902823</v>
      </c>
      <c r="Y425" s="356">
        <f t="shared" si="124"/>
        <v>19105060.36243135</v>
      </c>
      <c r="AA425" s="357">
        <f>+Bono!J425</f>
        <v>419563.0974472037</v>
      </c>
      <c r="AC425" s="378">
        <f t="shared" si="125"/>
        <v>33.5</v>
      </c>
      <c r="AD425" s="356">
        <f t="shared" si="126"/>
        <v>20364402.541817904</v>
      </c>
    </row>
    <row r="426" spans="2:30" x14ac:dyDescent="0.25">
      <c r="B426" s="356">
        <f t="shared" si="127"/>
        <v>403</v>
      </c>
      <c r="C426" s="357">
        <f t="shared" si="132"/>
        <v>33</v>
      </c>
      <c r="D426" s="357">
        <f t="shared" si="133"/>
        <v>7</v>
      </c>
      <c r="E426" s="357">
        <f t="shared" si="134"/>
        <v>62</v>
      </c>
      <c r="F426" s="356">
        <f t="shared" si="128"/>
        <v>839779.0819393464</v>
      </c>
      <c r="H426" s="356">
        <f t="shared" si="121"/>
        <v>6696.516328640229</v>
      </c>
      <c r="I426" s="356">
        <v>0</v>
      </c>
      <c r="J426" s="356">
        <v>0</v>
      </c>
      <c r="K426" s="356">
        <f t="shared" si="129"/>
        <v>-846.4755982679867</v>
      </c>
      <c r="L426" s="356">
        <f t="shared" si="122"/>
        <v>845629.1226697187</v>
      </c>
      <c r="N426" s="356">
        <f t="shared" si="130"/>
        <v>403</v>
      </c>
      <c r="O426" s="357">
        <f t="shared" si="135"/>
        <v>33</v>
      </c>
      <c r="P426" s="357">
        <f t="shared" si="136"/>
        <v>7</v>
      </c>
      <c r="Q426" s="357">
        <f t="shared" si="137"/>
        <v>33</v>
      </c>
      <c r="R426" s="356">
        <f t="shared" si="131"/>
        <v>19105060.36243135</v>
      </c>
      <c r="S426" s="356">
        <f>+IF($G$4="mensual",S420,IF($G$4="trimestral",S420,IF($G$4="semestral",S420,0)))</f>
        <v>10000</v>
      </c>
      <c r="U426" s="356">
        <f t="shared" si="138"/>
        <v>152426.1756369997</v>
      </c>
      <c r="V426" s="356">
        <f t="shared" si="120"/>
        <v>-278.0066395700352</v>
      </c>
      <c r="X426" s="356">
        <f t="shared" si="123"/>
        <v>-19267.48653806835</v>
      </c>
      <c r="Y426" s="356">
        <f t="shared" si="124"/>
        <v>19247941.044890713</v>
      </c>
      <c r="AA426" s="357">
        <f>+Bono!J426</f>
        <v>422164.4373176834</v>
      </c>
      <c r="AC426" s="378">
        <f t="shared" si="125"/>
        <v>33.583333333333336</v>
      </c>
      <c r="AD426" s="356">
        <f t="shared" si="126"/>
        <v>20515734.604878116</v>
      </c>
    </row>
    <row r="427" spans="2:30" x14ac:dyDescent="0.25">
      <c r="B427" s="356">
        <f t="shared" si="127"/>
        <v>404</v>
      </c>
      <c r="C427" s="357">
        <f t="shared" si="132"/>
        <v>33</v>
      </c>
      <c r="D427" s="357">
        <f t="shared" si="133"/>
        <v>8</v>
      </c>
      <c r="E427" s="357">
        <f t="shared" si="134"/>
        <v>62</v>
      </c>
      <c r="F427" s="356">
        <f t="shared" si="128"/>
        <v>845629.1226697187</v>
      </c>
      <c r="H427" s="356">
        <f t="shared" si="121"/>
        <v>6743.165374939024</v>
      </c>
      <c r="I427" s="356">
        <v>0</v>
      </c>
      <c r="J427" s="356">
        <v>0</v>
      </c>
      <c r="K427" s="356">
        <f t="shared" si="129"/>
        <v>-852.3722880446577</v>
      </c>
      <c r="L427" s="356">
        <f t="shared" si="122"/>
        <v>851519.915756613</v>
      </c>
      <c r="N427" s="356">
        <f t="shared" si="130"/>
        <v>404</v>
      </c>
      <c r="O427" s="357">
        <f t="shared" si="135"/>
        <v>33</v>
      </c>
      <c r="P427" s="357">
        <f t="shared" si="136"/>
        <v>8</v>
      </c>
      <c r="Q427" s="357">
        <f t="shared" si="137"/>
        <v>33</v>
      </c>
      <c r="R427" s="356">
        <f t="shared" si="131"/>
        <v>19247941.044890713</v>
      </c>
      <c r="S427" s="356">
        <f>IF($G$4="mensual",S426,0)</f>
        <v>10000</v>
      </c>
      <c r="U427" s="356">
        <f t="shared" si="138"/>
        <v>153565.52626350825</v>
      </c>
      <c r="V427" s="356">
        <f t="shared" si="120"/>
        <v>-278.0066395700352</v>
      </c>
      <c r="X427" s="356">
        <f t="shared" si="123"/>
        <v>-19411.506571154223</v>
      </c>
      <c r="Y427" s="356">
        <f t="shared" si="124"/>
        <v>19391817.057943497</v>
      </c>
      <c r="AA427" s="357">
        <f>+Bono!J427</f>
        <v>424781.9057970969</v>
      </c>
      <c r="AC427" s="378">
        <f t="shared" si="125"/>
        <v>33.666666666666664</v>
      </c>
      <c r="AD427" s="356">
        <f t="shared" si="126"/>
        <v>20668118.879497208</v>
      </c>
    </row>
    <row r="428" spans="2:30" x14ac:dyDescent="0.25">
      <c r="B428" s="356">
        <f t="shared" si="127"/>
        <v>405</v>
      </c>
      <c r="C428" s="357">
        <f t="shared" si="132"/>
        <v>33</v>
      </c>
      <c r="D428" s="357">
        <f t="shared" si="133"/>
        <v>9</v>
      </c>
      <c r="E428" s="357">
        <f t="shared" si="134"/>
        <v>62</v>
      </c>
      <c r="F428" s="356">
        <f t="shared" si="128"/>
        <v>851519.915756613</v>
      </c>
      <c r="H428" s="356">
        <f t="shared" si="121"/>
        <v>6790.139386251535</v>
      </c>
      <c r="I428" s="356">
        <v>0</v>
      </c>
      <c r="J428" s="360">
        <f>-SUM(F428:H428)*$J$21</f>
        <v>-7724.790496285782</v>
      </c>
      <c r="K428" s="356">
        <f t="shared" si="129"/>
        <v>-850.5852646465788</v>
      </c>
      <c r="L428" s="356">
        <f t="shared" si="122"/>
        <v>849734.6793819322</v>
      </c>
      <c r="N428" s="356">
        <f t="shared" si="130"/>
        <v>405</v>
      </c>
      <c r="O428" s="357">
        <f t="shared" si="135"/>
        <v>33</v>
      </c>
      <c r="P428" s="357">
        <f t="shared" si="136"/>
        <v>9</v>
      </c>
      <c r="Q428" s="357">
        <f t="shared" si="137"/>
        <v>33</v>
      </c>
      <c r="R428" s="356">
        <f t="shared" si="131"/>
        <v>19391817.057943497</v>
      </c>
      <c r="S428" s="356">
        <f>IF($G$4="mensual",S427,0)</f>
        <v>10000</v>
      </c>
      <c r="U428" s="356">
        <f t="shared" si="138"/>
        <v>154712.81379594194</v>
      </c>
      <c r="V428" s="356">
        <f t="shared" si="120"/>
        <v>-278.0066395700352</v>
      </c>
      <c r="X428" s="356">
        <f t="shared" si="123"/>
        <v>-19556.52987173944</v>
      </c>
      <c r="Y428" s="356">
        <f t="shared" si="124"/>
        <v>19536695.33522813</v>
      </c>
      <c r="AA428" s="357">
        <f>+Bono!J428</f>
        <v>423565.0118677111</v>
      </c>
      <c r="AC428" s="378">
        <f t="shared" si="125"/>
        <v>33.75</v>
      </c>
      <c r="AD428" s="356">
        <f t="shared" si="126"/>
        <v>20809995.026477773</v>
      </c>
    </row>
    <row r="429" spans="2:30" x14ac:dyDescent="0.25">
      <c r="B429" s="356">
        <f t="shared" si="127"/>
        <v>406</v>
      </c>
      <c r="C429" s="357">
        <f t="shared" si="132"/>
        <v>33</v>
      </c>
      <c r="D429" s="357">
        <f t="shared" si="133"/>
        <v>10</v>
      </c>
      <c r="E429" s="357">
        <f t="shared" si="134"/>
        <v>62</v>
      </c>
      <c r="F429" s="356">
        <f t="shared" si="128"/>
        <v>849734.6793819322</v>
      </c>
      <c r="H429" s="356">
        <f t="shared" si="121"/>
        <v>6775.903660701044</v>
      </c>
      <c r="I429" s="356">
        <v>0</v>
      </c>
      <c r="J429" s="356">
        <v>0</v>
      </c>
      <c r="K429" s="356">
        <f t="shared" si="129"/>
        <v>-856.5105830426332</v>
      </c>
      <c r="L429" s="356">
        <f t="shared" si="122"/>
        <v>855654.0724595906</v>
      </c>
      <c r="N429" s="356">
        <f t="shared" si="130"/>
        <v>406</v>
      </c>
      <c r="O429" s="357">
        <f t="shared" si="135"/>
        <v>33</v>
      </c>
      <c r="P429" s="357">
        <f t="shared" si="136"/>
        <v>10</v>
      </c>
      <c r="Q429" s="357">
        <f t="shared" si="137"/>
        <v>33</v>
      </c>
      <c r="R429" s="356">
        <f t="shared" si="131"/>
        <v>19536695.33522813</v>
      </c>
      <c r="S429" s="356">
        <f>IF($G$4="mensual",S420,IF($G$4="trimestral",S420,0))</f>
        <v>10000</v>
      </c>
      <c r="U429" s="356">
        <f t="shared" si="138"/>
        <v>155868.09352410724</v>
      </c>
      <c r="V429" s="356">
        <f t="shared" si="120"/>
        <v>-278.0066395700352</v>
      </c>
      <c r="X429" s="356">
        <f t="shared" si="123"/>
        <v>-19702.563428752237</v>
      </c>
      <c r="Y429" s="356">
        <f t="shared" si="124"/>
        <v>19682582.858683914</v>
      </c>
      <c r="AA429" s="357">
        <f>+Bono!J429</f>
        <v>426191.16407179134</v>
      </c>
      <c r="AC429" s="378">
        <f t="shared" si="125"/>
        <v>33.833333333333336</v>
      </c>
      <c r="AD429" s="356">
        <f t="shared" si="126"/>
        <v>20964428.095215295</v>
      </c>
    </row>
    <row r="430" spans="2:30" x14ac:dyDescent="0.25">
      <c r="B430" s="356">
        <f t="shared" si="127"/>
        <v>407</v>
      </c>
      <c r="C430" s="357">
        <f t="shared" si="132"/>
        <v>33</v>
      </c>
      <c r="D430" s="357">
        <f t="shared" si="133"/>
        <v>11</v>
      </c>
      <c r="E430" s="357">
        <f t="shared" si="134"/>
        <v>62</v>
      </c>
      <c r="F430" s="356">
        <f t="shared" si="128"/>
        <v>855654.0724595906</v>
      </c>
      <c r="H430" s="356">
        <f t="shared" si="121"/>
        <v>6823.105732356173</v>
      </c>
      <c r="I430" s="356">
        <v>0</v>
      </c>
      <c r="J430" s="356">
        <v>0</v>
      </c>
      <c r="K430" s="356">
        <f t="shared" si="129"/>
        <v>-862.4771781919468</v>
      </c>
      <c r="L430" s="356">
        <f t="shared" si="122"/>
        <v>861614.7010137548</v>
      </c>
      <c r="N430" s="356">
        <f t="shared" si="130"/>
        <v>407</v>
      </c>
      <c r="O430" s="357">
        <f t="shared" si="135"/>
        <v>33</v>
      </c>
      <c r="P430" s="357">
        <f t="shared" si="136"/>
        <v>11</v>
      </c>
      <c r="Q430" s="357">
        <f t="shared" si="137"/>
        <v>33</v>
      </c>
      <c r="R430" s="356">
        <f t="shared" si="131"/>
        <v>19682582.858683914</v>
      </c>
      <c r="S430" s="356">
        <f>IF($G$17="si",S418*(1+$G$20),S418)</f>
        <v>10000</v>
      </c>
      <c r="U430" s="356">
        <f t="shared" si="138"/>
        <v>157031.42112296866</v>
      </c>
      <c r="V430" s="356">
        <f t="shared" si="120"/>
        <v>-278.0066395700352</v>
      </c>
      <c r="X430" s="356">
        <f t="shared" si="123"/>
        <v>-19849.614279806883</v>
      </c>
      <c r="Y430" s="356">
        <f t="shared" si="124"/>
        <v>19829486.658887506</v>
      </c>
      <c r="AA430" s="357">
        <f>+Bono!J430</f>
        <v>428833.5987241517</v>
      </c>
      <c r="AC430" s="378">
        <f t="shared" si="125"/>
        <v>33.916666666666664</v>
      </c>
      <c r="AD430" s="356">
        <f t="shared" si="126"/>
        <v>21119934.958625413</v>
      </c>
    </row>
    <row r="431" spans="2:30" x14ac:dyDescent="0.25">
      <c r="B431" s="356">
        <f t="shared" si="127"/>
        <v>408</v>
      </c>
      <c r="C431" s="357">
        <f t="shared" si="132"/>
        <v>33</v>
      </c>
      <c r="D431" s="357">
        <f t="shared" si="133"/>
        <v>12</v>
      </c>
      <c r="E431" s="357">
        <f t="shared" si="134"/>
        <v>62</v>
      </c>
      <c r="F431" s="356">
        <f t="shared" si="128"/>
        <v>861614.7010137548</v>
      </c>
      <c r="H431" s="356">
        <f t="shared" si="121"/>
        <v>6870.636621491612</v>
      </c>
      <c r="I431" s="356">
        <v>0</v>
      </c>
      <c r="J431" s="360">
        <f>-SUM(F431:H431)*$J$21</f>
        <v>-7816.368038717219</v>
      </c>
      <c r="K431" s="356">
        <f t="shared" si="129"/>
        <v>-860.6689695965293</v>
      </c>
      <c r="L431" s="356">
        <f t="shared" si="122"/>
        <v>859808.3006269328</v>
      </c>
      <c r="N431" s="356">
        <f t="shared" si="130"/>
        <v>408</v>
      </c>
      <c r="O431" s="357">
        <f t="shared" si="135"/>
        <v>33</v>
      </c>
      <c r="P431" s="357">
        <f t="shared" si="136"/>
        <v>12</v>
      </c>
      <c r="Q431" s="357">
        <f t="shared" si="137"/>
        <v>33</v>
      </c>
      <c r="R431" s="356">
        <f t="shared" si="131"/>
        <v>19829486.658887506</v>
      </c>
      <c r="S431" s="356">
        <f>IF($G$4="mensual",S430,0)</f>
        <v>10000</v>
      </c>
      <c r="U431" s="356">
        <f t="shared" si="138"/>
        <v>158202.85265533172</v>
      </c>
      <c r="V431" s="356">
        <f t="shared" si="120"/>
        <v>-278.0066395700352</v>
      </c>
      <c r="X431" s="356">
        <f t="shared" si="123"/>
        <v>-19997.689511542838</v>
      </c>
      <c r="Y431" s="356">
        <f t="shared" si="124"/>
        <v>19977413.815391727</v>
      </c>
      <c r="AA431" s="357">
        <f>+Bono!J431</f>
        <v>427605.0977077894</v>
      </c>
      <c r="AC431" s="378">
        <f t="shared" si="125"/>
        <v>34</v>
      </c>
      <c r="AD431" s="356">
        <f t="shared" si="126"/>
        <v>21264827.21372645</v>
      </c>
    </row>
    <row r="432" spans="2:30" x14ac:dyDescent="0.25">
      <c r="B432" s="356">
        <f t="shared" si="127"/>
        <v>409</v>
      </c>
      <c r="C432" s="357">
        <f t="shared" si="132"/>
        <v>34</v>
      </c>
      <c r="D432" s="357">
        <f t="shared" si="133"/>
        <v>1</v>
      </c>
      <c r="E432" s="357">
        <f t="shared" si="134"/>
        <v>63</v>
      </c>
      <c r="F432" s="356">
        <f t="shared" si="128"/>
        <v>859808.3006269328</v>
      </c>
      <c r="H432" s="356">
        <f t="shared" si="121"/>
        <v>6856.232131136267</v>
      </c>
      <c r="I432" s="356">
        <v>0</v>
      </c>
      <c r="J432" s="356">
        <v>0</v>
      </c>
      <c r="K432" s="356">
        <f t="shared" si="129"/>
        <v>-866.664532758069</v>
      </c>
      <c r="L432" s="356">
        <f t="shared" si="122"/>
        <v>865797.8682253109</v>
      </c>
      <c r="N432" s="356">
        <f t="shared" si="130"/>
        <v>409</v>
      </c>
      <c r="O432" s="357">
        <f t="shared" si="135"/>
        <v>34</v>
      </c>
      <c r="P432" s="357">
        <f t="shared" si="136"/>
        <v>1</v>
      </c>
      <c r="Q432" s="357">
        <f t="shared" si="137"/>
        <v>34</v>
      </c>
      <c r="R432" s="356">
        <f t="shared" si="131"/>
        <v>19977413.815391727</v>
      </c>
      <c r="S432" s="356">
        <f>IF($G$17="si",S420*(1+$G$20),S420)</f>
        <v>10000</v>
      </c>
      <c r="U432" s="356">
        <f t="shared" si="138"/>
        <v>159382.44457454482</v>
      </c>
      <c r="V432" s="356">
        <f>V431*(1+$G$18)</f>
        <v>-289.1269051528366</v>
      </c>
      <c r="X432" s="356">
        <f t="shared" si="123"/>
        <v>-20146.79625996627</v>
      </c>
      <c r="Y432" s="356">
        <f t="shared" si="124"/>
        <v>20126360.336801153</v>
      </c>
      <c r="AA432" s="357">
        <f>+Bono!J432</f>
        <v>430256.29891269904</v>
      </c>
      <c r="AC432" s="378">
        <f t="shared" si="125"/>
        <v>34.083333333333336</v>
      </c>
      <c r="AD432" s="356">
        <f t="shared" si="126"/>
        <v>21422414.503939163</v>
      </c>
    </row>
    <row r="433" spans="2:30" x14ac:dyDescent="0.25">
      <c r="B433" s="356">
        <f t="shared" si="127"/>
        <v>410</v>
      </c>
      <c r="C433" s="357">
        <f t="shared" si="132"/>
        <v>34</v>
      </c>
      <c r="D433" s="357">
        <f t="shared" si="133"/>
        <v>2</v>
      </c>
      <c r="E433" s="357">
        <f t="shared" si="134"/>
        <v>63</v>
      </c>
      <c r="F433" s="356">
        <f t="shared" si="128"/>
        <v>865797.8682253109</v>
      </c>
      <c r="H433" s="356">
        <f t="shared" si="121"/>
        <v>6903.993784274146</v>
      </c>
      <c r="I433" s="356">
        <v>0</v>
      </c>
      <c r="J433" s="356">
        <v>0</v>
      </c>
      <c r="K433" s="356">
        <f t="shared" si="129"/>
        <v>-872.701862009585</v>
      </c>
      <c r="L433" s="356">
        <f t="shared" si="122"/>
        <v>871829.1601475754</v>
      </c>
      <c r="N433" s="356">
        <f t="shared" si="130"/>
        <v>410</v>
      </c>
      <c r="O433" s="357">
        <f t="shared" si="135"/>
        <v>34</v>
      </c>
      <c r="P433" s="357">
        <f t="shared" si="136"/>
        <v>2</v>
      </c>
      <c r="Q433" s="357">
        <f t="shared" si="137"/>
        <v>34</v>
      </c>
      <c r="R433" s="356">
        <f t="shared" si="131"/>
        <v>20126360.336801153</v>
      </c>
      <c r="S433" s="356">
        <f>IF($G$4="mensual",S432,0)</f>
        <v>10000</v>
      </c>
      <c r="U433" s="356">
        <f t="shared" si="138"/>
        <v>160570.1650526603</v>
      </c>
      <c r="V433" s="356">
        <f>V432</f>
        <v>-289.1269051528366</v>
      </c>
      <c r="X433" s="356">
        <f t="shared" si="123"/>
        <v>-20296.930501853814</v>
      </c>
      <c r="Y433" s="356">
        <f t="shared" si="124"/>
        <v>20276344.444446806</v>
      </c>
      <c r="AA433" s="357">
        <f>+Bono!J433</f>
        <v>432923.93787259946</v>
      </c>
      <c r="AC433" s="378">
        <f t="shared" si="125"/>
        <v>34.166666666666664</v>
      </c>
      <c r="AD433" s="356">
        <f t="shared" si="126"/>
        <v>21581097.54246698</v>
      </c>
    </row>
    <row r="434" spans="2:30" x14ac:dyDescent="0.25">
      <c r="B434" s="356">
        <f t="shared" si="127"/>
        <v>411</v>
      </c>
      <c r="C434" s="357">
        <f t="shared" si="132"/>
        <v>34</v>
      </c>
      <c r="D434" s="357">
        <f t="shared" si="133"/>
        <v>3</v>
      </c>
      <c r="E434" s="357">
        <f t="shared" si="134"/>
        <v>63</v>
      </c>
      <c r="F434" s="356">
        <f t="shared" si="128"/>
        <v>871829.1601475754</v>
      </c>
      <c r="H434" s="356">
        <f t="shared" si="121"/>
        <v>6952.088153029996</v>
      </c>
      <c r="I434" s="356">
        <v>0</v>
      </c>
      <c r="J434" s="360">
        <f>-SUM(F434:H434)*$J$21</f>
        <v>-7909.03123470545</v>
      </c>
      <c r="K434" s="356">
        <f t="shared" si="129"/>
        <v>-870.8722170659</v>
      </c>
      <c r="L434" s="356">
        <f t="shared" si="122"/>
        <v>870001.3448488341</v>
      </c>
      <c r="N434" s="356">
        <f t="shared" si="130"/>
        <v>411</v>
      </c>
      <c r="O434" s="357">
        <f t="shared" si="135"/>
        <v>34</v>
      </c>
      <c r="P434" s="357">
        <f t="shared" si="136"/>
        <v>3</v>
      </c>
      <c r="Q434" s="357">
        <f t="shared" si="137"/>
        <v>34</v>
      </c>
      <c r="R434" s="356">
        <f t="shared" si="131"/>
        <v>20276344.444446806</v>
      </c>
      <c r="S434" s="356">
        <f>IF($G$4="mensual",S433,0)</f>
        <v>10000</v>
      </c>
      <c r="U434" s="356">
        <f t="shared" si="138"/>
        <v>161766.15938913054</v>
      </c>
      <c r="V434" s="356">
        <f t="shared" si="120"/>
        <v>-289.1269051528366</v>
      </c>
      <c r="X434" s="356">
        <f t="shared" si="123"/>
        <v>-20448.110603835936</v>
      </c>
      <c r="Y434" s="356">
        <f t="shared" si="124"/>
        <v>20427373.366326947</v>
      </c>
      <c r="AA434" s="357">
        <f>+Bono!J434</f>
        <v>431683.71905750094</v>
      </c>
      <c r="AC434" s="378">
        <f t="shared" si="125"/>
        <v>34.25</v>
      </c>
      <c r="AD434" s="356">
        <f t="shared" si="126"/>
        <v>21729058.43023328</v>
      </c>
    </row>
    <row r="435" spans="2:30" x14ac:dyDescent="0.25">
      <c r="B435" s="356">
        <f t="shared" si="127"/>
        <v>412</v>
      </c>
      <c r="C435" s="357">
        <f t="shared" si="132"/>
        <v>34</v>
      </c>
      <c r="D435" s="357">
        <f t="shared" si="133"/>
        <v>4</v>
      </c>
      <c r="E435" s="357">
        <f t="shared" si="134"/>
        <v>63</v>
      </c>
      <c r="F435" s="356">
        <f t="shared" si="128"/>
        <v>870001.3448488341</v>
      </c>
      <c r="H435" s="356">
        <f t="shared" si="121"/>
        <v>6937.512897159733</v>
      </c>
      <c r="I435" s="356">
        <v>0</v>
      </c>
      <c r="J435" s="356">
        <v>0</v>
      </c>
      <c r="K435" s="356">
        <f t="shared" si="129"/>
        <v>-876.9388577459939</v>
      </c>
      <c r="L435" s="356">
        <f t="shared" si="122"/>
        <v>876061.9188882479</v>
      </c>
      <c r="N435" s="356">
        <f t="shared" si="130"/>
        <v>412</v>
      </c>
      <c r="O435" s="357">
        <f t="shared" si="135"/>
        <v>34</v>
      </c>
      <c r="P435" s="357">
        <f t="shared" si="136"/>
        <v>4</v>
      </c>
      <c r="Q435" s="357">
        <f t="shared" si="137"/>
        <v>34</v>
      </c>
      <c r="R435" s="356">
        <f t="shared" si="131"/>
        <v>20427373.366326947</v>
      </c>
      <c r="S435" s="356">
        <f>IF($G$4="mensual",S432,IF($G$4="trimestral",S432,0))</f>
        <v>10000</v>
      </c>
      <c r="U435" s="356">
        <f t="shared" si="138"/>
        <v>162970.48522102874</v>
      </c>
      <c r="V435" s="356">
        <f t="shared" si="120"/>
        <v>-289.1269051528366</v>
      </c>
      <c r="X435" s="356">
        <f t="shared" si="123"/>
        <v>-20600.343851547976</v>
      </c>
      <c r="Y435" s="356">
        <f t="shared" si="124"/>
        <v>20579454.380791273</v>
      </c>
      <c r="AA435" s="357">
        <f>+Bono!J435</f>
        <v>434360.20818786963</v>
      </c>
      <c r="AC435" s="378">
        <f t="shared" si="125"/>
        <v>34.333333333333336</v>
      </c>
      <c r="AD435" s="356">
        <f t="shared" si="126"/>
        <v>21889876.507867392</v>
      </c>
    </row>
    <row r="436" spans="2:30" x14ac:dyDescent="0.25">
      <c r="B436" s="356">
        <f t="shared" si="127"/>
        <v>413</v>
      </c>
      <c r="C436" s="357">
        <f t="shared" si="132"/>
        <v>34</v>
      </c>
      <c r="D436" s="357">
        <f t="shared" si="133"/>
        <v>5</v>
      </c>
      <c r="E436" s="357">
        <f t="shared" si="134"/>
        <v>63</v>
      </c>
      <c r="F436" s="356">
        <f t="shared" si="128"/>
        <v>876061.9188882479</v>
      </c>
      <c r="H436" s="356">
        <f t="shared" si="121"/>
        <v>6985.840765629788</v>
      </c>
      <c r="I436" s="356">
        <v>0</v>
      </c>
      <c r="J436" s="356">
        <v>0</v>
      </c>
      <c r="K436" s="356">
        <f t="shared" si="129"/>
        <v>-883.0477596538777</v>
      </c>
      <c r="L436" s="356">
        <f t="shared" si="122"/>
        <v>882164.7118942238</v>
      </c>
      <c r="N436" s="356">
        <f t="shared" si="130"/>
        <v>413</v>
      </c>
      <c r="O436" s="357">
        <f t="shared" si="135"/>
        <v>34</v>
      </c>
      <c r="P436" s="357">
        <f t="shared" si="136"/>
        <v>5</v>
      </c>
      <c r="Q436" s="357">
        <f t="shared" si="137"/>
        <v>34</v>
      </c>
      <c r="R436" s="356">
        <f t="shared" si="131"/>
        <v>20579454.380791273</v>
      </c>
      <c r="S436" s="356">
        <f>IF($G$4="mensual",S435,0)</f>
        <v>10000</v>
      </c>
      <c r="U436" s="356">
        <f t="shared" si="138"/>
        <v>164183.2005869374</v>
      </c>
      <c r="V436" s="356">
        <f t="shared" si="120"/>
        <v>-289.1269051528366</v>
      </c>
      <c r="X436" s="356">
        <f t="shared" si="123"/>
        <v>-20753.63758137821</v>
      </c>
      <c r="Y436" s="356">
        <f t="shared" si="124"/>
        <v>20732594.816891678</v>
      </c>
      <c r="AA436" s="357">
        <f>+Bono!J436</f>
        <v>437053.2918613001</v>
      </c>
      <c r="AC436" s="378">
        <f t="shared" si="125"/>
        <v>34.416666666666664</v>
      </c>
      <c r="AD436" s="356">
        <f t="shared" si="126"/>
        <v>22051812.820647202</v>
      </c>
    </row>
    <row r="437" spans="2:30" x14ac:dyDescent="0.25">
      <c r="B437" s="356">
        <f t="shared" si="127"/>
        <v>414</v>
      </c>
      <c r="C437" s="357">
        <f t="shared" si="132"/>
        <v>34</v>
      </c>
      <c r="D437" s="357">
        <f t="shared" si="133"/>
        <v>6</v>
      </c>
      <c r="E437" s="357">
        <f t="shared" si="134"/>
        <v>63</v>
      </c>
      <c r="F437" s="356">
        <f t="shared" si="128"/>
        <v>882164.7118942238</v>
      </c>
      <c r="H437" s="356">
        <f t="shared" si="121"/>
        <v>7034.505294067972</v>
      </c>
      <c r="I437" s="356">
        <v>0</v>
      </c>
      <c r="J437" s="360">
        <f>-SUM(F437:H437)*$J$21</f>
        <v>-8002.792954694627</v>
      </c>
      <c r="K437" s="356">
        <f t="shared" si="129"/>
        <v>-881.1964242335972</v>
      </c>
      <c r="L437" s="356">
        <f t="shared" si="122"/>
        <v>880315.2278093636</v>
      </c>
      <c r="N437" s="356">
        <f t="shared" si="130"/>
        <v>414</v>
      </c>
      <c r="O437" s="357">
        <f t="shared" si="135"/>
        <v>34</v>
      </c>
      <c r="P437" s="357">
        <f t="shared" si="136"/>
        <v>6</v>
      </c>
      <c r="Q437" s="357">
        <f t="shared" si="137"/>
        <v>34</v>
      </c>
      <c r="R437" s="356">
        <f t="shared" si="131"/>
        <v>20732594.816891678</v>
      </c>
      <c r="S437" s="356">
        <f>IF($G$4="mensual",S436,0)</f>
        <v>10000</v>
      </c>
      <c r="U437" s="356">
        <f t="shared" si="138"/>
        <v>165404.3639297456</v>
      </c>
      <c r="V437" s="356">
        <f t="shared" si="120"/>
        <v>-289.1269051528366</v>
      </c>
      <c r="X437" s="356">
        <f t="shared" si="123"/>
        <v>-20907.99918082142</v>
      </c>
      <c r="Y437" s="356">
        <f t="shared" si="124"/>
        <v>20886802.05473545</v>
      </c>
      <c r="AA437" s="357">
        <f>+Bono!J437</f>
        <v>435801.24347970507</v>
      </c>
      <c r="AC437" s="378">
        <f t="shared" si="125"/>
        <v>34.5</v>
      </c>
      <c r="AD437" s="356">
        <f t="shared" si="126"/>
        <v>22202918.526024517</v>
      </c>
    </row>
    <row r="438" spans="2:30" x14ac:dyDescent="0.25">
      <c r="B438" s="356">
        <f t="shared" si="127"/>
        <v>415</v>
      </c>
      <c r="C438" s="357">
        <f t="shared" si="132"/>
        <v>34</v>
      </c>
      <c r="D438" s="357">
        <f t="shared" si="133"/>
        <v>7</v>
      </c>
      <c r="E438" s="357">
        <f t="shared" si="134"/>
        <v>63</v>
      </c>
      <c r="F438" s="356">
        <f t="shared" si="128"/>
        <v>880315.2278093636</v>
      </c>
      <c r="H438" s="356">
        <f t="shared" si="121"/>
        <v>7019.757248254274</v>
      </c>
      <c r="I438" s="356">
        <v>0</v>
      </c>
      <c r="J438" s="356">
        <v>0</v>
      </c>
      <c r="K438" s="356">
        <f t="shared" si="129"/>
        <v>-887.3349850576179</v>
      </c>
      <c r="L438" s="356">
        <f t="shared" si="122"/>
        <v>886447.6500725603</v>
      </c>
      <c r="N438" s="356">
        <f t="shared" si="130"/>
        <v>415</v>
      </c>
      <c r="O438" s="357">
        <f t="shared" si="135"/>
        <v>34</v>
      </c>
      <c r="P438" s="357">
        <f t="shared" si="136"/>
        <v>7</v>
      </c>
      <c r="Q438" s="357">
        <f t="shared" si="137"/>
        <v>34</v>
      </c>
      <c r="R438" s="356">
        <f t="shared" si="131"/>
        <v>20886802.05473545</v>
      </c>
      <c r="S438" s="356">
        <f>+IF($G$4="mensual",S432,IF($G$4="trimestral",S432,IF($G$4="semestral",S432,0)))</f>
        <v>10000</v>
      </c>
      <c r="U438" s="356">
        <f t="shared" si="138"/>
        <v>166634.03409946518</v>
      </c>
      <c r="V438" s="356">
        <f t="shared" si="120"/>
        <v>-289.1269051528366</v>
      </c>
      <c r="X438" s="356">
        <f t="shared" si="123"/>
        <v>-21063.43608883491</v>
      </c>
      <c r="Y438" s="356">
        <f t="shared" si="124"/>
        <v>21042083.525840923</v>
      </c>
      <c r="AA438" s="357">
        <f>+Bono!J438</f>
        <v>438503.2617390947</v>
      </c>
      <c r="AC438" s="378">
        <f t="shared" si="125"/>
        <v>34.583333333333336</v>
      </c>
      <c r="AD438" s="356">
        <f t="shared" si="126"/>
        <v>22367034.437652577</v>
      </c>
    </row>
    <row r="439" spans="2:30" x14ac:dyDescent="0.25">
      <c r="B439" s="356">
        <f t="shared" si="127"/>
        <v>416</v>
      </c>
      <c r="C439" s="357">
        <f t="shared" si="132"/>
        <v>34</v>
      </c>
      <c r="D439" s="357">
        <f t="shared" si="133"/>
        <v>8</v>
      </c>
      <c r="E439" s="357">
        <f t="shared" si="134"/>
        <v>63</v>
      </c>
      <c r="F439" s="356">
        <f t="shared" si="128"/>
        <v>886447.6500725603</v>
      </c>
      <c r="H439" s="356">
        <f t="shared" si="121"/>
        <v>7068.65804455034</v>
      </c>
      <c r="I439" s="356">
        <v>0</v>
      </c>
      <c r="J439" s="356">
        <v>0</v>
      </c>
      <c r="K439" s="356">
        <f t="shared" si="129"/>
        <v>-893.5163081171106</v>
      </c>
      <c r="L439" s="356">
        <f t="shared" si="122"/>
        <v>892622.7918089936</v>
      </c>
      <c r="N439" s="356">
        <f t="shared" si="130"/>
        <v>416</v>
      </c>
      <c r="O439" s="357">
        <f t="shared" si="135"/>
        <v>34</v>
      </c>
      <c r="P439" s="357">
        <f t="shared" si="136"/>
        <v>8</v>
      </c>
      <c r="Q439" s="357">
        <f t="shared" si="137"/>
        <v>34</v>
      </c>
      <c r="R439" s="356">
        <f t="shared" si="131"/>
        <v>21042083.525840923</v>
      </c>
      <c r="S439" s="356">
        <f>IF($G$4="mensual",S438,0)</f>
        <v>10000</v>
      </c>
      <c r="U439" s="356">
        <f t="shared" si="138"/>
        <v>167872.27035606702</v>
      </c>
      <c r="V439" s="356">
        <f t="shared" si="120"/>
        <v>-289.1269051528366</v>
      </c>
      <c r="X439" s="356">
        <f t="shared" si="123"/>
        <v>-21219.95579619699</v>
      </c>
      <c r="Y439" s="356">
        <f t="shared" si="124"/>
        <v>21198446.71349564</v>
      </c>
      <c r="AA439" s="357">
        <f>+Bono!J439</f>
        <v>441222.0328251073</v>
      </c>
      <c r="AC439" s="378">
        <f t="shared" si="125"/>
        <v>34.666666666666664</v>
      </c>
      <c r="AD439" s="356">
        <f t="shared" si="126"/>
        <v>22532291.53812974</v>
      </c>
    </row>
    <row r="440" spans="2:30" x14ac:dyDescent="0.25">
      <c r="B440" s="356">
        <f t="shared" si="127"/>
        <v>417</v>
      </c>
      <c r="C440" s="357">
        <f t="shared" si="132"/>
        <v>34</v>
      </c>
      <c r="D440" s="357">
        <f t="shared" si="133"/>
        <v>9</v>
      </c>
      <c r="E440" s="357">
        <f t="shared" si="134"/>
        <v>63</v>
      </c>
      <c r="F440" s="356">
        <f t="shared" si="128"/>
        <v>892622.7918089936</v>
      </c>
      <c r="H440" s="356">
        <f t="shared" si="121"/>
        <v>7117.899491925044</v>
      </c>
      <c r="I440" s="356">
        <v>0</v>
      </c>
      <c r="J440" s="360">
        <f>-SUM(F440:H440)*$J$21</f>
        <v>-8097.6662217082685</v>
      </c>
      <c r="K440" s="356">
        <f t="shared" si="129"/>
        <v>-891.6430250792104</v>
      </c>
      <c r="L440" s="356">
        <f t="shared" si="122"/>
        <v>890751.3820541311</v>
      </c>
      <c r="N440" s="356">
        <f t="shared" si="130"/>
        <v>417</v>
      </c>
      <c r="O440" s="357">
        <f t="shared" si="135"/>
        <v>34</v>
      </c>
      <c r="P440" s="357">
        <f t="shared" si="136"/>
        <v>9</v>
      </c>
      <c r="Q440" s="357">
        <f t="shared" si="137"/>
        <v>34</v>
      </c>
      <c r="R440" s="356">
        <f t="shared" si="131"/>
        <v>21198446.71349564</v>
      </c>
      <c r="S440" s="356">
        <f>IF($G$4="mensual",S439,0)</f>
        <v>10000</v>
      </c>
      <c r="U440" s="356">
        <f t="shared" si="138"/>
        <v>169119.13237233675</v>
      </c>
      <c r="V440" s="356">
        <f t="shared" si="120"/>
        <v>-289.1269051528366</v>
      </c>
      <c r="X440" s="356">
        <f t="shared" si="123"/>
        <v>-21377.565845867975</v>
      </c>
      <c r="Y440" s="356">
        <f t="shared" si="124"/>
        <v>21355899.153116953</v>
      </c>
      <c r="AA440" s="357">
        <f>+Bono!J440</f>
        <v>439958.0420431821</v>
      </c>
      <c r="AC440" s="378">
        <f t="shared" si="125"/>
        <v>34.75</v>
      </c>
      <c r="AD440" s="356">
        <f t="shared" si="126"/>
        <v>22686608.577214267</v>
      </c>
    </row>
    <row r="441" spans="2:30" x14ac:dyDescent="0.25">
      <c r="B441" s="356">
        <f t="shared" si="127"/>
        <v>418</v>
      </c>
      <c r="C441" s="357">
        <f t="shared" si="132"/>
        <v>34</v>
      </c>
      <c r="D441" s="357">
        <f t="shared" si="133"/>
        <v>10</v>
      </c>
      <c r="E441" s="357">
        <f t="shared" si="134"/>
        <v>63</v>
      </c>
      <c r="F441" s="356">
        <f t="shared" si="128"/>
        <v>890751.3820541311</v>
      </c>
      <c r="H441" s="356">
        <f t="shared" si="121"/>
        <v>7102.97660773975</v>
      </c>
      <c r="I441" s="356">
        <v>0</v>
      </c>
      <c r="J441" s="356">
        <v>0</v>
      </c>
      <c r="K441" s="356">
        <f t="shared" si="129"/>
        <v>-897.8543586618708</v>
      </c>
      <c r="L441" s="356">
        <f t="shared" si="122"/>
        <v>896956.5043032089</v>
      </c>
      <c r="N441" s="356">
        <f t="shared" si="130"/>
        <v>418</v>
      </c>
      <c r="O441" s="357">
        <f t="shared" si="135"/>
        <v>34</v>
      </c>
      <c r="P441" s="357">
        <f t="shared" si="136"/>
        <v>10</v>
      </c>
      <c r="Q441" s="357">
        <f t="shared" si="137"/>
        <v>34</v>
      </c>
      <c r="R441" s="356">
        <f t="shared" si="131"/>
        <v>21355899.153116953</v>
      </c>
      <c r="S441" s="356">
        <f>IF($G$4="mensual",S432,IF($G$4="trimestral",S432,0))</f>
        <v>10000</v>
      </c>
      <c r="U441" s="356">
        <f t="shared" si="138"/>
        <v>170374.6802367506</v>
      </c>
      <c r="V441" s="356">
        <f t="shared" si="120"/>
        <v>-289.1269051528366</v>
      </c>
      <c r="X441" s="356">
        <f t="shared" si="123"/>
        <v>-21536.2738333537</v>
      </c>
      <c r="Y441" s="356">
        <f t="shared" si="124"/>
        <v>21514448.432615194</v>
      </c>
      <c r="AA441" s="357">
        <f>+Bono!J441</f>
        <v>442685.83293582406</v>
      </c>
      <c r="AC441" s="378">
        <f t="shared" si="125"/>
        <v>34.833333333333336</v>
      </c>
      <c r="AD441" s="356">
        <f t="shared" si="126"/>
        <v>22854090.76985423</v>
      </c>
    </row>
    <row r="442" spans="2:30" x14ac:dyDescent="0.25">
      <c r="B442" s="356">
        <f t="shared" si="127"/>
        <v>419</v>
      </c>
      <c r="C442" s="357">
        <f t="shared" si="132"/>
        <v>34</v>
      </c>
      <c r="D442" s="357">
        <f t="shared" si="133"/>
        <v>11</v>
      </c>
      <c r="E442" s="357">
        <f t="shared" si="134"/>
        <v>63</v>
      </c>
      <c r="F442" s="356">
        <f t="shared" si="128"/>
        <v>896956.5043032089</v>
      </c>
      <c r="H442" s="356">
        <f t="shared" si="121"/>
        <v>7152.457123932411</v>
      </c>
      <c r="I442" s="356">
        <v>0</v>
      </c>
      <c r="J442" s="356">
        <v>0</v>
      </c>
      <c r="K442" s="356">
        <f t="shared" si="129"/>
        <v>-904.1089614271414</v>
      </c>
      <c r="L442" s="356">
        <f t="shared" si="122"/>
        <v>903204.8524657142</v>
      </c>
      <c r="N442" s="356">
        <f t="shared" si="130"/>
        <v>419</v>
      </c>
      <c r="O442" s="357">
        <f t="shared" si="135"/>
        <v>34</v>
      </c>
      <c r="P442" s="357">
        <f t="shared" si="136"/>
        <v>11</v>
      </c>
      <c r="Q442" s="357">
        <f t="shared" si="137"/>
        <v>34</v>
      </c>
      <c r="R442" s="356">
        <f t="shared" si="131"/>
        <v>21514448.432615194</v>
      </c>
      <c r="S442" s="356">
        <f>IF($G$17="si",S430*(1+$G$20),S430)</f>
        <v>10000</v>
      </c>
      <c r="U442" s="356">
        <f t="shared" si="138"/>
        <v>171638.97445637107</v>
      </c>
      <c r="V442" s="356">
        <f t="shared" si="120"/>
        <v>-289.1269051528366</v>
      </c>
      <c r="X442" s="356">
        <f t="shared" si="123"/>
        <v>-21696.087407071565</v>
      </c>
      <c r="Y442" s="356">
        <f t="shared" si="124"/>
        <v>21674102.19275934</v>
      </c>
      <c r="AA442" s="357">
        <f>+Bono!J442</f>
        <v>445430.53644840454</v>
      </c>
      <c r="AC442" s="378">
        <f t="shared" si="125"/>
        <v>34.916666666666664</v>
      </c>
      <c r="AD442" s="356">
        <f t="shared" si="126"/>
        <v>23022737.58167346</v>
      </c>
    </row>
    <row r="443" spans="2:30" x14ac:dyDescent="0.25">
      <c r="B443" s="356">
        <f t="shared" si="127"/>
        <v>420</v>
      </c>
      <c r="C443" s="357">
        <f t="shared" si="132"/>
        <v>34</v>
      </c>
      <c r="D443" s="357">
        <f t="shared" si="133"/>
        <v>12</v>
      </c>
      <c r="E443" s="357">
        <f t="shared" si="134"/>
        <v>63</v>
      </c>
      <c r="F443" s="356">
        <f t="shared" si="128"/>
        <v>903204.8524657142</v>
      </c>
      <c r="H443" s="356">
        <f t="shared" si="121"/>
        <v>7202.282329628912</v>
      </c>
      <c r="I443" s="356">
        <v>0</v>
      </c>
      <c r="J443" s="360">
        <f>-SUM(F443:H443)*$J$21</f>
        <v>-8193.66421315809</v>
      </c>
      <c r="K443" s="356">
        <f t="shared" si="129"/>
        <v>-902.2134705821851</v>
      </c>
      <c r="L443" s="356">
        <f t="shared" si="122"/>
        <v>901311.2571116029</v>
      </c>
      <c r="N443" s="356">
        <f t="shared" si="130"/>
        <v>420</v>
      </c>
      <c r="O443" s="357">
        <f t="shared" si="135"/>
        <v>34</v>
      </c>
      <c r="P443" s="357">
        <f t="shared" si="136"/>
        <v>12</v>
      </c>
      <c r="Q443" s="357">
        <f t="shared" si="137"/>
        <v>34</v>
      </c>
      <c r="R443" s="356">
        <f t="shared" si="131"/>
        <v>21674102.19275934</v>
      </c>
      <c r="S443" s="356">
        <f>IF($G$4="mensual",S442,0)</f>
        <v>10000</v>
      </c>
      <c r="U443" s="356">
        <f t="shared" si="138"/>
        <v>172912.075959763</v>
      </c>
      <c r="V443" s="356">
        <f t="shared" si="120"/>
        <v>-289.1269051528366</v>
      </c>
      <c r="X443" s="356">
        <f t="shared" si="123"/>
        <v>-21857.014268719104</v>
      </c>
      <c r="Y443" s="356">
        <f t="shared" si="124"/>
        <v>21834868.12754523</v>
      </c>
      <c r="AA443" s="357">
        <f>+Bono!J443</f>
        <v>444154.4893560737</v>
      </c>
      <c r="AC443" s="378">
        <f t="shared" si="125"/>
        <v>35</v>
      </c>
      <c r="AD443" s="356">
        <f t="shared" si="126"/>
        <v>23180333.874012906</v>
      </c>
    </row>
    <row r="444" spans="2:30" x14ac:dyDescent="0.25">
      <c r="B444" s="356">
        <f t="shared" si="127"/>
        <v>421</v>
      </c>
      <c r="C444" s="357">
        <f t="shared" si="132"/>
        <v>35</v>
      </c>
      <c r="D444" s="357">
        <f t="shared" si="133"/>
        <v>1</v>
      </c>
      <c r="E444" s="357">
        <f t="shared" si="134"/>
        <v>64</v>
      </c>
      <c r="F444" s="356">
        <f t="shared" si="128"/>
        <v>901311.2571116029</v>
      </c>
      <c r="H444" s="356">
        <f t="shared" si="121"/>
        <v>7187.182534359708</v>
      </c>
      <c r="I444" s="356">
        <v>0</v>
      </c>
      <c r="J444" s="356">
        <v>0</v>
      </c>
      <c r="K444" s="356">
        <f t="shared" si="129"/>
        <v>-908.4984396459627</v>
      </c>
      <c r="L444" s="356">
        <f t="shared" si="122"/>
        <v>907589.9412063167</v>
      </c>
      <c r="N444" s="356">
        <f t="shared" si="130"/>
        <v>421</v>
      </c>
      <c r="O444" s="357">
        <f t="shared" si="135"/>
        <v>35</v>
      </c>
      <c r="P444" s="357">
        <f t="shared" si="136"/>
        <v>1</v>
      </c>
      <c r="Q444" s="357">
        <f t="shared" si="137"/>
        <v>35</v>
      </c>
      <c r="R444" s="356">
        <f t="shared" si="131"/>
        <v>21834868.12754523</v>
      </c>
      <c r="S444" s="356">
        <f>IF($G$17="si",S432*(1+$G$20),S432)</f>
        <v>10000</v>
      </c>
      <c r="U444" s="356">
        <f t="shared" si="138"/>
        <v>174194.0460999297</v>
      </c>
      <c r="V444" s="356">
        <f>V443*(1+$G$18)</f>
        <v>-300.6919813589501</v>
      </c>
      <c r="X444" s="356">
        <f t="shared" si="123"/>
        <v>-22019.06217364516</v>
      </c>
      <c r="Y444" s="356">
        <f t="shared" si="124"/>
        <v>21996742.419490155</v>
      </c>
      <c r="AA444" s="357">
        <f>+Bono!J444</f>
        <v>446908.2987088134</v>
      </c>
      <c r="AC444" s="378">
        <f t="shared" si="125"/>
        <v>35.083333333333336</v>
      </c>
      <c r="AD444" s="356">
        <f t="shared" si="126"/>
        <v>23351240.659405287</v>
      </c>
    </row>
    <row r="445" spans="2:30" x14ac:dyDescent="0.25">
      <c r="B445" s="356">
        <f t="shared" si="127"/>
        <v>422</v>
      </c>
      <c r="C445" s="357">
        <f t="shared" si="132"/>
        <v>35</v>
      </c>
      <c r="D445" s="357">
        <f t="shared" si="133"/>
        <v>2</v>
      </c>
      <c r="E445" s="357">
        <f t="shared" si="134"/>
        <v>64</v>
      </c>
      <c r="F445" s="356">
        <f t="shared" si="128"/>
        <v>907589.9412063167</v>
      </c>
      <c r="H445" s="356">
        <f t="shared" si="121"/>
        <v>7237.24964303968</v>
      </c>
      <c r="I445" s="356">
        <v>0</v>
      </c>
      <c r="J445" s="356">
        <v>0</v>
      </c>
      <c r="K445" s="356">
        <f t="shared" si="129"/>
        <v>-914.8271908493564</v>
      </c>
      <c r="L445" s="356">
        <f t="shared" si="122"/>
        <v>913912.363658507</v>
      </c>
      <c r="N445" s="356">
        <f t="shared" si="130"/>
        <v>422</v>
      </c>
      <c r="O445" s="357">
        <f t="shared" si="135"/>
        <v>35</v>
      </c>
      <c r="P445" s="357">
        <f t="shared" si="136"/>
        <v>2</v>
      </c>
      <c r="Q445" s="357">
        <f t="shared" si="137"/>
        <v>35</v>
      </c>
      <c r="R445" s="356">
        <f t="shared" si="131"/>
        <v>21996742.419490155</v>
      </c>
      <c r="S445" s="356">
        <f>IF($G$4="mensual",S444,0)</f>
        <v>10000</v>
      </c>
      <c r="U445" s="356">
        <f t="shared" si="138"/>
        <v>175484.85443572787</v>
      </c>
      <c r="V445" s="356">
        <f t="shared" ref="V445:V508" si="139">V444</f>
        <v>-300.6919813589501</v>
      </c>
      <c r="X445" s="356">
        <f t="shared" si="123"/>
        <v>-22182.22727392588</v>
      </c>
      <c r="Y445" s="356">
        <f t="shared" si="124"/>
        <v>22159744.354670595</v>
      </c>
      <c r="AA445" s="357">
        <f>+Bono!J445</f>
        <v>449679.1819989622</v>
      </c>
      <c r="AC445" s="378">
        <f t="shared" si="125"/>
        <v>35.166666666666664</v>
      </c>
      <c r="AD445" s="356">
        <f t="shared" si="126"/>
        <v>23523335.900328062</v>
      </c>
    </row>
    <row r="446" spans="2:30" x14ac:dyDescent="0.25">
      <c r="B446" s="356">
        <f t="shared" si="127"/>
        <v>423</v>
      </c>
      <c r="C446" s="357">
        <f t="shared" si="132"/>
        <v>35</v>
      </c>
      <c r="D446" s="357">
        <f t="shared" si="133"/>
        <v>3</v>
      </c>
      <c r="E446" s="357">
        <f t="shared" si="134"/>
        <v>64</v>
      </c>
      <c r="F446" s="356">
        <f t="shared" si="128"/>
        <v>913912.363658507</v>
      </c>
      <c r="H446" s="356">
        <f t="shared" si="121"/>
        <v>7287.6655275243</v>
      </c>
      <c r="I446" s="356">
        <v>0</v>
      </c>
      <c r="J446" s="360">
        <f>-SUM(F446:H446)*$J$21</f>
        <v>-8290.800262674284</v>
      </c>
      <c r="K446" s="356">
        <f t="shared" si="129"/>
        <v>-912.909228923357</v>
      </c>
      <c r="L446" s="356">
        <f t="shared" si="122"/>
        <v>911996.3196944336</v>
      </c>
      <c r="N446" s="356">
        <f t="shared" si="130"/>
        <v>423</v>
      </c>
      <c r="O446" s="357">
        <f t="shared" si="135"/>
        <v>35</v>
      </c>
      <c r="P446" s="357">
        <f t="shared" si="136"/>
        <v>3</v>
      </c>
      <c r="Q446" s="357">
        <f t="shared" si="137"/>
        <v>35</v>
      </c>
      <c r="R446" s="356">
        <f t="shared" si="131"/>
        <v>22159744.354670595</v>
      </c>
      <c r="S446" s="356">
        <f>IF($G$4="mensual",S445,0)</f>
        <v>10000</v>
      </c>
      <c r="U446" s="356">
        <f t="shared" si="138"/>
        <v>176784.6547570398</v>
      </c>
      <c r="V446" s="356">
        <f t="shared" si="139"/>
        <v>-300.6919813589501</v>
      </c>
      <c r="X446" s="356">
        <f t="shared" si="123"/>
        <v>-22346.52900942764</v>
      </c>
      <c r="Y446" s="356">
        <f t="shared" si="124"/>
        <v>22323881.78843685</v>
      </c>
      <c r="AA446" s="357">
        <f>+Bono!J446</f>
        <v>448390.9635996429</v>
      </c>
      <c r="AC446" s="378">
        <f t="shared" si="125"/>
        <v>35.25</v>
      </c>
      <c r="AD446" s="356">
        <f t="shared" si="126"/>
        <v>23684269.071730927</v>
      </c>
    </row>
    <row r="447" spans="2:30" x14ac:dyDescent="0.25">
      <c r="B447" s="356">
        <f t="shared" si="127"/>
        <v>424</v>
      </c>
      <c r="C447" s="357">
        <f t="shared" si="132"/>
        <v>35</v>
      </c>
      <c r="D447" s="357">
        <f t="shared" si="133"/>
        <v>4</v>
      </c>
      <c r="E447" s="357">
        <f t="shared" si="134"/>
        <v>64</v>
      </c>
      <c r="F447" s="356">
        <f t="shared" si="128"/>
        <v>911996.3196944336</v>
      </c>
      <c r="H447" s="356">
        <f t="shared" si="121"/>
        <v>7272.386723886825</v>
      </c>
      <c r="I447" s="356">
        <v>0</v>
      </c>
      <c r="J447" s="356">
        <v>0</v>
      </c>
      <c r="K447" s="356">
        <f t="shared" si="129"/>
        <v>-919.2687064183204</v>
      </c>
      <c r="L447" s="356">
        <f t="shared" si="122"/>
        <v>918349.4377119021</v>
      </c>
      <c r="N447" s="356">
        <f t="shared" si="130"/>
        <v>424</v>
      </c>
      <c r="O447" s="357">
        <f t="shared" si="135"/>
        <v>35</v>
      </c>
      <c r="P447" s="357">
        <f t="shared" si="136"/>
        <v>4</v>
      </c>
      <c r="Q447" s="357">
        <f t="shared" si="137"/>
        <v>35</v>
      </c>
      <c r="R447" s="356">
        <f t="shared" si="131"/>
        <v>22323881.78843685</v>
      </c>
      <c r="S447" s="356">
        <f>IF($G$4="mensual",S444,IF($G$4="trimestral",S444,0))</f>
        <v>10000</v>
      </c>
      <c r="U447" s="356">
        <f t="shared" si="138"/>
        <v>178093.50970353177</v>
      </c>
      <c r="V447" s="356">
        <f t="shared" si="139"/>
        <v>-300.6919813589501</v>
      </c>
      <c r="X447" s="356">
        <f t="shared" si="123"/>
        <v>-22511.97529814038</v>
      </c>
      <c r="Y447" s="356">
        <f t="shared" si="124"/>
        <v>22489162.63086088</v>
      </c>
      <c r="AA447" s="357">
        <f>+Bono!J447</f>
        <v>451171.03958409326</v>
      </c>
      <c r="AC447" s="378">
        <f t="shared" si="125"/>
        <v>35.333333333333336</v>
      </c>
      <c r="AD447" s="356">
        <f t="shared" si="126"/>
        <v>23858683.108156875</v>
      </c>
    </row>
    <row r="448" spans="2:30" x14ac:dyDescent="0.25">
      <c r="B448" s="356">
        <f t="shared" si="127"/>
        <v>425</v>
      </c>
      <c r="C448" s="357">
        <f t="shared" si="132"/>
        <v>35</v>
      </c>
      <c r="D448" s="357">
        <f t="shared" si="133"/>
        <v>5</v>
      </c>
      <c r="E448" s="357">
        <f t="shared" si="134"/>
        <v>64</v>
      </c>
      <c r="F448" s="356">
        <f t="shared" si="128"/>
        <v>918349.4377119021</v>
      </c>
      <c r="H448" s="356">
        <f t="shared" si="121"/>
        <v>7323.047379119517</v>
      </c>
      <c r="I448" s="356">
        <v>0</v>
      </c>
      <c r="J448" s="356">
        <v>0</v>
      </c>
      <c r="K448" s="356">
        <f t="shared" si="129"/>
        <v>-925.6724850910216</v>
      </c>
      <c r="L448" s="356">
        <f t="shared" si="122"/>
        <v>924746.8126059306</v>
      </c>
      <c r="N448" s="356">
        <f t="shared" si="130"/>
        <v>425</v>
      </c>
      <c r="O448" s="357">
        <f t="shared" si="135"/>
        <v>35</v>
      </c>
      <c r="P448" s="357">
        <f t="shared" si="136"/>
        <v>5</v>
      </c>
      <c r="Q448" s="357">
        <f t="shared" si="137"/>
        <v>35</v>
      </c>
      <c r="R448" s="356">
        <f t="shared" si="131"/>
        <v>22489162.63086088</v>
      </c>
      <c r="S448" s="356">
        <f>IF($G$4="mensual",S447,0)</f>
        <v>10000</v>
      </c>
      <c r="U448" s="356">
        <f t="shared" si="138"/>
        <v>179411.48235122854</v>
      </c>
      <c r="V448" s="356">
        <f t="shared" si="139"/>
        <v>-300.6919813589501</v>
      </c>
      <c r="X448" s="356">
        <f t="shared" si="123"/>
        <v>-22678.574113212107</v>
      </c>
      <c r="Y448" s="356">
        <f t="shared" si="124"/>
        <v>22655594.847117536</v>
      </c>
      <c r="AA448" s="357">
        <f>+Bono!J448</f>
        <v>453968.3523621161</v>
      </c>
      <c r="AC448" s="378">
        <f t="shared" si="125"/>
        <v>35.416666666666664</v>
      </c>
      <c r="AD448" s="356">
        <f t="shared" si="126"/>
        <v>24034310.012085583</v>
      </c>
    </row>
    <row r="449" spans="2:30" x14ac:dyDescent="0.25">
      <c r="B449" s="356">
        <f t="shared" si="127"/>
        <v>426</v>
      </c>
      <c r="C449" s="357">
        <f t="shared" si="132"/>
        <v>35</v>
      </c>
      <c r="D449" s="357">
        <f t="shared" si="133"/>
        <v>6</v>
      </c>
      <c r="E449" s="357">
        <f t="shared" si="134"/>
        <v>64</v>
      </c>
      <c r="F449" s="356">
        <f t="shared" si="128"/>
        <v>924746.8126059306</v>
      </c>
      <c r="H449" s="356">
        <f t="shared" si="121"/>
        <v>7374.060944900844</v>
      </c>
      <c r="I449" s="356">
        <v>0</v>
      </c>
      <c r="J449" s="360">
        <f>-SUM(F449:H449)*$J$21</f>
        <v>-8389.087861957483</v>
      </c>
      <c r="K449" s="356">
        <f t="shared" si="129"/>
        <v>-923.731785688874</v>
      </c>
      <c r="L449" s="356">
        <f t="shared" si="122"/>
        <v>922808.0539031851</v>
      </c>
      <c r="N449" s="356">
        <f t="shared" si="130"/>
        <v>426</v>
      </c>
      <c r="O449" s="357">
        <f t="shared" si="135"/>
        <v>35</v>
      </c>
      <c r="P449" s="357">
        <f t="shared" si="136"/>
        <v>6</v>
      </c>
      <c r="Q449" s="357">
        <f t="shared" si="137"/>
        <v>35</v>
      </c>
      <c r="R449" s="356">
        <f t="shared" si="131"/>
        <v>22655594.847117536</v>
      </c>
      <c r="S449" s="356">
        <f>IF($G$4="mensual",S448,0)</f>
        <v>10000</v>
      </c>
      <c r="U449" s="356">
        <f t="shared" si="138"/>
        <v>180738.63621555277</v>
      </c>
      <c r="V449" s="356">
        <f t="shared" si="139"/>
        <v>-300.6919813589501</v>
      </c>
      <c r="X449" s="356">
        <f t="shared" si="123"/>
        <v>-22846.33348333309</v>
      </c>
      <c r="Y449" s="356">
        <f t="shared" si="124"/>
        <v>22823186.457868394</v>
      </c>
      <c r="AA449" s="357">
        <f>+Bono!J449</f>
        <v>452667.84656235494</v>
      </c>
      <c r="AC449" s="378">
        <f t="shared" si="125"/>
        <v>35.5</v>
      </c>
      <c r="AD449" s="356">
        <f t="shared" si="126"/>
        <v>24198662.358333934</v>
      </c>
    </row>
    <row r="450" spans="2:30" x14ac:dyDescent="0.25">
      <c r="B450" s="356">
        <f t="shared" si="127"/>
        <v>427</v>
      </c>
      <c r="C450" s="357">
        <f t="shared" si="132"/>
        <v>35</v>
      </c>
      <c r="D450" s="357">
        <f t="shared" si="133"/>
        <v>7</v>
      </c>
      <c r="E450" s="357">
        <f t="shared" si="134"/>
        <v>64</v>
      </c>
      <c r="F450" s="356">
        <f t="shared" si="128"/>
        <v>922808.0539031851</v>
      </c>
      <c r="H450" s="356">
        <f t="shared" si="121"/>
        <v>7358.601010747392</v>
      </c>
      <c r="I450" s="356">
        <v>0</v>
      </c>
      <c r="J450" s="356">
        <v>0</v>
      </c>
      <c r="K450" s="356">
        <f t="shared" si="129"/>
        <v>-930.1666549139325</v>
      </c>
      <c r="L450" s="356">
        <f t="shared" si="122"/>
        <v>929236.4882590185</v>
      </c>
      <c r="N450" s="356">
        <f t="shared" si="130"/>
        <v>427</v>
      </c>
      <c r="O450" s="357">
        <f t="shared" si="135"/>
        <v>35</v>
      </c>
      <c r="P450" s="357">
        <f t="shared" si="136"/>
        <v>7</v>
      </c>
      <c r="Q450" s="357">
        <f t="shared" si="137"/>
        <v>35</v>
      </c>
      <c r="R450" s="356">
        <f t="shared" si="131"/>
        <v>22823186.457868394</v>
      </c>
      <c r="S450" s="356">
        <f>+IF($G$4="mensual",S444,IF($G$4="trimestral",S444,IF($G$4="semestral",S444,0)))</f>
        <v>10000</v>
      </c>
      <c r="U450" s="356">
        <f t="shared" si="138"/>
        <v>182075.03525438628</v>
      </c>
      <c r="V450" s="356">
        <f t="shared" si="139"/>
        <v>-300.6919813589501</v>
      </c>
      <c r="X450" s="356">
        <f t="shared" si="123"/>
        <v>-23015.26149312278</v>
      </c>
      <c r="Y450" s="356">
        <f t="shared" si="124"/>
        <v>22991945.539648294</v>
      </c>
      <c r="AA450" s="357">
        <f>+Bono!J450</f>
        <v>455474.4397172619</v>
      </c>
      <c r="AC450" s="378">
        <f t="shared" si="125"/>
        <v>35.583333333333336</v>
      </c>
      <c r="AD450" s="356">
        <f t="shared" si="126"/>
        <v>24376656.467624575</v>
      </c>
    </row>
    <row r="451" spans="2:30" x14ac:dyDescent="0.25">
      <c r="B451" s="356">
        <f t="shared" si="127"/>
        <v>428</v>
      </c>
      <c r="C451" s="357">
        <f t="shared" si="132"/>
        <v>35</v>
      </c>
      <c r="D451" s="357">
        <f t="shared" si="133"/>
        <v>8</v>
      </c>
      <c r="E451" s="357">
        <f t="shared" si="134"/>
        <v>64</v>
      </c>
      <c r="F451" s="356">
        <f t="shared" si="128"/>
        <v>929236.4882590185</v>
      </c>
      <c r="H451" s="356">
        <f t="shared" si="121"/>
        <v>7409.862249038798</v>
      </c>
      <c r="I451" s="356">
        <v>0</v>
      </c>
      <c r="J451" s="356">
        <v>0</v>
      </c>
      <c r="K451" s="356">
        <f t="shared" si="129"/>
        <v>-936.6463505080573</v>
      </c>
      <c r="L451" s="356">
        <f t="shared" si="122"/>
        <v>935709.7041575492</v>
      </c>
      <c r="N451" s="356">
        <f t="shared" si="130"/>
        <v>428</v>
      </c>
      <c r="O451" s="357">
        <f t="shared" si="135"/>
        <v>35</v>
      </c>
      <c r="P451" s="357">
        <f t="shared" si="136"/>
        <v>8</v>
      </c>
      <c r="Q451" s="357">
        <f t="shared" si="137"/>
        <v>35</v>
      </c>
      <c r="R451" s="356">
        <f t="shared" si="131"/>
        <v>22991945.539648294</v>
      </c>
      <c r="S451" s="356">
        <f>IF($G$4="mensual",S450,0)</f>
        <v>10000</v>
      </c>
      <c r="U451" s="356">
        <f t="shared" si="138"/>
        <v>183420.74387115208</v>
      </c>
      <c r="V451" s="356">
        <f t="shared" si="139"/>
        <v>-300.6919813589501</v>
      </c>
      <c r="X451" s="356">
        <f t="shared" si="123"/>
        <v>-23185.36628351945</v>
      </c>
      <c r="Y451" s="356">
        <f t="shared" si="124"/>
        <v>23161880.225254565</v>
      </c>
      <c r="AA451" s="357">
        <f>+Bono!J451</f>
        <v>458298.43407527386</v>
      </c>
      <c r="AC451" s="378">
        <f t="shared" si="125"/>
        <v>35.666666666666664</v>
      </c>
      <c r="AD451" s="356">
        <f t="shared" si="126"/>
        <v>24555888.36348739</v>
      </c>
    </row>
    <row r="452" spans="2:30" x14ac:dyDescent="0.25">
      <c r="B452" s="356">
        <f t="shared" si="127"/>
        <v>429</v>
      </c>
      <c r="C452" s="357">
        <f t="shared" si="132"/>
        <v>35</v>
      </c>
      <c r="D452" s="357">
        <f t="shared" si="133"/>
        <v>9</v>
      </c>
      <c r="E452" s="357">
        <f t="shared" si="134"/>
        <v>64</v>
      </c>
      <c r="F452" s="356">
        <f t="shared" si="128"/>
        <v>935709.7041575492</v>
      </c>
      <c r="H452" s="356">
        <f t="shared" si="121"/>
        <v>7461.480581640294</v>
      </c>
      <c r="I452" s="356">
        <v>0</v>
      </c>
      <c r="J452" s="360">
        <f>-SUM(F452:H452)*$J$21</f>
        <v>-8488.540662652706</v>
      </c>
      <c r="K452" s="356">
        <f t="shared" si="129"/>
        <v>-934.6826440765368</v>
      </c>
      <c r="L452" s="356">
        <f t="shared" si="122"/>
        <v>933747.9614324602</v>
      </c>
      <c r="N452" s="356">
        <f t="shared" si="130"/>
        <v>429</v>
      </c>
      <c r="O452" s="357">
        <f t="shared" si="135"/>
        <v>35</v>
      </c>
      <c r="P452" s="357">
        <f t="shared" si="136"/>
        <v>9</v>
      </c>
      <c r="Q452" s="357">
        <f t="shared" si="137"/>
        <v>35</v>
      </c>
      <c r="R452" s="356">
        <f t="shared" si="131"/>
        <v>23161880.225254565</v>
      </c>
      <c r="S452" s="356">
        <f>IF($G$4="mensual",S451,0)</f>
        <v>10000</v>
      </c>
      <c r="U452" s="356">
        <f t="shared" si="138"/>
        <v>184775.8269179181</v>
      </c>
      <c r="V452" s="356">
        <f t="shared" si="139"/>
        <v>-300.6919813589501</v>
      </c>
      <c r="X452" s="356">
        <f t="shared" si="123"/>
        <v>-23356.656052172482</v>
      </c>
      <c r="Y452" s="356">
        <f t="shared" si="124"/>
        <v>23332998.70413895</v>
      </c>
      <c r="AA452" s="357">
        <f>+Bono!J452</f>
        <v>456985.52367428417</v>
      </c>
      <c r="AC452" s="378">
        <f t="shared" si="125"/>
        <v>35.75</v>
      </c>
      <c r="AD452" s="356">
        <f t="shared" si="126"/>
        <v>24723732.189245693</v>
      </c>
    </row>
    <row r="453" spans="2:30" x14ac:dyDescent="0.25">
      <c r="B453" s="356">
        <f t="shared" si="127"/>
        <v>430</v>
      </c>
      <c r="C453" s="357">
        <f t="shared" si="132"/>
        <v>35</v>
      </c>
      <c r="D453" s="357">
        <f t="shared" si="133"/>
        <v>10</v>
      </c>
      <c r="E453" s="357">
        <f t="shared" si="134"/>
        <v>64</v>
      </c>
      <c r="F453" s="356">
        <f t="shared" si="128"/>
        <v>933747.9614324602</v>
      </c>
      <c r="H453" s="356">
        <f t="shared" si="121"/>
        <v>7445.837369665054</v>
      </c>
      <c r="I453" s="356">
        <v>0</v>
      </c>
      <c r="J453" s="356">
        <v>0</v>
      </c>
      <c r="K453" s="356">
        <f t="shared" si="129"/>
        <v>-941.1937988021253</v>
      </c>
      <c r="L453" s="356">
        <f t="shared" si="122"/>
        <v>940252.6050033232</v>
      </c>
      <c r="N453" s="356">
        <f t="shared" si="130"/>
        <v>430</v>
      </c>
      <c r="O453" s="357">
        <f t="shared" si="135"/>
        <v>35</v>
      </c>
      <c r="P453" s="357">
        <f t="shared" si="136"/>
        <v>10</v>
      </c>
      <c r="Q453" s="357">
        <f t="shared" si="137"/>
        <v>35</v>
      </c>
      <c r="R453" s="356">
        <f t="shared" si="131"/>
        <v>23332998.70413895</v>
      </c>
      <c r="S453" s="356">
        <f>IF($G$4="mensual",S444,IF($G$4="trimestral",S444,0))</f>
        <v>10000</v>
      </c>
      <c r="U453" s="356">
        <f t="shared" si="138"/>
        <v>186140.34969852256</v>
      </c>
      <c r="V453" s="356">
        <f t="shared" si="139"/>
        <v>-300.6919813589501</v>
      </c>
      <c r="X453" s="356">
        <f t="shared" si="123"/>
        <v>-23529.139053837473</v>
      </c>
      <c r="Y453" s="356">
        <f t="shared" si="124"/>
        <v>23505309.222802274</v>
      </c>
      <c r="AA453" s="357">
        <f>+Bono!J453</f>
        <v>459818.88692810456</v>
      </c>
      <c r="AC453" s="378">
        <f t="shared" si="125"/>
        <v>35.833333333333336</v>
      </c>
      <c r="AD453" s="356">
        <f t="shared" si="126"/>
        <v>24905380.7147337</v>
      </c>
    </row>
    <row r="454" spans="2:30" x14ac:dyDescent="0.25">
      <c r="B454" s="356">
        <f t="shared" si="127"/>
        <v>431</v>
      </c>
      <c r="C454" s="357">
        <f t="shared" si="132"/>
        <v>35</v>
      </c>
      <c r="D454" s="357">
        <f t="shared" si="133"/>
        <v>11</v>
      </c>
      <c r="E454" s="357">
        <f t="shared" si="134"/>
        <v>64</v>
      </c>
      <c r="F454" s="356">
        <f t="shared" si="128"/>
        <v>940252.6050033232</v>
      </c>
      <c r="H454" s="356">
        <f t="shared" si="121"/>
        <v>7497.706310939081</v>
      </c>
      <c r="I454" s="356">
        <v>0</v>
      </c>
      <c r="J454" s="356">
        <v>0</v>
      </c>
      <c r="K454" s="356">
        <f t="shared" si="129"/>
        <v>-947.7503113142623</v>
      </c>
      <c r="L454" s="356">
        <f t="shared" si="122"/>
        <v>946802.561002948</v>
      </c>
      <c r="N454" s="356">
        <f t="shared" si="130"/>
        <v>431</v>
      </c>
      <c r="O454" s="357">
        <f t="shared" si="135"/>
        <v>35</v>
      </c>
      <c r="P454" s="357">
        <f t="shared" si="136"/>
        <v>11</v>
      </c>
      <c r="Q454" s="357">
        <f t="shared" si="137"/>
        <v>35</v>
      </c>
      <c r="R454" s="356">
        <f t="shared" si="131"/>
        <v>23505309.222802274</v>
      </c>
      <c r="S454" s="356">
        <f>IF($G$17="si",S442*(1+$G$20),S442)</f>
        <v>10000</v>
      </c>
      <c r="U454" s="356">
        <f t="shared" si="138"/>
        <v>187514.37797172117</v>
      </c>
      <c r="V454" s="356">
        <f t="shared" si="139"/>
        <v>-300.6919813589501</v>
      </c>
      <c r="X454" s="356">
        <f t="shared" si="123"/>
        <v>-23702.823600773994</v>
      </c>
      <c r="Y454" s="356">
        <f t="shared" si="124"/>
        <v>23678820.08519186</v>
      </c>
      <c r="AA454" s="357">
        <f>+Bono!J454</f>
        <v>462669.8173627485</v>
      </c>
      <c r="AC454" s="378">
        <f t="shared" si="125"/>
        <v>35.916666666666664</v>
      </c>
      <c r="AD454" s="356">
        <f t="shared" si="126"/>
        <v>25088292.463557556</v>
      </c>
    </row>
    <row r="455" spans="2:30" x14ac:dyDescent="0.25">
      <c r="B455" s="356">
        <f t="shared" si="127"/>
        <v>432</v>
      </c>
      <c r="C455" s="357">
        <f t="shared" si="132"/>
        <v>35</v>
      </c>
      <c r="D455" s="357">
        <f t="shared" si="133"/>
        <v>12</v>
      </c>
      <c r="E455" s="357">
        <f t="shared" si="134"/>
        <v>64</v>
      </c>
      <c r="F455" s="356">
        <f t="shared" si="128"/>
        <v>946802.561002948</v>
      </c>
      <c r="H455" s="356">
        <f t="shared" si="121"/>
        <v>7549.93657988323</v>
      </c>
      <c r="I455" s="356">
        <v>0</v>
      </c>
      <c r="J455" s="360">
        <f>-SUM(F455:H455)*$J$21</f>
        <v>-8589.172478245482</v>
      </c>
      <c r="K455" s="356">
        <f t="shared" si="129"/>
        <v>-945.7633251045858</v>
      </c>
      <c r="L455" s="356">
        <f t="shared" si="122"/>
        <v>944817.5617794811</v>
      </c>
      <c r="N455" s="356">
        <f t="shared" si="130"/>
        <v>432</v>
      </c>
      <c r="O455" s="357">
        <f t="shared" si="135"/>
        <v>35</v>
      </c>
      <c r="P455" s="357">
        <f t="shared" si="136"/>
        <v>12</v>
      </c>
      <c r="Q455" s="357">
        <f t="shared" si="137"/>
        <v>35</v>
      </c>
      <c r="R455" s="356">
        <f t="shared" si="131"/>
        <v>23678820.08519186</v>
      </c>
      <c r="S455" s="356">
        <f>IF($G$4="mensual",S454,0)</f>
        <v>10000</v>
      </c>
      <c r="U455" s="356">
        <f t="shared" si="138"/>
        <v>188897.97795435594</v>
      </c>
      <c r="V455" s="356">
        <f t="shared" si="139"/>
        <v>-300.6919813589501</v>
      </c>
      <c r="X455" s="356">
        <f t="shared" si="123"/>
        <v>-23877.718063146214</v>
      </c>
      <c r="Y455" s="356">
        <f t="shared" si="124"/>
        <v>23853539.65310171</v>
      </c>
      <c r="AA455" s="357">
        <f>+Bono!J455</f>
        <v>461344.38404184877</v>
      </c>
      <c r="AC455" s="378">
        <f t="shared" si="125"/>
        <v>36</v>
      </c>
      <c r="AD455" s="356">
        <f t="shared" si="126"/>
        <v>25259701.59892304</v>
      </c>
    </row>
    <row r="456" spans="2:30" x14ac:dyDescent="0.25">
      <c r="B456" s="356">
        <f t="shared" si="127"/>
        <v>433</v>
      </c>
      <c r="C456" s="357">
        <f t="shared" si="132"/>
        <v>36</v>
      </c>
      <c r="D456" s="357">
        <f t="shared" si="133"/>
        <v>1</v>
      </c>
      <c r="E456" s="357">
        <f t="shared" si="134"/>
        <v>65</v>
      </c>
      <c r="F456" s="356">
        <f t="shared" si="128"/>
        <v>944817.5617794811</v>
      </c>
      <c r="H456" s="356">
        <f t="shared" si="121"/>
        <v>7534.1079173240405</v>
      </c>
      <c r="I456" s="356">
        <v>0</v>
      </c>
      <c r="J456" s="356">
        <v>0</v>
      </c>
      <c r="K456" s="356">
        <f t="shared" si="129"/>
        <v>-952.3516696968052</v>
      </c>
      <c r="L456" s="356">
        <f t="shared" si="122"/>
        <v>951399.3180271083</v>
      </c>
      <c r="N456" s="356">
        <f t="shared" si="130"/>
        <v>433</v>
      </c>
      <c r="O456" s="357">
        <f t="shared" si="135"/>
        <v>36</v>
      </c>
      <c r="P456" s="357">
        <f t="shared" si="136"/>
        <v>1</v>
      </c>
      <c r="Q456" s="357">
        <f t="shared" si="137"/>
        <v>36</v>
      </c>
      <c r="R456" s="356">
        <f t="shared" si="131"/>
        <v>23853539.65310171</v>
      </c>
      <c r="S456" s="356">
        <f>IF($G$17="si",S444*(1+$G$20),S444)</f>
        <v>10000</v>
      </c>
      <c r="U456" s="356">
        <f t="shared" si="138"/>
        <v>190291.21632454643</v>
      </c>
      <c r="V456" s="356">
        <f>V455*(1+$G$18)</f>
        <v>-312.7196606133081</v>
      </c>
      <c r="X456" s="356">
        <f t="shared" si="123"/>
        <v>-24053.830869426256</v>
      </c>
      <c r="Y456" s="356">
        <f t="shared" si="124"/>
        <v>24029464.318896215</v>
      </c>
      <c r="AA456" s="357">
        <f>+Bono!J456</f>
        <v>464204.77273554454</v>
      </c>
      <c r="AC456" s="378">
        <f t="shared" si="125"/>
        <v>36.083333333333336</v>
      </c>
      <c r="AD456" s="356">
        <f t="shared" si="126"/>
        <v>25445068.409658868</v>
      </c>
    </row>
    <row r="457" spans="2:30" x14ac:dyDescent="0.25">
      <c r="B457" s="356">
        <f t="shared" si="127"/>
        <v>434</v>
      </c>
      <c r="C457" s="357">
        <f t="shared" si="132"/>
        <v>36</v>
      </c>
      <c r="D457" s="357">
        <f t="shared" si="133"/>
        <v>2</v>
      </c>
      <c r="E457" s="357">
        <f t="shared" si="134"/>
        <v>65</v>
      </c>
      <c r="F457" s="356">
        <f t="shared" si="128"/>
        <v>951399.3180271083</v>
      </c>
      <c r="H457" s="356">
        <f t="shared" si="121"/>
        <v>7586.591765911435</v>
      </c>
      <c r="I457" s="356">
        <v>0</v>
      </c>
      <c r="J457" s="356">
        <v>0</v>
      </c>
      <c r="K457" s="356">
        <f t="shared" si="129"/>
        <v>-958.9859097930198</v>
      </c>
      <c r="L457" s="356">
        <f t="shared" si="122"/>
        <v>958026.9238832267</v>
      </c>
      <c r="N457" s="356">
        <f t="shared" si="130"/>
        <v>434</v>
      </c>
      <c r="O457" s="357">
        <f t="shared" si="135"/>
        <v>36</v>
      </c>
      <c r="P457" s="357">
        <f t="shared" si="136"/>
        <v>2</v>
      </c>
      <c r="Q457" s="357">
        <f t="shared" si="137"/>
        <v>36</v>
      </c>
      <c r="R457" s="356">
        <f t="shared" si="131"/>
        <v>24029464.318896215</v>
      </c>
      <c r="S457" s="356">
        <f>IF($G$4="mensual",S456,0)</f>
        <v>10000</v>
      </c>
      <c r="U457" s="356">
        <f t="shared" si="138"/>
        <v>191694.06431449982</v>
      </c>
      <c r="V457" s="356">
        <f>V456</f>
        <v>-312.7196606133081</v>
      </c>
      <c r="X457" s="356">
        <f t="shared" si="123"/>
        <v>-24231.158383210717</v>
      </c>
      <c r="Y457" s="356">
        <f t="shared" si="124"/>
        <v>24206614.505166892</v>
      </c>
      <c r="AA457" s="357">
        <f>+Bono!J457</f>
        <v>467082.8961709258</v>
      </c>
      <c r="AC457" s="378">
        <f t="shared" si="125"/>
        <v>36.166666666666664</v>
      </c>
      <c r="AD457" s="356">
        <f t="shared" si="126"/>
        <v>25631724.325221043</v>
      </c>
    </row>
    <row r="458" spans="2:30" x14ac:dyDescent="0.25">
      <c r="B458" s="356">
        <f t="shared" si="127"/>
        <v>435</v>
      </c>
      <c r="C458" s="357">
        <f t="shared" si="132"/>
        <v>36</v>
      </c>
      <c r="D458" s="357">
        <f t="shared" si="133"/>
        <v>3</v>
      </c>
      <c r="E458" s="357">
        <f t="shared" si="134"/>
        <v>65</v>
      </c>
      <c r="F458" s="356">
        <f t="shared" si="128"/>
        <v>958026.9238832267</v>
      </c>
      <c r="H458" s="356">
        <f t="shared" si="121"/>
        <v>7639.441225715547</v>
      </c>
      <c r="I458" s="356">
        <v>0</v>
      </c>
      <c r="J458" s="360">
        <f>-SUM(F458:H458)*$J$21</f>
        <v>-8690.997285980482</v>
      </c>
      <c r="K458" s="356">
        <f t="shared" si="129"/>
        <v>-956.9753678229617</v>
      </c>
      <c r="L458" s="356">
        <f t="shared" si="122"/>
        <v>956018.3924551388</v>
      </c>
      <c r="N458" s="356">
        <f t="shared" si="130"/>
        <v>435</v>
      </c>
      <c r="O458" s="357">
        <f t="shared" si="135"/>
        <v>36</v>
      </c>
      <c r="P458" s="357">
        <f t="shared" si="136"/>
        <v>3</v>
      </c>
      <c r="Q458" s="357">
        <f t="shared" si="137"/>
        <v>36</v>
      </c>
      <c r="R458" s="356">
        <f t="shared" si="131"/>
        <v>24206614.505166892</v>
      </c>
      <c r="S458" s="356">
        <f>IF($G$4="mensual",S457,0)</f>
        <v>10000</v>
      </c>
      <c r="U458" s="356">
        <f t="shared" si="138"/>
        <v>193106.68477682865</v>
      </c>
      <c r="V458" s="356">
        <f t="shared" si="139"/>
        <v>-312.7196606133081</v>
      </c>
      <c r="X458" s="356">
        <f t="shared" si="123"/>
        <v>-24409.72118994372</v>
      </c>
      <c r="Y458" s="356">
        <f t="shared" si="124"/>
        <v>24384998.749093164</v>
      </c>
      <c r="AA458" s="357">
        <f>+Bono!J458</f>
        <v>465744.82048287656</v>
      </c>
      <c r="AC458" s="378">
        <f t="shared" si="125"/>
        <v>36.25</v>
      </c>
      <c r="AD458" s="356">
        <f t="shared" si="126"/>
        <v>25806761.96203118</v>
      </c>
    </row>
    <row r="459" spans="2:30" x14ac:dyDescent="0.25">
      <c r="B459" s="356">
        <f t="shared" si="127"/>
        <v>436</v>
      </c>
      <c r="C459" s="357">
        <f t="shared" si="132"/>
        <v>36</v>
      </c>
      <c r="D459" s="357">
        <f t="shared" si="133"/>
        <v>4</v>
      </c>
      <c r="E459" s="357">
        <f t="shared" si="134"/>
        <v>65</v>
      </c>
      <c r="F459" s="356">
        <f t="shared" si="128"/>
        <v>956018.3924551388</v>
      </c>
      <c r="H459" s="356">
        <f t="shared" si="121"/>
        <v>7623.424914052108</v>
      </c>
      <c r="I459" s="356">
        <v>0</v>
      </c>
      <c r="J459" s="356">
        <v>0</v>
      </c>
      <c r="K459" s="356">
        <f t="shared" si="129"/>
        <v>-963.641817369191</v>
      </c>
      <c r="L459" s="356">
        <f t="shared" si="122"/>
        <v>962678.1755518218</v>
      </c>
      <c r="N459" s="356">
        <f t="shared" si="130"/>
        <v>436</v>
      </c>
      <c r="O459" s="357">
        <f t="shared" si="135"/>
        <v>36</v>
      </c>
      <c r="P459" s="357">
        <f t="shared" si="136"/>
        <v>4</v>
      </c>
      <c r="Q459" s="357">
        <f t="shared" si="137"/>
        <v>36</v>
      </c>
      <c r="R459" s="356">
        <f t="shared" si="131"/>
        <v>24384998.749093164</v>
      </c>
      <c r="S459" s="356">
        <f>IF($G$4="mensual",S456,IF($G$4="trimestral",S456,0))</f>
        <v>10000</v>
      </c>
      <c r="U459" s="356">
        <f t="shared" si="138"/>
        <v>194529.14578820055</v>
      </c>
      <c r="V459" s="356">
        <f t="shared" si="139"/>
        <v>-312.7196606133081</v>
      </c>
      <c r="X459" s="356">
        <f t="shared" si="123"/>
        <v>-24589.527894881365</v>
      </c>
      <c r="Y459" s="356">
        <f t="shared" si="124"/>
        <v>24564625.64732587</v>
      </c>
      <c r="AA459" s="357">
        <f>+Bono!J459</f>
        <v>468632.4923929258</v>
      </c>
      <c r="AC459" s="378">
        <f t="shared" si="125"/>
        <v>36.333333333333336</v>
      </c>
      <c r="AD459" s="356">
        <f t="shared" si="126"/>
        <v>25995936.315270618</v>
      </c>
    </row>
    <row r="460" spans="2:30" x14ac:dyDescent="0.25">
      <c r="B460" s="356">
        <f t="shared" si="127"/>
        <v>437</v>
      </c>
      <c r="C460" s="357">
        <f t="shared" si="132"/>
        <v>36</v>
      </c>
      <c r="D460" s="357">
        <f t="shared" si="133"/>
        <v>5</v>
      </c>
      <c r="E460" s="357">
        <f t="shared" si="134"/>
        <v>65</v>
      </c>
      <c r="F460" s="356">
        <f t="shared" si="128"/>
        <v>962678.1755518218</v>
      </c>
      <c r="H460" s="356">
        <f t="shared" si="121"/>
        <v>7676.530959691097</v>
      </c>
      <c r="I460" s="356">
        <v>0</v>
      </c>
      <c r="J460" s="356">
        <v>0</v>
      </c>
      <c r="K460" s="356">
        <f t="shared" si="129"/>
        <v>-970.354706511513</v>
      </c>
      <c r="L460" s="356">
        <f t="shared" si="122"/>
        <v>969384.3518050015</v>
      </c>
      <c r="N460" s="356">
        <f t="shared" si="130"/>
        <v>437</v>
      </c>
      <c r="O460" s="357">
        <f t="shared" si="135"/>
        <v>36</v>
      </c>
      <c r="P460" s="357">
        <f t="shared" si="136"/>
        <v>5</v>
      </c>
      <c r="Q460" s="357">
        <f t="shared" si="137"/>
        <v>36</v>
      </c>
      <c r="R460" s="356">
        <f t="shared" si="131"/>
        <v>24564625.64732587</v>
      </c>
      <c r="S460" s="356">
        <f>IF($G$4="mensual",S459,0)</f>
        <v>10000</v>
      </c>
      <c r="U460" s="356">
        <f t="shared" si="138"/>
        <v>195961.51589951655</v>
      </c>
      <c r="V460" s="356">
        <f t="shared" si="139"/>
        <v>-312.7196606133081</v>
      </c>
      <c r="X460" s="356">
        <f t="shared" si="123"/>
        <v>-24770.587163225387</v>
      </c>
      <c r="Y460" s="356">
        <f t="shared" si="124"/>
        <v>24745503.856401548</v>
      </c>
      <c r="AA460" s="357">
        <f>+Bono!J460</f>
        <v>471538.06820376654</v>
      </c>
      <c r="AC460" s="378">
        <f t="shared" si="125"/>
        <v>36.416666666666664</v>
      </c>
      <c r="AD460" s="356">
        <f t="shared" si="126"/>
        <v>26186426.276410315</v>
      </c>
    </row>
    <row r="461" spans="2:30" x14ac:dyDescent="0.25">
      <c r="B461" s="356">
        <f t="shared" si="127"/>
        <v>438</v>
      </c>
      <c r="C461" s="357">
        <f t="shared" si="132"/>
        <v>36</v>
      </c>
      <c r="D461" s="357">
        <f t="shared" si="133"/>
        <v>6</v>
      </c>
      <c r="E461" s="357">
        <f t="shared" si="134"/>
        <v>65</v>
      </c>
      <c r="F461" s="356">
        <f t="shared" si="128"/>
        <v>969384.3518050015</v>
      </c>
      <c r="H461" s="356">
        <f t="shared" si="121"/>
        <v>7730.006950874932</v>
      </c>
      <c r="I461" s="356">
        <v>0</v>
      </c>
      <c r="J461" s="360">
        <f>-SUM(F461:H461)*$J$21</f>
        <v>-8794.029228802889</v>
      </c>
      <c r="K461" s="356">
        <f t="shared" si="129"/>
        <v>-968.3203295270736</v>
      </c>
      <c r="L461" s="356">
        <f t="shared" si="122"/>
        <v>967352.0091975465</v>
      </c>
      <c r="N461" s="356">
        <f t="shared" si="130"/>
        <v>438</v>
      </c>
      <c r="O461" s="357">
        <f t="shared" si="135"/>
        <v>36</v>
      </c>
      <c r="P461" s="357">
        <f t="shared" si="136"/>
        <v>6</v>
      </c>
      <c r="Q461" s="357">
        <f t="shared" si="137"/>
        <v>36</v>
      </c>
      <c r="R461" s="356">
        <f t="shared" si="131"/>
        <v>24745503.856401548</v>
      </c>
      <c r="S461" s="356">
        <f>IF($G$4="mensual",S460,0)</f>
        <v>10000</v>
      </c>
      <c r="U461" s="356">
        <f t="shared" si="138"/>
        <v>197403.86413921462</v>
      </c>
      <c r="V461" s="356">
        <f t="shared" si="139"/>
        <v>-312.7196606133081</v>
      </c>
      <c r="X461" s="356">
        <f t="shared" si="123"/>
        <v>-24952.907720540763</v>
      </c>
      <c r="Y461" s="356">
        <f t="shared" si="124"/>
        <v>24927642.09315961</v>
      </c>
      <c r="AA461" s="357">
        <f>+Bono!J461</f>
        <v>470187.22956200584</v>
      </c>
      <c r="AC461" s="378">
        <f t="shared" si="125"/>
        <v>36.5</v>
      </c>
      <c r="AD461" s="356">
        <f t="shared" si="126"/>
        <v>26365181.331919163</v>
      </c>
    </row>
    <row r="462" spans="2:30" x14ac:dyDescent="0.25">
      <c r="B462" s="356">
        <f t="shared" si="127"/>
        <v>439</v>
      </c>
      <c r="C462" s="357">
        <f t="shared" si="132"/>
        <v>36</v>
      </c>
      <c r="D462" s="357">
        <f t="shared" si="133"/>
        <v>7</v>
      </c>
      <c r="E462" s="357">
        <f t="shared" si="134"/>
        <v>65</v>
      </c>
      <c r="F462" s="356">
        <f t="shared" si="128"/>
        <v>967352.0091975465</v>
      </c>
      <c r="H462" s="356">
        <f t="shared" si="121"/>
        <v>7713.800765523441</v>
      </c>
      <c r="I462" s="356">
        <v>0</v>
      </c>
      <c r="J462" s="356">
        <v>0</v>
      </c>
      <c r="K462" s="356">
        <f t="shared" si="129"/>
        <v>-975.06580996307</v>
      </c>
      <c r="L462" s="356">
        <f t="shared" si="122"/>
        <v>974090.7441531069</v>
      </c>
      <c r="N462" s="356">
        <f t="shared" si="130"/>
        <v>439</v>
      </c>
      <c r="O462" s="357">
        <f t="shared" si="135"/>
        <v>36</v>
      </c>
      <c r="P462" s="357">
        <f t="shared" si="136"/>
        <v>7</v>
      </c>
      <c r="Q462" s="357">
        <f t="shared" si="137"/>
        <v>36</v>
      </c>
      <c r="R462" s="356">
        <f t="shared" si="131"/>
        <v>24927642.09315961</v>
      </c>
      <c r="S462" s="356">
        <f>+IF($G$4="mensual",S456,IF($G$4="trimestral",S456,IF($G$4="semestral",S456,0)))</f>
        <v>10000</v>
      </c>
      <c r="U462" s="356">
        <f t="shared" si="138"/>
        <v>198856.26001659632</v>
      </c>
      <c r="V462" s="356">
        <f t="shared" si="139"/>
        <v>-312.7196606133081</v>
      </c>
      <c r="X462" s="356">
        <f t="shared" si="123"/>
        <v>-25136.49835317621</v>
      </c>
      <c r="Y462" s="356">
        <f t="shared" si="124"/>
        <v>25111049.135162417</v>
      </c>
      <c r="AA462" s="357">
        <f>+Bono!J462</f>
        <v>473102.44492363324</v>
      </c>
      <c r="AC462" s="378">
        <f t="shared" si="125"/>
        <v>36.583333333333336</v>
      </c>
      <c r="AD462" s="356">
        <f t="shared" si="126"/>
        <v>26558242.324239157</v>
      </c>
    </row>
    <row r="463" spans="2:30" x14ac:dyDescent="0.25">
      <c r="B463" s="356">
        <f t="shared" si="127"/>
        <v>440</v>
      </c>
      <c r="C463" s="357">
        <f t="shared" si="132"/>
        <v>36</v>
      </c>
      <c r="D463" s="357">
        <f t="shared" si="133"/>
        <v>8</v>
      </c>
      <c r="E463" s="357">
        <f t="shared" si="134"/>
        <v>65</v>
      </c>
      <c r="F463" s="356">
        <f t="shared" si="128"/>
        <v>974090.7441531069</v>
      </c>
      <c r="H463" s="356">
        <f t="shared" si="121"/>
        <v>7767.536384372243</v>
      </c>
      <c r="I463" s="356">
        <v>0</v>
      </c>
      <c r="J463" s="356">
        <v>0</v>
      </c>
      <c r="K463" s="356">
        <f t="shared" si="129"/>
        <v>-981.8582805374792</v>
      </c>
      <c r="L463" s="356">
        <f t="shared" si="122"/>
        <v>980876.4222569417</v>
      </c>
      <c r="N463" s="356">
        <f t="shared" si="130"/>
        <v>440</v>
      </c>
      <c r="O463" s="357">
        <f t="shared" si="135"/>
        <v>36</v>
      </c>
      <c r="P463" s="357">
        <f t="shared" si="136"/>
        <v>8</v>
      </c>
      <c r="Q463" s="357">
        <f t="shared" si="137"/>
        <v>36</v>
      </c>
      <c r="R463" s="356">
        <f t="shared" si="131"/>
        <v>25111049.135162417</v>
      </c>
      <c r="S463" s="356">
        <f>IF($G$4="mensual",S462,0)</f>
        <v>10000</v>
      </c>
      <c r="U463" s="356">
        <f t="shared" si="138"/>
        <v>200318.77352517657</v>
      </c>
      <c r="V463" s="356">
        <f t="shared" si="139"/>
        <v>-312.7196606133081</v>
      </c>
      <c r="X463" s="356">
        <f t="shared" si="123"/>
        <v>-25321.367908687593</v>
      </c>
      <c r="Y463" s="356">
        <f t="shared" si="124"/>
        <v>25295733.82111829</v>
      </c>
      <c r="AA463" s="357">
        <f>+Bono!J463</f>
        <v>476035.7349586468</v>
      </c>
      <c r="AC463" s="378">
        <f t="shared" si="125"/>
        <v>36.666666666666664</v>
      </c>
      <c r="AD463" s="356">
        <f t="shared" si="126"/>
        <v>26752645.97833388</v>
      </c>
    </row>
    <row r="464" spans="2:30" x14ac:dyDescent="0.25">
      <c r="B464" s="356">
        <f t="shared" si="127"/>
        <v>441</v>
      </c>
      <c r="C464" s="357">
        <f t="shared" si="132"/>
        <v>36</v>
      </c>
      <c r="D464" s="357">
        <f t="shared" si="133"/>
        <v>9</v>
      </c>
      <c r="E464" s="357">
        <f t="shared" si="134"/>
        <v>65</v>
      </c>
      <c r="F464" s="356">
        <f t="shared" si="128"/>
        <v>980876.4222569417</v>
      </c>
      <c r="H464" s="356">
        <f t="shared" si="121"/>
        <v>7821.646334477558</v>
      </c>
      <c r="I464" s="356">
        <v>0</v>
      </c>
      <c r="J464" s="360">
        <f>-SUM(F464:H464)*$J$21</f>
        <v>-8898.282617322775</v>
      </c>
      <c r="K464" s="356">
        <f t="shared" si="129"/>
        <v>-979.7997859740965</v>
      </c>
      <c r="L464" s="356">
        <f t="shared" si="122"/>
        <v>978819.9861881224</v>
      </c>
      <c r="N464" s="356">
        <f t="shared" si="130"/>
        <v>441</v>
      </c>
      <c r="O464" s="357">
        <f t="shared" si="135"/>
        <v>36</v>
      </c>
      <c r="P464" s="357">
        <f t="shared" si="136"/>
        <v>9</v>
      </c>
      <c r="Q464" s="357">
        <f t="shared" si="137"/>
        <v>36</v>
      </c>
      <c r="R464" s="356">
        <f t="shared" si="131"/>
        <v>25295733.82111829</v>
      </c>
      <c r="S464" s="356">
        <f>IF($G$4="mensual",S463,0)</f>
        <v>10000</v>
      </c>
      <c r="U464" s="356">
        <f t="shared" si="138"/>
        <v>201791.4751460567</v>
      </c>
      <c r="V464" s="356">
        <f t="shared" si="139"/>
        <v>-312.7196606133081</v>
      </c>
      <c r="X464" s="356">
        <f t="shared" si="123"/>
        <v>-25507.525296264346</v>
      </c>
      <c r="Y464" s="356">
        <f t="shared" si="124"/>
        <v>25481705.05130747</v>
      </c>
      <c r="AA464" s="357">
        <f>+Bono!J464</f>
        <v>474672.0116264233</v>
      </c>
      <c r="AC464" s="378">
        <f t="shared" si="125"/>
        <v>36.75</v>
      </c>
      <c r="AD464" s="356">
        <f t="shared" si="126"/>
        <v>26935197.049122013</v>
      </c>
    </row>
    <row r="465" spans="2:30" x14ac:dyDescent="0.25">
      <c r="B465" s="356">
        <f t="shared" si="127"/>
        <v>442</v>
      </c>
      <c r="C465" s="357">
        <f t="shared" si="132"/>
        <v>36</v>
      </c>
      <c r="D465" s="357">
        <f t="shared" si="133"/>
        <v>10</v>
      </c>
      <c r="E465" s="357">
        <f t="shared" si="134"/>
        <v>65</v>
      </c>
      <c r="F465" s="356">
        <f t="shared" si="128"/>
        <v>978819.9861881224</v>
      </c>
      <c r="H465" s="356">
        <f t="shared" si="121"/>
        <v>7805.248024481732</v>
      </c>
      <c r="I465" s="356">
        <v>0</v>
      </c>
      <c r="J465" s="356">
        <v>0</v>
      </c>
      <c r="K465" s="356">
        <f t="shared" si="129"/>
        <v>-986.6252342126041</v>
      </c>
      <c r="L465" s="356">
        <f t="shared" si="122"/>
        <v>985638.6089783915</v>
      </c>
      <c r="N465" s="356">
        <f t="shared" si="130"/>
        <v>442</v>
      </c>
      <c r="O465" s="357">
        <f t="shared" si="135"/>
        <v>36</v>
      </c>
      <c r="P465" s="357">
        <f t="shared" si="136"/>
        <v>10</v>
      </c>
      <c r="Q465" s="357">
        <f t="shared" si="137"/>
        <v>36</v>
      </c>
      <c r="R465" s="356">
        <f t="shared" si="131"/>
        <v>25481705.05130747</v>
      </c>
      <c r="S465" s="356">
        <f>IF($G$4="mensual",S456,IF($G$4="trimestral",S456,0))</f>
        <v>10000</v>
      </c>
      <c r="U465" s="356">
        <f t="shared" si="138"/>
        <v>203274.4358513212</v>
      </c>
      <c r="V465" s="356">
        <f t="shared" si="139"/>
        <v>-312.7196606133081</v>
      </c>
      <c r="X465" s="356">
        <f t="shared" si="123"/>
        <v>-25694.97948715879</v>
      </c>
      <c r="Y465" s="356">
        <f t="shared" si="124"/>
        <v>25668971.78801102</v>
      </c>
      <c r="AA465" s="357">
        <f>+Bono!J465</f>
        <v>477615.0331570526</v>
      </c>
      <c r="AC465" s="378">
        <f t="shared" si="125"/>
        <v>36.833333333333336</v>
      </c>
      <c r="AD465" s="356">
        <f t="shared" si="126"/>
        <v>27132225.430146463</v>
      </c>
    </row>
    <row r="466" spans="2:30" x14ac:dyDescent="0.25">
      <c r="B466" s="356">
        <f t="shared" si="127"/>
        <v>443</v>
      </c>
      <c r="C466" s="357">
        <f t="shared" si="132"/>
        <v>36</v>
      </c>
      <c r="D466" s="357">
        <f t="shared" si="133"/>
        <v>11</v>
      </c>
      <c r="E466" s="357">
        <f t="shared" si="134"/>
        <v>65</v>
      </c>
      <c r="F466" s="356">
        <f t="shared" si="128"/>
        <v>985638.6089783915</v>
      </c>
      <c r="H466" s="356">
        <f t="shared" si="121"/>
        <v>7859.620680143061</v>
      </c>
      <c r="I466" s="356">
        <v>0</v>
      </c>
      <c r="J466" s="356">
        <v>0</v>
      </c>
      <c r="K466" s="356">
        <f t="shared" si="129"/>
        <v>-993.4982296585346</v>
      </c>
      <c r="L466" s="356">
        <f t="shared" si="122"/>
        <v>992504.7314288759</v>
      </c>
      <c r="N466" s="356">
        <f t="shared" si="130"/>
        <v>443</v>
      </c>
      <c r="O466" s="357">
        <f t="shared" si="135"/>
        <v>36</v>
      </c>
      <c r="P466" s="357">
        <f t="shared" si="136"/>
        <v>11</v>
      </c>
      <c r="Q466" s="357">
        <f t="shared" si="137"/>
        <v>36</v>
      </c>
      <c r="R466" s="356">
        <f t="shared" si="131"/>
        <v>25668971.78801102</v>
      </c>
      <c r="S466" s="356">
        <f>IF($G$17="si",S454*(1+$G$20),S454)</f>
        <v>10000</v>
      </c>
      <c r="U466" s="356">
        <f t="shared" si="138"/>
        <v>204767.72710745785</v>
      </c>
      <c r="V466" s="356">
        <f t="shared" si="139"/>
        <v>-312.7196606133081</v>
      </c>
      <c r="X466" s="356">
        <f t="shared" si="123"/>
        <v>-25883.739515118476</v>
      </c>
      <c r="Y466" s="356">
        <f t="shared" si="124"/>
        <v>25857543.055942744</v>
      </c>
      <c r="AA466" s="357">
        <f>+Bono!J466</f>
        <v>480576.3017625411</v>
      </c>
      <c r="AC466" s="378">
        <f t="shared" si="125"/>
        <v>36.916666666666664</v>
      </c>
      <c r="AD466" s="356">
        <f t="shared" si="126"/>
        <v>27330624.08913416</v>
      </c>
    </row>
    <row r="467" spans="2:30" x14ac:dyDescent="0.25">
      <c r="B467" s="356">
        <f t="shared" si="127"/>
        <v>444</v>
      </c>
      <c r="C467" s="357">
        <f t="shared" si="132"/>
        <v>36</v>
      </c>
      <c r="D467" s="357">
        <f t="shared" si="133"/>
        <v>12</v>
      </c>
      <c r="E467" s="357">
        <f t="shared" si="134"/>
        <v>65</v>
      </c>
      <c r="F467" s="356">
        <f t="shared" si="128"/>
        <v>992504.7314288759</v>
      </c>
      <c r="H467" s="356">
        <f t="shared" si="121"/>
        <v>7914.3721047652725</v>
      </c>
      <c r="I467" s="356">
        <v>0</v>
      </c>
      <c r="J467" s="360">
        <f>-SUM(F467:H467)*$J$21</f>
        <v>-9003.771931802772</v>
      </c>
      <c r="K467" s="356">
        <f t="shared" si="129"/>
        <v>-991.4153316018385</v>
      </c>
      <c r="L467" s="356">
        <f t="shared" si="122"/>
        <v>990423.9162702366</v>
      </c>
      <c r="N467" s="356">
        <f t="shared" si="130"/>
        <v>444</v>
      </c>
      <c r="O467" s="357">
        <f t="shared" si="135"/>
        <v>36</v>
      </c>
      <c r="P467" s="357">
        <f t="shared" si="136"/>
        <v>12</v>
      </c>
      <c r="Q467" s="357">
        <f t="shared" si="137"/>
        <v>36</v>
      </c>
      <c r="R467" s="356">
        <f t="shared" si="131"/>
        <v>25857543.055942744</v>
      </c>
      <c r="S467" s="356">
        <f>IF($G$4="mensual",S466,0)</f>
        <v>10000</v>
      </c>
      <c r="U467" s="356">
        <f t="shared" si="138"/>
        <v>206271.42087880187</v>
      </c>
      <c r="V467" s="356">
        <f t="shared" si="139"/>
        <v>-312.7196606133081</v>
      </c>
      <c r="X467" s="356">
        <f t="shared" si="123"/>
        <v>-26073.814476821546</v>
      </c>
      <c r="Y467" s="356">
        <f t="shared" si="124"/>
        <v>26047427.94268411</v>
      </c>
      <c r="AA467" s="357">
        <f>+Bono!J467</f>
        <v>479199.5708419428</v>
      </c>
      <c r="AC467" s="378">
        <f t="shared" si="125"/>
        <v>37</v>
      </c>
      <c r="AD467" s="356">
        <f t="shared" si="126"/>
        <v>27517051.42979629</v>
      </c>
    </row>
    <row r="468" spans="2:30" x14ac:dyDescent="0.25">
      <c r="B468" s="356">
        <f t="shared" si="127"/>
        <v>445</v>
      </c>
      <c r="C468" s="357">
        <f t="shared" si="132"/>
        <v>37</v>
      </c>
      <c r="D468" s="357">
        <f t="shared" si="133"/>
        <v>1</v>
      </c>
      <c r="E468" s="357">
        <f t="shared" si="134"/>
        <v>66</v>
      </c>
      <c r="F468" s="356">
        <f t="shared" si="128"/>
        <v>990423.9162702366</v>
      </c>
      <c r="H468" s="356">
        <f t="shared" si="121"/>
        <v>7897.779392483691</v>
      </c>
      <c r="I468" s="356">
        <v>0</v>
      </c>
      <c r="J468" s="356">
        <v>0</v>
      </c>
      <c r="K468" s="356">
        <f t="shared" si="129"/>
        <v>-998.3216956627202</v>
      </c>
      <c r="L468" s="356">
        <f t="shared" si="122"/>
        <v>997323.3739670576</v>
      </c>
      <c r="N468" s="356">
        <f t="shared" si="130"/>
        <v>445</v>
      </c>
      <c r="O468" s="357">
        <f t="shared" si="135"/>
        <v>37</v>
      </c>
      <c r="P468" s="357">
        <f t="shared" si="136"/>
        <v>1</v>
      </c>
      <c r="Q468" s="357">
        <f t="shared" si="137"/>
        <v>37</v>
      </c>
      <c r="R468" s="356">
        <f t="shared" si="131"/>
        <v>26047427.94268411</v>
      </c>
      <c r="S468" s="356">
        <f>IF($G$17="si",S456*(1+$G$20),S456)</f>
        <v>10000</v>
      </c>
      <c r="U468" s="356">
        <f t="shared" si="138"/>
        <v>207785.589631004</v>
      </c>
      <c r="V468" s="356">
        <f>V467*(1+$G$18)</f>
        <v>-325.22844703784045</v>
      </c>
      <c r="X468" s="356">
        <f t="shared" si="123"/>
        <v>-26265.213532315112</v>
      </c>
      <c r="Y468" s="356">
        <f t="shared" si="124"/>
        <v>26238623.09033576</v>
      </c>
      <c r="AA468" s="357">
        <f>+Bono!J468</f>
        <v>482170.66376487265</v>
      </c>
      <c r="AC468" s="378">
        <f t="shared" si="125"/>
        <v>37.083333333333336</v>
      </c>
      <c r="AD468" s="356">
        <f t="shared" si="126"/>
        <v>27718117.12806769</v>
      </c>
    </row>
    <row r="469" spans="2:30" x14ac:dyDescent="0.25">
      <c r="B469" s="356">
        <f t="shared" si="127"/>
        <v>446</v>
      </c>
      <c r="C469" s="357">
        <f t="shared" si="132"/>
        <v>37</v>
      </c>
      <c r="D469" s="357">
        <f t="shared" si="133"/>
        <v>2</v>
      </c>
      <c r="E469" s="357">
        <f t="shared" si="134"/>
        <v>66</v>
      </c>
      <c r="F469" s="356">
        <f t="shared" si="128"/>
        <v>997323.3739670576</v>
      </c>
      <c r="H469" s="356">
        <f t="shared" si="121"/>
        <v>7952.7966370414215</v>
      </c>
      <c r="I469" s="356">
        <v>0</v>
      </c>
      <c r="J469" s="356">
        <v>0</v>
      </c>
      <c r="K469" s="356">
        <f t="shared" si="129"/>
        <v>-1005.276170604099</v>
      </c>
      <c r="L469" s="356">
        <f t="shared" si="122"/>
        <v>1004270.8944334949</v>
      </c>
      <c r="N469" s="356">
        <f t="shared" si="130"/>
        <v>446</v>
      </c>
      <c r="O469" s="357">
        <f t="shared" si="135"/>
        <v>37</v>
      </c>
      <c r="P469" s="357">
        <f t="shared" si="136"/>
        <v>2</v>
      </c>
      <c r="Q469" s="357">
        <f t="shared" si="137"/>
        <v>37</v>
      </c>
      <c r="R469" s="356">
        <f t="shared" si="131"/>
        <v>26238623.09033576</v>
      </c>
      <c r="S469" s="356">
        <f>IF($G$4="mensual",S468,0)</f>
        <v>10000</v>
      </c>
      <c r="U469" s="356">
        <f t="shared" si="138"/>
        <v>209310.20658770326</v>
      </c>
      <c r="V469" s="356">
        <f>V468</f>
        <v>-325.22844703784045</v>
      </c>
      <c r="X469" s="356">
        <f t="shared" si="123"/>
        <v>-26457.933296923464</v>
      </c>
      <c r="Y469" s="356">
        <f t="shared" si="124"/>
        <v>26431150.1351795</v>
      </c>
      <c r="AA469" s="357">
        <f>+Bono!J469</f>
        <v>485160.1778085501</v>
      </c>
      <c r="AC469" s="378">
        <f t="shared" si="125"/>
        <v>37.166666666666664</v>
      </c>
      <c r="AD469" s="356">
        <f t="shared" si="126"/>
        <v>27920581.207421545</v>
      </c>
    </row>
    <row r="470" spans="2:30" x14ac:dyDescent="0.25">
      <c r="B470" s="356">
        <f t="shared" si="127"/>
        <v>447</v>
      </c>
      <c r="C470" s="357">
        <f t="shared" si="132"/>
        <v>37</v>
      </c>
      <c r="D470" s="357">
        <f t="shared" si="133"/>
        <v>3</v>
      </c>
      <c r="E470" s="357">
        <f t="shared" si="134"/>
        <v>66</v>
      </c>
      <c r="F470" s="356">
        <f t="shared" si="128"/>
        <v>1004270.8944334949</v>
      </c>
      <c r="H470" s="356">
        <f t="shared" si="121"/>
        <v>8008.197140873476</v>
      </c>
      <c r="I470" s="356">
        <v>0</v>
      </c>
      <c r="J470" s="360">
        <f>-SUM(F470:H470)*$J$21</f>
        <v>-9110.511824169316</v>
      </c>
      <c r="K470" s="356">
        <f t="shared" si="129"/>
        <v>-1003.1685797501991</v>
      </c>
      <c r="L470" s="356">
        <f t="shared" si="122"/>
        <v>1002165.4111704489</v>
      </c>
      <c r="N470" s="356">
        <f t="shared" si="130"/>
        <v>447</v>
      </c>
      <c r="O470" s="357">
        <f t="shared" si="135"/>
        <v>37</v>
      </c>
      <c r="P470" s="357">
        <f t="shared" si="136"/>
        <v>3</v>
      </c>
      <c r="Q470" s="357">
        <f t="shared" si="137"/>
        <v>37</v>
      </c>
      <c r="R470" s="356">
        <f t="shared" si="131"/>
        <v>26431150.1351795</v>
      </c>
      <c r="S470" s="356">
        <f>IF($G$4="mensual",S469,0)</f>
        <v>10000</v>
      </c>
      <c r="U470" s="356">
        <f t="shared" si="138"/>
        <v>210845.4442796491</v>
      </c>
      <c r="V470" s="356">
        <f t="shared" si="139"/>
        <v>-325.22844703784045</v>
      </c>
      <c r="X470" s="356">
        <f t="shared" si="123"/>
        <v>-26651.99557945915</v>
      </c>
      <c r="Y470" s="356">
        <f t="shared" si="124"/>
        <v>26625018.355432652</v>
      </c>
      <c r="AA470" s="357">
        <f>+Bono!J470</f>
        <v>483770.3152294294</v>
      </c>
      <c r="AC470" s="378">
        <f t="shared" si="125"/>
        <v>37.25</v>
      </c>
      <c r="AD470" s="356">
        <f t="shared" si="126"/>
        <v>28110954.08183253</v>
      </c>
    </row>
    <row r="471" spans="2:30" x14ac:dyDescent="0.25">
      <c r="B471" s="356">
        <f t="shared" si="127"/>
        <v>448</v>
      </c>
      <c r="C471" s="357">
        <f t="shared" si="132"/>
        <v>37</v>
      </c>
      <c r="D471" s="357">
        <f t="shared" si="133"/>
        <v>4</v>
      </c>
      <c r="E471" s="357">
        <f t="shared" si="134"/>
        <v>66</v>
      </c>
      <c r="F471" s="356">
        <f t="shared" si="128"/>
        <v>1002165.4111704489</v>
      </c>
      <c r="H471" s="356">
        <f t="shared" si="121"/>
        <v>7991.40772166324</v>
      </c>
      <c r="I471" s="356">
        <v>0</v>
      </c>
      <c r="J471" s="356">
        <v>0</v>
      </c>
      <c r="K471" s="356">
        <f t="shared" si="129"/>
        <v>-1010.1568188921121</v>
      </c>
      <c r="L471" s="356">
        <f t="shared" si="122"/>
        <v>1009146.66207322</v>
      </c>
      <c r="N471" s="356">
        <f t="shared" si="130"/>
        <v>448</v>
      </c>
      <c r="O471" s="357">
        <f t="shared" si="135"/>
        <v>37</v>
      </c>
      <c r="P471" s="357">
        <f t="shared" si="136"/>
        <v>4</v>
      </c>
      <c r="Q471" s="357">
        <f t="shared" si="137"/>
        <v>37</v>
      </c>
      <c r="R471" s="356">
        <f t="shared" si="131"/>
        <v>26625018.355432652</v>
      </c>
      <c r="S471" s="356">
        <f>IF($G$4="mensual",S468,IF($G$4="trimestral",S468,0))</f>
        <v>10000</v>
      </c>
      <c r="U471" s="356">
        <f t="shared" si="138"/>
        <v>212391.37669264936</v>
      </c>
      <c r="V471" s="356">
        <f t="shared" si="139"/>
        <v>-325.22844703784045</v>
      </c>
      <c r="X471" s="356">
        <f t="shared" si="123"/>
        <v>-26847.409732125303</v>
      </c>
      <c r="Y471" s="356">
        <f t="shared" si="124"/>
        <v>26820237.093946137</v>
      </c>
      <c r="AA471" s="357">
        <f>+Bono!J471</f>
        <v>486769.74729773524</v>
      </c>
      <c r="AC471" s="378">
        <f t="shared" si="125"/>
        <v>37.333333333333336</v>
      </c>
      <c r="AD471" s="356">
        <f t="shared" si="126"/>
        <v>28316153.50331709</v>
      </c>
    </row>
    <row r="472" spans="2:30" x14ac:dyDescent="0.25">
      <c r="B472" s="356">
        <f t="shared" si="127"/>
        <v>449</v>
      </c>
      <c r="C472" s="357">
        <f t="shared" si="132"/>
        <v>37</v>
      </c>
      <c r="D472" s="357">
        <f t="shared" si="133"/>
        <v>5</v>
      </c>
      <c r="E472" s="357">
        <f t="shared" si="134"/>
        <v>66</v>
      </c>
      <c r="F472" s="356">
        <f t="shared" si="128"/>
        <v>1009146.66207322</v>
      </c>
      <c r="H472" s="356">
        <f t="shared" ref="H472:H535" si="140">SUM(F472:G472)*$G$8</f>
        <v>8047.0771967313485</v>
      </c>
      <c r="I472" s="356">
        <v>0</v>
      </c>
      <c r="J472" s="356">
        <v>0</v>
      </c>
      <c r="K472" s="356">
        <f t="shared" si="129"/>
        <v>-1017.1937392699514</v>
      </c>
      <c r="L472" s="356">
        <f t="shared" ref="L472:L535" si="141">SUM(F472:K472)</f>
        <v>1016176.5455306814</v>
      </c>
      <c r="N472" s="356">
        <f t="shared" si="130"/>
        <v>449</v>
      </c>
      <c r="O472" s="357">
        <f t="shared" si="135"/>
        <v>37</v>
      </c>
      <c r="P472" s="357">
        <f t="shared" si="136"/>
        <v>5</v>
      </c>
      <c r="Q472" s="357">
        <f t="shared" si="137"/>
        <v>37</v>
      </c>
      <c r="R472" s="356">
        <f t="shared" si="131"/>
        <v>26820237.093946137</v>
      </c>
      <c r="S472" s="356">
        <f>IF($G$4="mensual",S471,0)</f>
        <v>10000</v>
      </c>
      <c r="U472" s="356">
        <f t="shared" si="138"/>
        <v>213948.07832790934</v>
      </c>
      <c r="V472" s="356">
        <f t="shared" si="139"/>
        <v>-325.22844703784045</v>
      </c>
      <c r="X472" s="356">
        <f t="shared" ref="X472:X535" si="142">-SUM(R472:U472)*0.1%</f>
        <v>-27044.185172274047</v>
      </c>
      <c r="Y472" s="356">
        <f t="shared" ref="Y472:Y535" si="143">SUM(R472:X472)</f>
        <v>27016815.758654732</v>
      </c>
      <c r="AA472" s="357">
        <f>+Bono!J472</f>
        <v>489787.77619277715</v>
      </c>
      <c r="AC472" s="378">
        <f t="shared" ref="AC472:AC535" si="144">+B472/12</f>
        <v>37.416666666666664</v>
      </c>
      <c r="AD472" s="356">
        <f t="shared" ref="AD472:AD535" si="145">+AA472+Y472+L472</f>
        <v>28522780.08037819</v>
      </c>
    </row>
    <row r="473" spans="2:30" x14ac:dyDescent="0.25">
      <c r="B473" s="356">
        <f t="shared" ref="B473:B536" si="146">+B472+1</f>
        <v>450</v>
      </c>
      <c r="C473" s="357">
        <f t="shared" si="132"/>
        <v>37</v>
      </c>
      <c r="D473" s="357">
        <f t="shared" si="133"/>
        <v>6</v>
      </c>
      <c r="E473" s="357">
        <f t="shared" si="134"/>
        <v>66</v>
      </c>
      <c r="F473" s="356">
        <f t="shared" ref="F473:F536" si="147">L472</f>
        <v>1016176.5455306814</v>
      </c>
      <c r="H473" s="356">
        <f t="shared" si="140"/>
        <v>8103.134474619973</v>
      </c>
      <c r="I473" s="356">
        <v>0</v>
      </c>
      <c r="J473" s="360">
        <f>-SUM(F473:H473)*$J$21</f>
        <v>-9218.517120047713</v>
      </c>
      <c r="K473" s="356">
        <f t="shared" ref="K473:K536" si="148">-SUM(F473:J473)*0.1%</f>
        <v>-1015.0611628852537</v>
      </c>
      <c r="L473" s="356">
        <f t="shared" si="141"/>
        <v>1014046.1017223684</v>
      </c>
      <c r="N473" s="356">
        <f t="shared" ref="N473:N536" si="149">+N472+1</f>
        <v>450</v>
      </c>
      <c r="O473" s="357">
        <f t="shared" si="135"/>
        <v>37</v>
      </c>
      <c r="P473" s="357">
        <f t="shared" si="136"/>
        <v>6</v>
      </c>
      <c r="Q473" s="357">
        <f t="shared" si="137"/>
        <v>37</v>
      </c>
      <c r="R473" s="356">
        <f t="shared" ref="R473:R536" si="150">Y472</f>
        <v>27016815.758654732</v>
      </c>
      <c r="S473" s="356">
        <f>IF($G$4="mensual",S472,0)</f>
        <v>10000</v>
      </c>
      <c r="U473" s="356">
        <f t="shared" si="138"/>
        <v>215515.62420562207</v>
      </c>
      <c r="V473" s="356">
        <f t="shared" si="139"/>
        <v>-325.22844703784045</v>
      </c>
      <c r="X473" s="356">
        <f t="shared" si="142"/>
        <v>-27242.331382860357</v>
      </c>
      <c r="Y473" s="356">
        <f t="shared" si="143"/>
        <v>27214763.823030457</v>
      </c>
      <c r="AA473" s="357">
        <f>+Bono!J473</f>
        <v>488384.6567015692</v>
      </c>
      <c r="AC473" s="378">
        <f t="shared" si="144"/>
        <v>37.5</v>
      </c>
      <c r="AD473" s="356">
        <f t="shared" si="145"/>
        <v>28717194.581454393</v>
      </c>
    </row>
    <row r="474" spans="2:30" x14ac:dyDescent="0.25">
      <c r="B474" s="356">
        <f t="shared" si="146"/>
        <v>451</v>
      </c>
      <c r="C474" s="357">
        <f t="shared" si="132"/>
        <v>37</v>
      </c>
      <c r="D474" s="357">
        <f t="shared" si="133"/>
        <v>7</v>
      </c>
      <c r="E474" s="357">
        <f t="shared" si="134"/>
        <v>66</v>
      </c>
      <c r="F474" s="356">
        <f t="shared" si="147"/>
        <v>1014046.1017223684</v>
      </c>
      <c r="H474" s="356">
        <f t="shared" si="140"/>
        <v>8086.146016516597</v>
      </c>
      <c r="I474" s="356">
        <v>0</v>
      </c>
      <c r="J474" s="356">
        <v>0</v>
      </c>
      <c r="K474" s="356">
        <f t="shared" si="148"/>
        <v>-1022.132247738885</v>
      </c>
      <c r="L474" s="356">
        <f t="shared" si="141"/>
        <v>1021110.1154911461</v>
      </c>
      <c r="N474" s="356">
        <f t="shared" si="149"/>
        <v>451</v>
      </c>
      <c r="O474" s="357">
        <f t="shared" si="135"/>
        <v>37</v>
      </c>
      <c r="P474" s="357">
        <f t="shared" si="136"/>
        <v>7</v>
      </c>
      <c r="Q474" s="357">
        <f t="shared" si="137"/>
        <v>37</v>
      </c>
      <c r="R474" s="356">
        <f t="shared" si="150"/>
        <v>27214763.823030457</v>
      </c>
      <c r="S474" s="356">
        <f>+IF($G$4="mensual",S468,IF($G$4="trimestral",S468,IF($G$4="semestral",S468,0)))</f>
        <v>10000</v>
      </c>
      <c r="U474" s="356">
        <f t="shared" si="138"/>
        <v>217094.08986858377</v>
      </c>
      <c r="V474" s="356">
        <f t="shared" si="139"/>
        <v>-325.22844703784045</v>
      </c>
      <c r="X474" s="356">
        <f t="shared" si="142"/>
        <v>-27441.85791289904</v>
      </c>
      <c r="Y474" s="356">
        <f t="shared" si="143"/>
        <v>27414090.826539103</v>
      </c>
      <c r="AA474" s="357">
        <f>+Bono!J474</f>
        <v>491412.6982222328</v>
      </c>
      <c r="AC474" s="378">
        <f t="shared" si="144"/>
        <v>37.583333333333336</v>
      </c>
      <c r="AD474" s="356">
        <f t="shared" si="145"/>
        <v>28926613.64025248</v>
      </c>
    </row>
    <row r="475" spans="2:30" x14ac:dyDescent="0.25">
      <c r="B475" s="356">
        <f t="shared" si="146"/>
        <v>452</v>
      </c>
      <c r="C475" s="357">
        <f t="shared" si="132"/>
        <v>37</v>
      </c>
      <c r="D475" s="357">
        <f t="shared" si="133"/>
        <v>8</v>
      </c>
      <c r="E475" s="357">
        <f t="shared" si="134"/>
        <v>66</v>
      </c>
      <c r="F475" s="356">
        <f t="shared" si="147"/>
        <v>1021110.1154911461</v>
      </c>
      <c r="H475" s="356">
        <f t="shared" si="140"/>
        <v>8142.47545430054</v>
      </c>
      <c r="I475" s="356">
        <v>0</v>
      </c>
      <c r="J475" s="356">
        <v>0</v>
      </c>
      <c r="K475" s="356">
        <f t="shared" si="148"/>
        <v>-1029.2525909454466</v>
      </c>
      <c r="L475" s="356">
        <f t="shared" si="141"/>
        <v>1028223.3383545012</v>
      </c>
      <c r="N475" s="356">
        <f t="shared" si="149"/>
        <v>452</v>
      </c>
      <c r="O475" s="357">
        <f t="shared" si="135"/>
        <v>37</v>
      </c>
      <c r="P475" s="357">
        <f t="shared" si="136"/>
        <v>8</v>
      </c>
      <c r="Q475" s="357">
        <f t="shared" si="137"/>
        <v>37</v>
      </c>
      <c r="R475" s="356">
        <f t="shared" si="150"/>
        <v>27414090.826539103</v>
      </c>
      <c r="S475" s="356">
        <f>IF($G$4="mensual",S474,0)</f>
        <v>10000</v>
      </c>
      <c r="U475" s="356">
        <f t="shared" si="138"/>
        <v>218683.55138583432</v>
      </c>
      <c r="V475" s="356">
        <f t="shared" si="139"/>
        <v>-325.22844703784045</v>
      </c>
      <c r="X475" s="356">
        <f t="shared" si="142"/>
        <v>-27642.77437792494</v>
      </c>
      <c r="Y475" s="356">
        <f t="shared" si="143"/>
        <v>27614806.375099976</v>
      </c>
      <c r="AA475" s="357">
        <f>+Bono!J475</f>
        <v>494459.5139515556</v>
      </c>
      <c r="AC475" s="378">
        <f t="shared" si="144"/>
        <v>37.666666666666664</v>
      </c>
      <c r="AD475" s="356">
        <f t="shared" si="145"/>
        <v>29137489.227406032</v>
      </c>
    </row>
    <row r="476" spans="2:30" x14ac:dyDescent="0.25">
      <c r="B476" s="356">
        <f t="shared" si="146"/>
        <v>453</v>
      </c>
      <c r="C476" s="357">
        <f t="shared" si="132"/>
        <v>37</v>
      </c>
      <c r="D476" s="357">
        <f t="shared" si="133"/>
        <v>9</v>
      </c>
      <c r="E476" s="357">
        <f t="shared" si="134"/>
        <v>66</v>
      </c>
      <c r="F476" s="356">
        <f t="shared" si="147"/>
        <v>1028223.3383545012</v>
      </c>
      <c r="H476" s="356">
        <f t="shared" si="140"/>
        <v>8199.197292315022</v>
      </c>
      <c r="I476" s="356">
        <v>0</v>
      </c>
      <c r="J476" s="360">
        <f>-SUM(F476:H476)*$J$21</f>
        <v>-9327.802820821347</v>
      </c>
      <c r="K476" s="356">
        <f t="shared" si="148"/>
        <v>-1027.094732825995</v>
      </c>
      <c r="L476" s="356">
        <f t="shared" si="141"/>
        <v>1026067.638093169</v>
      </c>
      <c r="N476" s="356">
        <f t="shared" si="149"/>
        <v>453</v>
      </c>
      <c r="O476" s="357">
        <f t="shared" si="135"/>
        <v>37</v>
      </c>
      <c r="P476" s="357">
        <f t="shared" si="136"/>
        <v>9</v>
      </c>
      <c r="Q476" s="357">
        <f t="shared" si="137"/>
        <v>37</v>
      </c>
      <c r="R476" s="356">
        <f t="shared" si="150"/>
        <v>27614806.375099976</v>
      </c>
      <c r="S476" s="356">
        <f>IF($G$4="mensual",S475,0)</f>
        <v>10000</v>
      </c>
      <c r="U476" s="356">
        <f t="shared" si="138"/>
        <v>220284.08535632316</v>
      </c>
      <c r="V476" s="356">
        <f t="shared" si="139"/>
        <v>-325.22844703784045</v>
      </c>
      <c r="X476" s="356">
        <f t="shared" si="142"/>
        <v>-27845.0904604563</v>
      </c>
      <c r="Y476" s="356">
        <f t="shared" si="143"/>
        <v>27816920.141548805</v>
      </c>
      <c r="AA476" s="357">
        <f>+Bono!J476</f>
        <v>493043.0110999908</v>
      </c>
      <c r="AC476" s="378">
        <f t="shared" si="144"/>
        <v>37.75</v>
      </c>
      <c r="AD476" s="356">
        <f t="shared" si="145"/>
        <v>29336030.790741965</v>
      </c>
    </row>
    <row r="477" spans="2:30" x14ac:dyDescent="0.25">
      <c r="B477" s="356">
        <f t="shared" si="146"/>
        <v>454</v>
      </c>
      <c r="C477" s="357">
        <f t="shared" si="132"/>
        <v>37</v>
      </c>
      <c r="D477" s="357">
        <f t="shared" si="133"/>
        <v>10</v>
      </c>
      <c r="E477" s="357">
        <f t="shared" si="134"/>
        <v>66</v>
      </c>
      <c r="F477" s="356">
        <f t="shared" si="147"/>
        <v>1026067.638093169</v>
      </c>
      <c r="H477" s="356">
        <f t="shared" si="140"/>
        <v>8182.007435708535</v>
      </c>
      <c r="I477" s="356">
        <v>0</v>
      </c>
      <c r="J477" s="356">
        <v>0</v>
      </c>
      <c r="K477" s="356">
        <f t="shared" si="148"/>
        <v>-1034.2496455288776</v>
      </c>
      <c r="L477" s="356">
        <f t="shared" si="141"/>
        <v>1033215.3958833487</v>
      </c>
      <c r="N477" s="356">
        <f t="shared" si="149"/>
        <v>454</v>
      </c>
      <c r="O477" s="357">
        <f t="shared" si="135"/>
        <v>37</v>
      </c>
      <c r="P477" s="357">
        <f t="shared" si="136"/>
        <v>10</v>
      </c>
      <c r="Q477" s="357">
        <f t="shared" si="137"/>
        <v>37</v>
      </c>
      <c r="R477" s="356">
        <f t="shared" si="150"/>
        <v>27816920.141548805</v>
      </c>
      <c r="S477" s="356">
        <f>IF($G$4="mensual",S468,IF($G$4="trimestral",S468,0))</f>
        <v>10000</v>
      </c>
      <c r="U477" s="356">
        <f t="shared" si="138"/>
        <v>221895.7689126008</v>
      </c>
      <c r="V477" s="356">
        <f t="shared" si="139"/>
        <v>-325.22844703784045</v>
      </c>
      <c r="X477" s="356">
        <f t="shared" si="142"/>
        <v>-28048.815910461406</v>
      </c>
      <c r="Y477" s="356">
        <f t="shared" si="143"/>
        <v>28020441.866103906</v>
      </c>
      <c r="AA477" s="357">
        <f>+Bono!J477</f>
        <v>496099.9349582603</v>
      </c>
      <c r="AC477" s="378">
        <f t="shared" si="144"/>
        <v>37.833333333333336</v>
      </c>
      <c r="AD477" s="356">
        <f t="shared" si="145"/>
        <v>29549757.196945515</v>
      </c>
    </row>
    <row r="478" spans="2:30" x14ac:dyDescent="0.25">
      <c r="B478" s="356">
        <f t="shared" si="146"/>
        <v>455</v>
      </c>
      <c r="C478" s="357">
        <f t="shared" si="132"/>
        <v>37</v>
      </c>
      <c r="D478" s="357">
        <f t="shared" si="133"/>
        <v>11</v>
      </c>
      <c r="E478" s="357">
        <f t="shared" si="134"/>
        <v>66</v>
      </c>
      <c r="F478" s="356">
        <f t="shared" si="147"/>
        <v>1033215.3958833487</v>
      </c>
      <c r="H478" s="356">
        <f t="shared" si="140"/>
        <v>8239.00466007922</v>
      </c>
      <c r="I478" s="356">
        <v>0</v>
      </c>
      <c r="J478" s="356">
        <v>0</v>
      </c>
      <c r="K478" s="356">
        <f t="shared" si="148"/>
        <v>-1041.454400543428</v>
      </c>
      <c r="L478" s="356">
        <f t="shared" si="141"/>
        <v>1040412.9461428844</v>
      </c>
      <c r="N478" s="356">
        <f t="shared" si="149"/>
        <v>455</v>
      </c>
      <c r="O478" s="357">
        <f t="shared" si="135"/>
        <v>37</v>
      </c>
      <c r="P478" s="357">
        <f t="shared" si="136"/>
        <v>11</v>
      </c>
      <c r="Q478" s="357">
        <f t="shared" si="137"/>
        <v>37</v>
      </c>
      <c r="R478" s="356">
        <f t="shared" si="150"/>
        <v>28020441.866103906</v>
      </c>
      <c r="S478" s="356">
        <f>IF($G$17="si",S466*(1+$G$20),S466)</f>
        <v>10000</v>
      </c>
      <c r="U478" s="356">
        <f t="shared" si="138"/>
        <v>223518.67972453585</v>
      </c>
      <c r="V478" s="356">
        <f t="shared" si="139"/>
        <v>-325.22844703784045</v>
      </c>
      <c r="X478" s="356">
        <f t="shared" si="142"/>
        <v>-28253.960545828442</v>
      </c>
      <c r="Y478" s="356">
        <f t="shared" si="143"/>
        <v>28225381.356835578</v>
      </c>
      <c r="AA478" s="357">
        <f>+Bono!J478</f>
        <v>499175.8120990322</v>
      </c>
      <c r="AC478" s="378">
        <f t="shared" si="144"/>
        <v>37.916666666666664</v>
      </c>
      <c r="AD478" s="356">
        <f t="shared" si="145"/>
        <v>29764970.115077496</v>
      </c>
    </row>
    <row r="479" spans="2:30" x14ac:dyDescent="0.25">
      <c r="B479" s="356">
        <f t="shared" si="146"/>
        <v>456</v>
      </c>
      <c r="C479" s="357">
        <f t="shared" si="132"/>
        <v>37</v>
      </c>
      <c r="D479" s="357">
        <f t="shared" si="133"/>
        <v>12</v>
      </c>
      <c r="E479" s="357">
        <f t="shared" si="134"/>
        <v>66</v>
      </c>
      <c r="F479" s="356">
        <f t="shared" si="147"/>
        <v>1040412.9461428844</v>
      </c>
      <c r="H479" s="356">
        <f t="shared" si="140"/>
        <v>8296.39893659285</v>
      </c>
      <c r="I479" s="356">
        <v>0</v>
      </c>
      <c r="J479" s="360">
        <f>-SUM(F479:H479)*$J$21</f>
        <v>-9438.384105715295</v>
      </c>
      <c r="K479" s="356">
        <f t="shared" si="148"/>
        <v>-1039.270960973762</v>
      </c>
      <c r="L479" s="356">
        <f t="shared" si="141"/>
        <v>1038231.690012788</v>
      </c>
      <c r="N479" s="356">
        <f t="shared" si="149"/>
        <v>456</v>
      </c>
      <c r="O479" s="357">
        <f t="shared" si="135"/>
        <v>37</v>
      </c>
      <c r="P479" s="357">
        <f t="shared" si="136"/>
        <v>12</v>
      </c>
      <c r="Q479" s="357">
        <f t="shared" si="137"/>
        <v>37</v>
      </c>
      <c r="R479" s="356">
        <f t="shared" si="150"/>
        <v>28225381.356835578</v>
      </c>
      <c r="S479" s="356">
        <f>IF($G$4="mensual",S478,0)</f>
        <v>10000</v>
      </c>
      <c r="U479" s="356">
        <f t="shared" si="138"/>
        <v>225152.8960030582</v>
      </c>
      <c r="V479" s="356">
        <f t="shared" si="139"/>
        <v>-325.22844703784045</v>
      </c>
      <c r="X479" s="356">
        <f t="shared" si="142"/>
        <v>-28460.53425283864</v>
      </c>
      <c r="Y479" s="356">
        <f t="shared" si="143"/>
        <v>28431748.49013876</v>
      </c>
      <c r="AA479" s="357">
        <f>+Bono!J479</f>
        <v>497745.7982327408</v>
      </c>
      <c r="AC479" s="378">
        <f t="shared" si="144"/>
        <v>38</v>
      </c>
      <c r="AD479" s="356">
        <f t="shared" si="145"/>
        <v>29967725.97838429</v>
      </c>
    </row>
    <row r="480" spans="2:30" x14ac:dyDescent="0.25">
      <c r="B480" s="356">
        <f t="shared" si="146"/>
        <v>457</v>
      </c>
      <c r="C480" s="357">
        <f t="shared" si="132"/>
        <v>38</v>
      </c>
      <c r="D480" s="357">
        <f t="shared" si="133"/>
        <v>1</v>
      </c>
      <c r="E480" s="357">
        <f t="shared" si="134"/>
        <v>67</v>
      </c>
      <c r="F480" s="356">
        <f t="shared" si="147"/>
        <v>1038231.690012788</v>
      </c>
      <c r="H480" s="356">
        <f t="shared" si="140"/>
        <v>8279.005293900054</v>
      </c>
      <c r="I480" s="356">
        <v>0</v>
      </c>
      <c r="J480" s="356">
        <v>0</v>
      </c>
      <c r="K480" s="356">
        <f t="shared" si="148"/>
        <v>-1046.5106953066881</v>
      </c>
      <c r="L480" s="356">
        <f t="shared" si="141"/>
        <v>1045464.1846113814</v>
      </c>
      <c r="N480" s="356">
        <f t="shared" si="149"/>
        <v>457</v>
      </c>
      <c r="O480" s="357">
        <f t="shared" si="135"/>
        <v>38</v>
      </c>
      <c r="P480" s="357">
        <f t="shared" si="136"/>
        <v>1</v>
      </c>
      <c r="Q480" s="357">
        <f t="shared" si="137"/>
        <v>38</v>
      </c>
      <c r="R480" s="356">
        <f t="shared" si="150"/>
        <v>28431748.49013876</v>
      </c>
      <c r="S480" s="356">
        <f>IF($G$17="si",S468*(1+$G$20),S468)</f>
        <v>10000</v>
      </c>
      <c r="U480" s="356">
        <f t="shared" si="138"/>
        <v>226798.4965039281</v>
      </c>
      <c r="V480" s="356">
        <f>V479*(1+$G$18)</f>
        <v>-338.2375849193541</v>
      </c>
      <c r="X480" s="356">
        <f t="shared" si="142"/>
        <v>-28668.54698664269</v>
      </c>
      <c r="Y480" s="356">
        <f t="shared" si="143"/>
        <v>28639540.202071127</v>
      </c>
      <c r="AA480" s="357">
        <f>+Bono!J480</f>
        <v>500831.8799167228</v>
      </c>
      <c r="AC480" s="378">
        <f t="shared" si="144"/>
        <v>38.083333333333336</v>
      </c>
      <c r="AD480" s="356">
        <f t="shared" si="145"/>
        <v>30185836.26659923</v>
      </c>
    </row>
    <row r="481" spans="2:30" x14ac:dyDescent="0.25">
      <c r="B481" s="356">
        <f t="shared" si="146"/>
        <v>458</v>
      </c>
      <c r="C481" s="357">
        <f t="shared" si="132"/>
        <v>38</v>
      </c>
      <c r="D481" s="357">
        <f t="shared" si="133"/>
        <v>2</v>
      </c>
      <c r="E481" s="357">
        <f t="shared" si="134"/>
        <v>67</v>
      </c>
      <c r="F481" s="356">
        <f t="shared" si="147"/>
        <v>1045464.1846113814</v>
      </c>
      <c r="H481" s="356">
        <f t="shared" si="140"/>
        <v>8336.678221480524</v>
      </c>
      <c r="I481" s="356">
        <v>0</v>
      </c>
      <c r="J481" s="356">
        <v>0</v>
      </c>
      <c r="K481" s="356">
        <f t="shared" si="148"/>
        <v>-1053.8008628328619</v>
      </c>
      <c r="L481" s="356">
        <f t="shared" si="141"/>
        <v>1052747.061970029</v>
      </c>
      <c r="N481" s="356">
        <f t="shared" si="149"/>
        <v>458</v>
      </c>
      <c r="O481" s="357">
        <f t="shared" si="135"/>
        <v>38</v>
      </c>
      <c r="P481" s="357">
        <f t="shared" si="136"/>
        <v>2</v>
      </c>
      <c r="Q481" s="357">
        <f t="shared" si="137"/>
        <v>38</v>
      </c>
      <c r="R481" s="356">
        <f t="shared" si="150"/>
        <v>28639540.202071127</v>
      </c>
      <c r="S481" s="356">
        <f>IF($G$4="mensual",S480,0)</f>
        <v>10000</v>
      </c>
      <c r="U481" s="356">
        <f t="shared" si="138"/>
        <v>228455.4567948391</v>
      </c>
      <c r="V481" s="356">
        <f>V480</f>
        <v>-338.2375849193541</v>
      </c>
      <c r="X481" s="356">
        <f t="shared" si="142"/>
        <v>-28877.995658865966</v>
      </c>
      <c r="Y481" s="356">
        <f t="shared" si="143"/>
        <v>28848779.42562218</v>
      </c>
      <c r="AA481" s="357">
        <f>+Bono!J481</f>
        <v>503937.0956651089</v>
      </c>
      <c r="AC481" s="378">
        <f t="shared" si="144"/>
        <v>38.166666666666664</v>
      </c>
      <c r="AD481" s="356">
        <f t="shared" si="145"/>
        <v>30405463.583257318</v>
      </c>
    </row>
    <row r="482" spans="2:30" x14ac:dyDescent="0.25">
      <c r="B482" s="356">
        <f t="shared" si="146"/>
        <v>459</v>
      </c>
      <c r="C482" s="357">
        <f t="shared" si="132"/>
        <v>38</v>
      </c>
      <c r="D482" s="357">
        <f t="shared" si="133"/>
        <v>3</v>
      </c>
      <c r="E482" s="357">
        <f t="shared" si="134"/>
        <v>67</v>
      </c>
      <c r="F482" s="356">
        <f t="shared" si="147"/>
        <v>1052747.061970029</v>
      </c>
      <c r="H482" s="356">
        <f t="shared" si="140"/>
        <v>8394.752908264865</v>
      </c>
      <c r="I482" s="356">
        <v>0</v>
      </c>
      <c r="J482" s="360">
        <f>-SUM(F482:H482)*$J$21</f>
        <v>-9550.276333904645</v>
      </c>
      <c r="K482" s="356">
        <f t="shared" si="148"/>
        <v>-1051.591538544389</v>
      </c>
      <c r="L482" s="356">
        <f t="shared" si="141"/>
        <v>1050539.947005845</v>
      </c>
      <c r="N482" s="356">
        <f t="shared" si="149"/>
        <v>459</v>
      </c>
      <c r="O482" s="357">
        <f t="shared" si="135"/>
        <v>38</v>
      </c>
      <c r="P482" s="357">
        <f t="shared" si="136"/>
        <v>3</v>
      </c>
      <c r="Q482" s="357">
        <f t="shared" si="137"/>
        <v>38</v>
      </c>
      <c r="R482" s="356">
        <f t="shared" si="150"/>
        <v>28848779.42562218</v>
      </c>
      <c r="S482" s="356">
        <f>IF($G$4="mensual",S481,0)</f>
        <v>10000</v>
      </c>
      <c r="U482" s="356">
        <f t="shared" si="138"/>
        <v>230123.95974666998</v>
      </c>
      <c r="V482" s="356">
        <f t="shared" si="139"/>
        <v>-338.2375849193541</v>
      </c>
      <c r="X482" s="356">
        <f t="shared" si="142"/>
        <v>-29088.903385368852</v>
      </c>
      <c r="Y482" s="356">
        <f t="shared" si="143"/>
        <v>29059476.244398564</v>
      </c>
      <c r="AA482" s="357">
        <f>+Bono!J482</f>
        <v>502493.4419121166</v>
      </c>
      <c r="AC482" s="378">
        <f t="shared" si="144"/>
        <v>38.25</v>
      </c>
      <c r="AD482" s="356">
        <f t="shared" si="145"/>
        <v>30612509.633316528</v>
      </c>
    </row>
    <row r="483" spans="2:30" x14ac:dyDescent="0.25">
      <c r="B483" s="356">
        <f t="shared" si="146"/>
        <v>460</v>
      </c>
      <c r="C483" s="357">
        <f t="shared" si="132"/>
        <v>38</v>
      </c>
      <c r="D483" s="357">
        <f t="shared" si="133"/>
        <v>4</v>
      </c>
      <c r="E483" s="357">
        <f t="shared" si="134"/>
        <v>67</v>
      </c>
      <c r="F483" s="356">
        <f t="shared" si="147"/>
        <v>1050539.947005845</v>
      </c>
      <c r="H483" s="356">
        <f t="shared" si="140"/>
        <v>8377.153063597725</v>
      </c>
      <c r="I483" s="356">
        <v>0</v>
      </c>
      <c r="J483" s="356">
        <v>0</v>
      </c>
      <c r="K483" s="356">
        <f t="shared" si="148"/>
        <v>-1058.9171000694425</v>
      </c>
      <c r="L483" s="356">
        <f t="shared" si="141"/>
        <v>1057858.1829693732</v>
      </c>
      <c r="N483" s="356">
        <f t="shared" si="149"/>
        <v>460</v>
      </c>
      <c r="O483" s="357">
        <f t="shared" si="135"/>
        <v>38</v>
      </c>
      <c r="P483" s="357">
        <f t="shared" si="136"/>
        <v>4</v>
      </c>
      <c r="Q483" s="357">
        <f t="shared" si="137"/>
        <v>38</v>
      </c>
      <c r="R483" s="356">
        <f t="shared" si="150"/>
        <v>29059476.244398564</v>
      </c>
      <c r="S483" s="356">
        <f>IF($G$4="mensual",S480,IF($G$4="trimestral",S480,0))</f>
        <v>10000</v>
      </c>
      <c r="U483" s="356">
        <f t="shared" si="138"/>
        <v>231804.08576751614</v>
      </c>
      <c r="V483" s="356">
        <f t="shared" si="139"/>
        <v>-338.2375849193541</v>
      </c>
      <c r="X483" s="356">
        <f t="shared" si="142"/>
        <v>-29301.28033016608</v>
      </c>
      <c r="Y483" s="356">
        <f t="shared" si="143"/>
        <v>29271640.812250994</v>
      </c>
      <c r="AA483" s="357">
        <f>+Bono!J483</f>
        <v>505608.95953760337</v>
      </c>
      <c r="AC483" s="378">
        <f t="shared" si="144"/>
        <v>38.333333333333336</v>
      </c>
      <c r="AD483" s="356">
        <f t="shared" si="145"/>
        <v>30835107.95475797</v>
      </c>
    </row>
    <row r="484" spans="2:30" x14ac:dyDescent="0.25">
      <c r="B484" s="356">
        <f t="shared" si="146"/>
        <v>461</v>
      </c>
      <c r="C484" s="357">
        <f t="shared" ref="C484:C547" si="151">C472+1</f>
        <v>38</v>
      </c>
      <c r="D484" s="357">
        <f t="shared" ref="D484:D547" si="152">D472</f>
        <v>5</v>
      </c>
      <c r="E484" s="357">
        <f t="shared" ref="E484:E547" si="153">E472+1</f>
        <v>67</v>
      </c>
      <c r="F484" s="356">
        <f t="shared" si="147"/>
        <v>1057858.1829693732</v>
      </c>
      <c r="H484" s="356">
        <f t="shared" si="140"/>
        <v>8435.509704862754</v>
      </c>
      <c r="I484" s="356">
        <v>0</v>
      </c>
      <c r="J484" s="356">
        <v>0</v>
      </c>
      <c r="K484" s="356">
        <f t="shared" si="148"/>
        <v>-1066.293692674236</v>
      </c>
      <c r="L484" s="356">
        <f t="shared" si="141"/>
        <v>1065227.3989815617</v>
      </c>
      <c r="N484" s="356">
        <f t="shared" si="149"/>
        <v>461</v>
      </c>
      <c r="O484" s="357">
        <f t="shared" ref="O484:O547" si="154">O472+1</f>
        <v>38</v>
      </c>
      <c r="P484" s="357">
        <f t="shared" ref="P484:P547" si="155">P472</f>
        <v>5</v>
      </c>
      <c r="Q484" s="357">
        <f t="shared" ref="Q484:Q547" si="156">Q472+1</f>
        <v>38</v>
      </c>
      <c r="R484" s="356">
        <f t="shared" si="150"/>
        <v>29271640.812250994</v>
      </c>
      <c r="S484" s="356">
        <f>IF($G$4="mensual",S483,0)</f>
        <v>10000</v>
      </c>
      <c r="U484" s="356">
        <f t="shared" ref="U484:U547" si="157">SUM(R484:T484)*$G$8</f>
        <v>233495.91582560912</v>
      </c>
      <c r="V484" s="356">
        <f t="shared" si="139"/>
        <v>-338.2375849193541</v>
      </c>
      <c r="X484" s="356">
        <f t="shared" si="142"/>
        <v>-29515.136728076603</v>
      </c>
      <c r="Y484" s="356">
        <f t="shared" si="143"/>
        <v>29485283.353763606</v>
      </c>
      <c r="AA484" s="357">
        <f>+Bono!J484</f>
        <v>508743.7937337458</v>
      </c>
      <c r="AC484" s="378">
        <f t="shared" si="144"/>
        <v>38.416666666666664</v>
      </c>
      <c r="AD484" s="356">
        <f t="shared" si="145"/>
        <v>31059254.546478912</v>
      </c>
    </row>
    <row r="485" spans="2:30" x14ac:dyDescent="0.25">
      <c r="B485" s="356">
        <f t="shared" si="146"/>
        <v>462</v>
      </c>
      <c r="C485" s="357">
        <f t="shared" si="151"/>
        <v>38</v>
      </c>
      <c r="D485" s="357">
        <f t="shared" si="152"/>
        <v>6</v>
      </c>
      <c r="E485" s="357">
        <f t="shared" si="153"/>
        <v>67</v>
      </c>
      <c r="F485" s="356">
        <f t="shared" si="147"/>
        <v>1065227.3989815617</v>
      </c>
      <c r="H485" s="356">
        <f t="shared" si="140"/>
        <v>8494.272868194872</v>
      </c>
      <c r="I485" s="356">
        <v>0</v>
      </c>
      <c r="J485" s="360">
        <f>-SUM(F485:H485)*$J$21</f>
        <v>-9663.49504664781</v>
      </c>
      <c r="K485" s="356">
        <f t="shared" si="148"/>
        <v>-1064.0581768031088</v>
      </c>
      <c r="L485" s="356">
        <f t="shared" si="141"/>
        <v>1062994.1186263056</v>
      </c>
      <c r="N485" s="356">
        <f t="shared" si="149"/>
        <v>462</v>
      </c>
      <c r="O485" s="357">
        <f t="shared" si="154"/>
        <v>38</v>
      </c>
      <c r="P485" s="357">
        <f t="shared" si="155"/>
        <v>6</v>
      </c>
      <c r="Q485" s="357">
        <f t="shared" si="156"/>
        <v>38</v>
      </c>
      <c r="R485" s="356">
        <f t="shared" si="150"/>
        <v>29485283.353763606</v>
      </c>
      <c r="S485" s="356">
        <f>IF($G$4="mensual",S484,0)</f>
        <v>10000</v>
      </c>
      <c r="U485" s="356">
        <f t="shared" si="157"/>
        <v>235199.53145321857</v>
      </c>
      <c r="V485" s="356">
        <f t="shared" si="139"/>
        <v>-338.2375849193541</v>
      </c>
      <c r="X485" s="356">
        <f t="shared" si="142"/>
        <v>-29730.482885216825</v>
      </c>
      <c r="Y485" s="356">
        <f t="shared" si="143"/>
        <v>29700414.16474669</v>
      </c>
      <c r="AA485" s="357">
        <f>+Bono!J485</f>
        <v>507286.3699928603</v>
      </c>
      <c r="AC485" s="378">
        <f t="shared" si="144"/>
        <v>38.5</v>
      </c>
      <c r="AD485" s="356">
        <f t="shared" si="145"/>
        <v>31270694.653365854</v>
      </c>
    </row>
    <row r="486" spans="2:30" x14ac:dyDescent="0.25">
      <c r="B486" s="356">
        <f t="shared" si="146"/>
        <v>463</v>
      </c>
      <c r="C486" s="357">
        <f t="shared" si="151"/>
        <v>38</v>
      </c>
      <c r="D486" s="357">
        <f t="shared" si="152"/>
        <v>7</v>
      </c>
      <c r="E486" s="357">
        <f t="shared" si="153"/>
        <v>67</v>
      </c>
      <c r="F486" s="356">
        <f t="shared" si="147"/>
        <v>1062994.1186263056</v>
      </c>
      <c r="H486" s="356">
        <f t="shared" si="140"/>
        <v>8476.464377024948</v>
      </c>
      <c r="I486" s="356">
        <v>0</v>
      </c>
      <c r="J486" s="356">
        <v>0</v>
      </c>
      <c r="K486" s="356">
        <f t="shared" si="148"/>
        <v>-1071.4705830033306</v>
      </c>
      <c r="L486" s="356">
        <f t="shared" si="141"/>
        <v>1070399.1124203273</v>
      </c>
      <c r="N486" s="356">
        <f t="shared" si="149"/>
        <v>463</v>
      </c>
      <c r="O486" s="357">
        <f t="shared" si="154"/>
        <v>38</v>
      </c>
      <c r="P486" s="357">
        <f t="shared" si="155"/>
        <v>7</v>
      </c>
      <c r="Q486" s="357">
        <f t="shared" si="156"/>
        <v>38</v>
      </c>
      <c r="R486" s="356">
        <f t="shared" si="150"/>
        <v>29700414.16474669</v>
      </c>
      <c r="S486" s="356">
        <f>+IF($G$4="mensual",S480,IF($G$4="trimestral",S480,IF($G$4="semestral",S480,0)))</f>
        <v>10000</v>
      </c>
      <c r="U486" s="356">
        <f t="shared" si="157"/>
        <v>236915.01475058164</v>
      </c>
      <c r="V486" s="356">
        <f t="shared" si="139"/>
        <v>-338.2375849193541</v>
      </c>
      <c r="X486" s="356">
        <f t="shared" si="142"/>
        <v>-29947.329179497272</v>
      </c>
      <c r="Y486" s="356">
        <f t="shared" si="143"/>
        <v>29917043.612732857</v>
      </c>
      <c r="AA486" s="357">
        <f>+Bono!J486</f>
        <v>510431.60432839295</v>
      </c>
      <c r="AC486" s="378">
        <f t="shared" si="144"/>
        <v>38.583333333333336</v>
      </c>
      <c r="AD486" s="356">
        <f t="shared" si="145"/>
        <v>31497874.32948158</v>
      </c>
    </row>
    <row r="487" spans="2:30" x14ac:dyDescent="0.25">
      <c r="B487" s="356">
        <f t="shared" si="146"/>
        <v>464</v>
      </c>
      <c r="C487" s="357">
        <f t="shared" si="151"/>
        <v>38</v>
      </c>
      <c r="D487" s="357">
        <f t="shared" si="152"/>
        <v>8</v>
      </c>
      <c r="E487" s="357">
        <f t="shared" si="153"/>
        <v>67</v>
      </c>
      <c r="F487" s="356">
        <f t="shared" si="147"/>
        <v>1070399.1124203273</v>
      </c>
      <c r="H487" s="356">
        <f t="shared" si="140"/>
        <v>8535.512837413637</v>
      </c>
      <c r="I487" s="356">
        <v>0</v>
      </c>
      <c r="J487" s="356">
        <v>0</v>
      </c>
      <c r="K487" s="356">
        <f t="shared" si="148"/>
        <v>-1078.934625257741</v>
      </c>
      <c r="L487" s="356">
        <f t="shared" si="141"/>
        <v>1077855.6906324832</v>
      </c>
      <c r="N487" s="356">
        <f t="shared" si="149"/>
        <v>464</v>
      </c>
      <c r="O487" s="357">
        <f t="shared" si="154"/>
        <v>38</v>
      </c>
      <c r="P487" s="357">
        <f t="shared" si="155"/>
        <v>8</v>
      </c>
      <c r="Q487" s="357">
        <f t="shared" si="156"/>
        <v>38</v>
      </c>
      <c r="R487" s="356">
        <f t="shared" si="150"/>
        <v>29917043.612732857</v>
      </c>
      <c r="S487" s="356">
        <f>IF($G$4="mensual",S486,0)</f>
        <v>10000</v>
      </c>
      <c r="U487" s="356">
        <f t="shared" si="157"/>
        <v>238642.44838985926</v>
      </c>
      <c r="V487" s="356">
        <f t="shared" si="139"/>
        <v>-338.2375849193541</v>
      </c>
      <c r="X487" s="356">
        <f t="shared" si="142"/>
        <v>-30165.686061122717</v>
      </c>
      <c r="Y487" s="356">
        <f t="shared" si="143"/>
        <v>30135182.137476675</v>
      </c>
      <c r="AA487" s="357">
        <f>+Bono!J487</f>
        <v>513596.3394816305</v>
      </c>
      <c r="AC487" s="378">
        <f t="shared" si="144"/>
        <v>38.666666666666664</v>
      </c>
      <c r="AD487" s="356">
        <f t="shared" si="145"/>
        <v>31726634.16759079</v>
      </c>
    </row>
    <row r="488" spans="2:30" x14ac:dyDescent="0.25">
      <c r="B488" s="356">
        <f t="shared" si="146"/>
        <v>465</v>
      </c>
      <c r="C488" s="357">
        <f t="shared" si="151"/>
        <v>38</v>
      </c>
      <c r="D488" s="357">
        <f t="shared" si="152"/>
        <v>9</v>
      </c>
      <c r="E488" s="357">
        <f t="shared" si="153"/>
        <v>67</v>
      </c>
      <c r="F488" s="356">
        <f t="shared" si="147"/>
        <v>1077855.6906324832</v>
      </c>
      <c r="H488" s="356">
        <f t="shared" si="140"/>
        <v>8594.972639196472</v>
      </c>
      <c r="I488" s="356">
        <v>0</v>
      </c>
      <c r="J488" s="360">
        <f>-SUM(F488:H488)*$J$21</f>
        <v>-9778.055969445119</v>
      </c>
      <c r="K488" s="356">
        <f t="shared" si="148"/>
        <v>-1076.6726073022348</v>
      </c>
      <c r="L488" s="356">
        <f t="shared" si="141"/>
        <v>1075595.9346949325</v>
      </c>
      <c r="N488" s="356">
        <f t="shared" si="149"/>
        <v>465</v>
      </c>
      <c r="O488" s="357">
        <f t="shared" si="154"/>
        <v>38</v>
      </c>
      <c r="P488" s="357">
        <f t="shared" si="155"/>
        <v>9</v>
      </c>
      <c r="Q488" s="357">
        <f t="shared" si="156"/>
        <v>38</v>
      </c>
      <c r="R488" s="356">
        <f t="shared" si="150"/>
        <v>30135182.137476675</v>
      </c>
      <c r="S488" s="356">
        <f>IF($G$4="mensual",S487,0)</f>
        <v>10000</v>
      </c>
      <c r="U488" s="356">
        <f t="shared" si="157"/>
        <v>240381.91561912035</v>
      </c>
      <c r="V488" s="356">
        <f t="shared" si="139"/>
        <v>-338.2375849193541</v>
      </c>
      <c r="X488" s="356">
        <f t="shared" si="142"/>
        <v>-30385.564053095797</v>
      </c>
      <c r="Y488" s="356">
        <f t="shared" si="143"/>
        <v>30354840.25145778</v>
      </c>
      <c r="AA488" s="357">
        <f>+Bono!J488</f>
        <v>512125.01441071625</v>
      </c>
      <c r="AC488" s="378">
        <f t="shared" si="144"/>
        <v>38.75</v>
      </c>
      <c r="AD488" s="356">
        <f t="shared" si="145"/>
        <v>31942561.200563427</v>
      </c>
    </row>
    <row r="489" spans="2:30" x14ac:dyDescent="0.25">
      <c r="B489" s="356">
        <f t="shared" si="146"/>
        <v>466</v>
      </c>
      <c r="C489" s="357">
        <f t="shared" si="151"/>
        <v>38</v>
      </c>
      <c r="D489" s="357">
        <f t="shared" si="152"/>
        <v>10</v>
      </c>
      <c r="E489" s="357">
        <f t="shared" si="153"/>
        <v>67</v>
      </c>
      <c r="F489" s="356">
        <f t="shared" si="147"/>
        <v>1075595.9346949325</v>
      </c>
      <c r="H489" s="356">
        <f t="shared" si="140"/>
        <v>8576.953028015394</v>
      </c>
      <c r="I489" s="356">
        <v>0</v>
      </c>
      <c r="J489" s="356">
        <v>0</v>
      </c>
      <c r="K489" s="356">
        <f t="shared" si="148"/>
        <v>-1084.172887722948</v>
      </c>
      <c r="L489" s="356">
        <f t="shared" si="141"/>
        <v>1083088.714835225</v>
      </c>
      <c r="N489" s="356">
        <f t="shared" si="149"/>
        <v>466</v>
      </c>
      <c r="O489" s="357">
        <f t="shared" si="154"/>
        <v>38</v>
      </c>
      <c r="P489" s="357">
        <f t="shared" si="155"/>
        <v>10</v>
      </c>
      <c r="Q489" s="357">
        <f t="shared" si="156"/>
        <v>38</v>
      </c>
      <c r="R489" s="356">
        <f t="shared" si="150"/>
        <v>30354840.25145778</v>
      </c>
      <c r="S489" s="356">
        <f>IF($G$4="mensual",S480,IF($G$4="trimestral",S480,0))</f>
        <v>10000</v>
      </c>
      <c r="U489" s="356">
        <f t="shared" si="157"/>
        <v>242133.50026635383</v>
      </c>
      <c r="V489" s="356">
        <f t="shared" si="139"/>
        <v>-338.2375849193541</v>
      </c>
      <c r="X489" s="356">
        <f t="shared" si="142"/>
        <v>-30606.973751724137</v>
      </c>
      <c r="Y489" s="356">
        <f t="shared" si="143"/>
        <v>30576028.540387493</v>
      </c>
      <c r="AA489" s="357">
        <f>+Bono!J489</f>
        <v>515300.24890288763</v>
      </c>
      <c r="AC489" s="378">
        <f t="shared" si="144"/>
        <v>38.833333333333336</v>
      </c>
      <c r="AD489" s="356">
        <f t="shared" si="145"/>
        <v>32174417.504125606</v>
      </c>
    </row>
    <row r="490" spans="2:30" x14ac:dyDescent="0.25">
      <c r="B490" s="356">
        <f t="shared" si="146"/>
        <v>467</v>
      </c>
      <c r="C490" s="357">
        <f t="shared" si="151"/>
        <v>38</v>
      </c>
      <c r="D490" s="357">
        <f t="shared" si="152"/>
        <v>11</v>
      </c>
      <c r="E490" s="357">
        <f t="shared" si="153"/>
        <v>67</v>
      </c>
      <c r="F490" s="356">
        <f t="shared" si="147"/>
        <v>1083088.714835225</v>
      </c>
      <c r="H490" s="356">
        <f t="shared" si="140"/>
        <v>8636.701509056988</v>
      </c>
      <c r="I490" s="356">
        <v>0</v>
      </c>
      <c r="J490" s="356">
        <v>0</v>
      </c>
      <c r="K490" s="356">
        <f t="shared" si="148"/>
        <v>-1091.725416344282</v>
      </c>
      <c r="L490" s="356">
        <f t="shared" si="141"/>
        <v>1090633.6909279376</v>
      </c>
      <c r="N490" s="356">
        <f t="shared" si="149"/>
        <v>467</v>
      </c>
      <c r="O490" s="357">
        <f t="shared" si="154"/>
        <v>38</v>
      </c>
      <c r="P490" s="357">
        <f t="shared" si="155"/>
        <v>11</v>
      </c>
      <c r="Q490" s="357">
        <f t="shared" si="156"/>
        <v>38</v>
      </c>
      <c r="R490" s="356">
        <f t="shared" si="150"/>
        <v>30576028.540387493</v>
      </c>
      <c r="S490" s="356">
        <f>IF($G$17="si",S478*(1+$G$20),S478)</f>
        <v>10000</v>
      </c>
      <c r="U490" s="356">
        <f t="shared" si="157"/>
        <v>243897.2867435083</v>
      </c>
      <c r="V490" s="356">
        <f t="shared" si="139"/>
        <v>-338.2375849193541</v>
      </c>
      <c r="X490" s="356">
        <f t="shared" si="142"/>
        <v>-30829.925827131</v>
      </c>
      <c r="Y490" s="356">
        <f t="shared" si="143"/>
        <v>30798757.66371895</v>
      </c>
      <c r="AA490" s="357">
        <f>+Bono!J490</f>
        <v>518495.17021721485</v>
      </c>
      <c r="AC490" s="378">
        <f t="shared" si="144"/>
        <v>38.916666666666664</v>
      </c>
      <c r="AD490" s="356">
        <f t="shared" si="145"/>
        <v>32407886.524864104</v>
      </c>
    </row>
    <row r="491" spans="2:30" x14ac:dyDescent="0.25">
      <c r="B491" s="356">
        <f t="shared" si="146"/>
        <v>468</v>
      </c>
      <c r="C491" s="357">
        <f t="shared" si="151"/>
        <v>38</v>
      </c>
      <c r="D491" s="357">
        <f t="shared" si="152"/>
        <v>12</v>
      </c>
      <c r="E491" s="357">
        <f t="shared" si="153"/>
        <v>67</v>
      </c>
      <c r="F491" s="356">
        <f t="shared" si="147"/>
        <v>1090633.6909279376</v>
      </c>
      <c r="H491" s="356">
        <f t="shared" si="140"/>
        <v>8696.866207953</v>
      </c>
      <c r="I491" s="356">
        <v>0</v>
      </c>
      <c r="J491" s="360">
        <f>-SUM(F491:H491)*$J$21</f>
        <v>-9893.975014223017</v>
      </c>
      <c r="K491" s="356">
        <f t="shared" si="148"/>
        <v>-1089.4365821216677</v>
      </c>
      <c r="L491" s="356">
        <f t="shared" si="141"/>
        <v>1088347.145539546</v>
      </c>
      <c r="N491" s="356">
        <f t="shared" si="149"/>
        <v>468</v>
      </c>
      <c r="O491" s="357">
        <f t="shared" si="154"/>
        <v>38</v>
      </c>
      <c r="P491" s="357">
        <f t="shared" si="155"/>
        <v>12</v>
      </c>
      <c r="Q491" s="357">
        <f t="shared" si="156"/>
        <v>38</v>
      </c>
      <c r="R491" s="356">
        <f t="shared" si="150"/>
        <v>30798757.66371895</v>
      </c>
      <c r="S491" s="356">
        <f>IF($G$4="mensual",S490,0)</f>
        <v>10000</v>
      </c>
      <c r="U491" s="356">
        <f t="shared" si="157"/>
        <v>245673.36005055998</v>
      </c>
      <c r="V491" s="356">
        <f t="shared" si="139"/>
        <v>-338.2375849193541</v>
      </c>
      <c r="X491" s="356">
        <f t="shared" si="142"/>
        <v>-31054.43102376951</v>
      </c>
      <c r="Y491" s="356">
        <f t="shared" si="143"/>
        <v>31023038.35516082</v>
      </c>
      <c r="AA491" s="357">
        <f>+Bono!J491</f>
        <v>517009.81122135743</v>
      </c>
      <c r="AC491" s="378">
        <f t="shared" si="144"/>
        <v>39</v>
      </c>
      <c r="AD491" s="356">
        <f t="shared" si="145"/>
        <v>32628395.311921723</v>
      </c>
    </row>
    <row r="492" spans="2:30" x14ac:dyDescent="0.25">
      <c r="B492" s="356">
        <f t="shared" si="146"/>
        <v>469</v>
      </c>
      <c r="C492" s="357">
        <f t="shared" si="151"/>
        <v>39</v>
      </c>
      <c r="D492" s="357">
        <f t="shared" si="152"/>
        <v>1</v>
      </c>
      <c r="E492" s="357">
        <f t="shared" si="153"/>
        <v>68</v>
      </c>
      <c r="F492" s="356">
        <f t="shared" si="147"/>
        <v>1088347.145539546</v>
      </c>
      <c r="H492" s="356">
        <f t="shared" si="140"/>
        <v>8678.632973928903</v>
      </c>
      <c r="I492" s="356">
        <v>0</v>
      </c>
      <c r="J492" s="356">
        <v>0</v>
      </c>
      <c r="K492" s="356">
        <f t="shared" si="148"/>
        <v>-1097.025778513475</v>
      </c>
      <c r="L492" s="356">
        <f t="shared" si="141"/>
        <v>1095928.7527349615</v>
      </c>
      <c r="N492" s="356">
        <f t="shared" si="149"/>
        <v>469</v>
      </c>
      <c r="O492" s="357">
        <f t="shared" si="154"/>
        <v>39</v>
      </c>
      <c r="P492" s="357">
        <f t="shared" si="155"/>
        <v>1</v>
      </c>
      <c r="Q492" s="357">
        <f t="shared" si="156"/>
        <v>39</v>
      </c>
      <c r="R492" s="356">
        <f t="shared" si="150"/>
        <v>31023038.35516082</v>
      </c>
      <c r="S492" s="356">
        <f>IF($G$17="si",S480*(1+$G$20),S480)</f>
        <v>10000</v>
      </c>
      <c r="U492" s="356">
        <f t="shared" si="157"/>
        <v>247461.80577960907</v>
      </c>
      <c r="V492" s="356">
        <f>V491*(1+$G$18)</f>
        <v>-351.7670883161283</v>
      </c>
      <c r="X492" s="356">
        <f t="shared" si="142"/>
        <v>-31280.50016094043</v>
      </c>
      <c r="Y492" s="356">
        <f t="shared" si="143"/>
        <v>31248867.893691175</v>
      </c>
      <c r="AA492" s="357">
        <f>+Bono!J492</f>
        <v>520215.33202035615</v>
      </c>
      <c r="AC492" s="378">
        <f t="shared" si="144"/>
        <v>39.083333333333336</v>
      </c>
      <c r="AD492" s="356">
        <f t="shared" si="145"/>
        <v>32865011.978446495</v>
      </c>
    </row>
    <row r="493" spans="2:30" x14ac:dyDescent="0.25">
      <c r="B493" s="356">
        <f t="shared" si="146"/>
        <v>470</v>
      </c>
      <c r="C493" s="357">
        <f t="shared" si="151"/>
        <v>39</v>
      </c>
      <c r="D493" s="357">
        <f t="shared" si="152"/>
        <v>2</v>
      </c>
      <c r="E493" s="357">
        <f t="shared" si="153"/>
        <v>68</v>
      </c>
      <c r="F493" s="356">
        <f t="shared" si="147"/>
        <v>1095928.7527349615</v>
      </c>
      <c r="H493" s="356">
        <f t="shared" si="140"/>
        <v>8739.089774381933</v>
      </c>
      <c r="I493" s="356">
        <v>0</v>
      </c>
      <c r="J493" s="356">
        <v>0</v>
      </c>
      <c r="K493" s="356">
        <f t="shared" si="148"/>
        <v>-1104.6678425093432</v>
      </c>
      <c r="L493" s="356">
        <f t="shared" si="141"/>
        <v>1103563.1746668338</v>
      </c>
      <c r="N493" s="356">
        <f t="shared" si="149"/>
        <v>470</v>
      </c>
      <c r="O493" s="357">
        <f t="shared" si="154"/>
        <v>39</v>
      </c>
      <c r="P493" s="357">
        <f t="shared" si="155"/>
        <v>2</v>
      </c>
      <c r="Q493" s="357">
        <f t="shared" si="156"/>
        <v>39</v>
      </c>
      <c r="R493" s="356">
        <f t="shared" si="150"/>
        <v>31248867.893691175</v>
      </c>
      <c r="S493" s="356">
        <f>IF($G$4="mensual",S492,0)</f>
        <v>10000</v>
      </c>
      <c r="U493" s="356">
        <f t="shared" si="157"/>
        <v>249262.60223284466</v>
      </c>
      <c r="V493" s="356">
        <f>V492</f>
        <v>-351.7670883161283</v>
      </c>
      <c r="X493" s="356">
        <f t="shared" si="142"/>
        <v>-31508.13049592402</v>
      </c>
      <c r="Y493" s="356">
        <f t="shared" si="143"/>
        <v>31476270.598339777</v>
      </c>
      <c r="AA493" s="357">
        <f>+Bono!J493</f>
        <v>523440.72742012603</v>
      </c>
      <c r="AC493" s="378">
        <f t="shared" si="144"/>
        <v>39.166666666666664</v>
      </c>
      <c r="AD493" s="356">
        <f t="shared" si="145"/>
        <v>33103274.500426736</v>
      </c>
    </row>
    <row r="494" spans="2:30" x14ac:dyDescent="0.25">
      <c r="B494" s="356">
        <f t="shared" si="146"/>
        <v>471</v>
      </c>
      <c r="C494" s="357">
        <f t="shared" si="151"/>
        <v>39</v>
      </c>
      <c r="D494" s="357">
        <f t="shared" si="152"/>
        <v>3</v>
      </c>
      <c r="E494" s="357">
        <f t="shared" si="153"/>
        <v>68</v>
      </c>
      <c r="F494" s="356">
        <f t="shared" si="147"/>
        <v>1103563.1746668338</v>
      </c>
      <c r="H494" s="356">
        <f t="shared" si="140"/>
        <v>8799.967726960185</v>
      </c>
      <c r="I494" s="356">
        <v>0</v>
      </c>
      <c r="J494" s="360">
        <f>-SUM(F494:H494)*$J$21</f>
        <v>-10011.268281544146</v>
      </c>
      <c r="K494" s="356">
        <f t="shared" si="148"/>
        <v>-1102.3518741122498</v>
      </c>
      <c r="L494" s="356">
        <f t="shared" si="141"/>
        <v>1101249.5222381377</v>
      </c>
      <c r="N494" s="356">
        <f t="shared" si="149"/>
        <v>471</v>
      </c>
      <c r="O494" s="357">
        <f t="shared" si="154"/>
        <v>39</v>
      </c>
      <c r="P494" s="357">
        <f t="shared" si="155"/>
        <v>3</v>
      </c>
      <c r="Q494" s="357">
        <f t="shared" si="156"/>
        <v>39</v>
      </c>
      <c r="R494" s="356">
        <f t="shared" si="150"/>
        <v>31476270.598339777</v>
      </c>
      <c r="S494" s="356">
        <f>IF($G$4="mensual",S493,0)</f>
        <v>10000</v>
      </c>
      <c r="U494" s="356">
        <f t="shared" si="157"/>
        <v>251075.94333362512</v>
      </c>
      <c r="V494" s="356">
        <f t="shared" si="139"/>
        <v>-351.7670883161283</v>
      </c>
      <c r="X494" s="356">
        <f t="shared" si="142"/>
        <v>-31737.346541673403</v>
      </c>
      <c r="Y494" s="356">
        <f t="shared" si="143"/>
        <v>31705257.428043414</v>
      </c>
      <c r="AA494" s="357">
        <f>+Bono!J494</f>
        <v>521941.20063968195</v>
      </c>
      <c r="AC494" s="378">
        <f t="shared" si="144"/>
        <v>39.25</v>
      </c>
      <c r="AD494" s="356">
        <f t="shared" si="145"/>
        <v>33328448.150921237</v>
      </c>
    </row>
    <row r="495" spans="2:30" x14ac:dyDescent="0.25">
      <c r="B495" s="356">
        <f t="shared" si="146"/>
        <v>472</v>
      </c>
      <c r="C495" s="357">
        <f t="shared" si="151"/>
        <v>39</v>
      </c>
      <c r="D495" s="357">
        <f t="shared" si="152"/>
        <v>4</v>
      </c>
      <c r="E495" s="357">
        <f t="shared" si="153"/>
        <v>68</v>
      </c>
      <c r="F495" s="356">
        <f t="shared" si="147"/>
        <v>1101249.5222381377</v>
      </c>
      <c r="H495" s="356">
        <f t="shared" si="140"/>
        <v>8781.518337590089</v>
      </c>
      <c r="I495" s="356">
        <v>0</v>
      </c>
      <c r="J495" s="356">
        <v>0</v>
      </c>
      <c r="K495" s="356">
        <f t="shared" si="148"/>
        <v>-1110.031040575728</v>
      </c>
      <c r="L495" s="356">
        <f t="shared" si="141"/>
        <v>1108921.009535152</v>
      </c>
      <c r="N495" s="356">
        <f t="shared" si="149"/>
        <v>472</v>
      </c>
      <c r="O495" s="357">
        <f t="shared" si="154"/>
        <v>39</v>
      </c>
      <c r="P495" s="357">
        <f t="shared" si="155"/>
        <v>4</v>
      </c>
      <c r="Q495" s="357">
        <f t="shared" si="156"/>
        <v>39</v>
      </c>
      <c r="R495" s="356">
        <f t="shared" si="150"/>
        <v>31705257.428043414</v>
      </c>
      <c r="S495" s="356">
        <f>IF($G$4="mensual",S492,IF($G$4="trimestral",S492,0))</f>
        <v>10000</v>
      </c>
      <c r="U495" s="356">
        <f t="shared" si="157"/>
        <v>252901.9164700514</v>
      </c>
      <c r="V495" s="356">
        <f t="shared" si="139"/>
        <v>-351.7670883161283</v>
      </c>
      <c r="X495" s="356">
        <f t="shared" si="142"/>
        <v>-31968.159344513464</v>
      </c>
      <c r="Y495" s="356">
        <f t="shared" si="143"/>
        <v>31935839.418080635</v>
      </c>
      <c r="AA495" s="357">
        <f>+Bono!J495</f>
        <v>525177.29662508</v>
      </c>
      <c r="AC495" s="378">
        <f t="shared" si="144"/>
        <v>39.333333333333336</v>
      </c>
      <c r="AD495" s="356">
        <f t="shared" si="145"/>
        <v>33569937.72424087</v>
      </c>
    </row>
    <row r="496" spans="2:30" x14ac:dyDescent="0.25">
      <c r="B496" s="356">
        <f t="shared" si="146"/>
        <v>473</v>
      </c>
      <c r="C496" s="357">
        <f t="shared" si="151"/>
        <v>39</v>
      </c>
      <c r="D496" s="357">
        <f t="shared" si="152"/>
        <v>5</v>
      </c>
      <c r="E496" s="357">
        <f t="shared" si="153"/>
        <v>68</v>
      </c>
      <c r="F496" s="356">
        <f t="shared" si="147"/>
        <v>1108921.009535152</v>
      </c>
      <c r="H496" s="356">
        <f t="shared" si="140"/>
        <v>8842.691854595032</v>
      </c>
      <c r="I496" s="356">
        <v>0</v>
      </c>
      <c r="J496" s="356">
        <v>0</v>
      </c>
      <c r="K496" s="356">
        <f t="shared" si="148"/>
        <v>-1117.763701389747</v>
      </c>
      <c r="L496" s="356">
        <f t="shared" si="141"/>
        <v>1116645.9376883572</v>
      </c>
      <c r="N496" s="356">
        <f t="shared" si="149"/>
        <v>473</v>
      </c>
      <c r="O496" s="357">
        <f t="shared" si="154"/>
        <v>39</v>
      </c>
      <c r="P496" s="357">
        <f t="shared" si="155"/>
        <v>5</v>
      </c>
      <c r="Q496" s="357">
        <f t="shared" si="156"/>
        <v>39</v>
      </c>
      <c r="R496" s="356">
        <f t="shared" si="150"/>
        <v>31935839.418080635</v>
      </c>
      <c r="S496" s="356">
        <f>IF($G$4="mensual",S495,0)</f>
        <v>10000</v>
      </c>
      <c r="U496" s="356">
        <f t="shared" si="157"/>
        <v>254740.6096389843</v>
      </c>
      <c r="V496" s="356">
        <f t="shared" si="139"/>
        <v>-351.7670883161283</v>
      </c>
      <c r="X496" s="356">
        <f t="shared" si="142"/>
        <v>-32200.58002771962</v>
      </c>
      <c r="Y496" s="356">
        <f t="shared" si="143"/>
        <v>32168027.680603586</v>
      </c>
      <c r="AA496" s="357">
        <f>+Bono!J496</f>
        <v>528433.4567809516</v>
      </c>
      <c r="AC496" s="378">
        <f t="shared" si="144"/>
        <v>39.416666666666664</v>
      </c>
      <c r="AD496" s="356">
        <f t="shared" si="145"/>
        <v>33813107.07507289</v>
      </c>
    </row>
    <row r="497" spans="2:30" x14ac:dyDescent="0.25">
      <c r="B497" s="356">
        <f t="shared" si="146"/>
        <v>474</v>
      </c>
      <c r="C497" s="357">
        <f t="shared" si="151"/>
        <v>39</v>
      </c>
      <c r="D497" s="357">
        <f t="shared" si="152"/>
        <v>6</v>
      </c>
      <c r="E497" s="357">
        <f t="shared" si="153"/>
        <v>68</v>
      </c>
      <c r="F497" s="356">
        <f t="shared" si="147"/>
        <v>1116645.9376883572</v>
      </c>
      <c r="H497" s="356">
        <f t="shared" si="140"/>
        <v>8904.291516491883</v>
      </c>
      <c r="I497" s="356">
        <v>0</v>
      </c>
      <c r="J497" s="360">
        <f>-SUM(F497:H497)*$J$21</f>
        <v>-10129.952062843644</v>
      </c>
      <c r="K497" s="356">
        <f t="shared" si="148"/>
        <v>-1115.4202771420055</v>
      </c>
      <c r="L497" s="356">
        <f t="shared" si="141"/>
        <v>1114304.8568648635</v>
      </c>
      <c r="N497" s="356">
        <f t="shared" si="149"/>
        <v>474</v>
      </c>
      <c r="O497" s="357">
        <f t="shared" si="154"/>
        <v>39</v>
      </c>
      <c r="P497" s="357">
        <f t="shared" si="155"/>
        <v>6</v>
      </c>
      <c r="Q497" s="357">
        <f t="shared" si="156"/>
        <v>39</v>
      </c>
      <c r="R497" s="356">
        <f t="shared" si="150"/>
        <v>32168027.680603586</v>
      </c>
      <c r="S497" s="356">
        <f>IF($G$4="mensual",S496,0)</f>
        <v>10000</v>
      </c>
      <c r="U497" s="356">
        <f t="shared" si="157"/>
        <v>256592.11145028548</v>
      </c>
      <c r="V497" s="356">
        <f t="shared" si="139"/>
        <v>-351.7670883161283</v>
      </c>
      <c r="X497" s="356">
        <f t="shared" si="142"/>
        <v>-32434.619792053873</v>
      </c>
      <c r="Y497" s="356">
        <f t="shared" si="143"/>
        <v>32401833.4051735</v>
      </c>
      <c r="AA497" s="357">
        <f>+Bono!J497</f>
        <v>526919.6270794853</v>
      </c>
      <c r="AC497" s="378">
        <f t="shared" si="144"/>
        <v>39.5</v>
      </c>
      <c r="AD497" s="356">
        <f t="shared" si="145"/>
        <v>34043057.88911785</v>
      </c>
    </row>
    <row r="498" spans="2:30" x14ac:dyDescent="0.25">
      <c r="B498" s="356">
        <f t="shared" si="146"/>
        <v>475</v>
      </c>
      <c r="C498" s="357">
        <f t="shared" si="151"/>
        <v>39</v>
      </c>
      <c r="D498" s="357">
        <f t="shared" si="152"/>
        <v>7</v>
      </c>
      <c r="E498" s="357">
        <f t="shared" si="153"/>
        <v>68</v>
      </c>
      <c r="F498" s="356">
        <f t="shared" si="147"/>
        <v>1114304.8568648635</v>
      </c>
      <c r="H498" s="356">
        <f t="shared" si="140"/>
        <v>8885.62340924993</v>
      </c>
      <c r="I498" s="356">
        <v>0</v>
      </c>
      <c r="J498" s="356">
        <v>0</v>
      </c>
      <c r="K498" s="356">
        <f t="shared" si="148"/>
        <v>-1123.1904802741135</v>
      </c>
      <c r="L498" s="356">
        <f t="shared" si="141"/>
        <v>1122067.2897938392</v>
      </c>
      <c r="N498" s="356">
        <f t="shared" si="149"/>
        <v>475</v>
      </c>
      <c r="O498" s="357">
        <f t="shared" si="154"/>
        <v>39</v>
      </c>
      <c r="P498" s="357">
        <f t="shared" si="155"/>
        <v>7</v>
      </c>
      <c r="Q498" s="357">
        <f t="shared" si="156"/>
        <v>39</v>
      </c>
      <c r="R498" s="356">
        <f t="shared" si="150"/>
        <v>32401833.4051735</v>
      </c>
      <c r="S498" s="356">
        <f>+IF($G$4="mensual",S492,IF($G$4="trimestral",S492,IF($G$4="semestral",S492,0)))</f>
        <v>10000</v>
      </c>
      <c r="U498" s="356">
        <f t="shared" si="157"/>
        <v>258456.51113108755</v>
      </c>
      <c r="V498" s="356">
        <f t="shared" si="139"/>
        <v>-351.7670883161283</v>
      </c>
      <c r="X498" s="356">
        <f t="shared" si="142"/>
        <v>-32670.289916304588</v>
      </c>
      <c r="Y498" s="356">
        <f t="shared" si="143"/>
        <v>32637267.85929997</v>
      </c>
      <c r="AA498" s="357">
        <f>+Bono!J498</f>
        <v>530186.589886272</v>
      </c>
      <c r="AC498" s="378">
        <f t="shared" si="144"/>
        <v>39.583333333333336</v>
      </c>
      <c r="AD498" s="356">
        <f t="shared" si="145"/>
        <v>34289521.73898008</v>
      </c>
    </row>
    <row r="499" spans="2:30" x14ac:dyDescent="0.25">
      <c r="B499" s="356">
        <f t="shared" si="146"/>
        <v>476</v>
      </c>
      <c r="C499" s="357">
        <f t="shared" si="151"/>
        <v>39</v>
      </c>
      <c r="D499" s="357">
        <f t="shared" si="152"/>
        <v>8</v>
      </c>
      <c r="E499" s="357">
        <f t="shared" si="153"/>
        <v>68</v>
      </c>
      <c r="F499" s="356">
        <f t="shared" si="147"/>
        <v>1122067.2897938392</v>
      </c>
      <c r="H499" s="356">
        <f t="shared" si="140"/>
        <v>8947.52213949553</v>
      </c>
      <c r="I499" s="356">
        <v>0</v>
      </c>
      <c r="J499" s="356">
        <v>0</v>
      </c>
      <c r="K499" s="356">
        <f t="shared" si="148"/>
        <v>-1131.0148119333346</v>
      </c>
      <c r="L499" s="356">
        <f t="shared" si="141"/>
        <v>1129883.7971214014</v>
      </c>
      <c r="N499" s="356">
        <f t="shared" si="149"/>
        <v>476</v>
      </c>
      <c r="O499" s="357">
        <f t="shared" si="154"/>
        <v>39</v>
      </c>
      <c r="P499" s="357">
        <f t="shared" si="155"/>
        <v>8</v>
      </c>
      <c r="Q499" s="357">
        <f t="shared" si="156"/>
        <v>39</v>
      </c>
      <c r="R499" s="356">
        <f t="shared" si="150"/>
        <v>32637267.85929997</v>
      </c>
      <c r="S499" s="356">
        <f>IF($G$4="mensual",S498,0)</f>
        <v>10000</v>
      </c>
      <c r="U499" s="356">
        <f t="shared" si="157"/>
        <v>260333.89853009433</v>
      </c>
      <c r="V499" s="356">
        <f t="shared" si="139"/>
        <v>-351.7670883161283</v>
      </c>
      <c r="X499" s="356">
        <f t="shared" si="142"/>
        <v>-32907.60175783007</v>
      </c>
      <c r="Y499" s="356">
        <f t="shared" si="143"/>
        <v>32874342.388983916</v>
      </c>
      <c r="AA499" s="357">
        <f>+Bono!J499</f>
        <v>533473.808241405</v>
      </c>
      <c r="AC499" s="378">
        <f t="shared" si="144"/>
        <v>39.666666666666664</v>
      </c>
      <c r="AD499" s="356">
        <f t="shared" si="145"/>
        <v>34537699.99434672</v>
      </c>
    </row>
    <row r="500" spans="2:30" x14ac:dyDescent="0.25">
      <c r="B500" s="356">
        <f t="shared" si="146"/>
        <v>477</v>
      </c>
      <c r="C500" s="357">
        <f t="shared" si="151"/>
        <v>39</v>
      </c>
      <c r="D500" s="357">
        <f t="shared" si="152"/>
        <v>9</v>
      </c>
      <c r="E500" s="357">
        <f t="shared" si="153"/>
        <v>68</v>
      </c>
      <c r="F500" s="356">
        <f t="shared" si="147"/>
        <v>1129883.7971214014</v>
      </c>
      <c r="H500" s="356">
        <f t="shared" si="140"/>
        <v>9009.852066589066</v>
      </c>
      <c r="I500" s="356">
        <v>0</v>
      </c>
      <c r="J500" s="360">
        <f>-SUM(F500:H500)*$J$21</f>
        <v>-10250.042842691915</v>
      </c>
      <c r="K500" s="356">
        <f t="shared" si="148"/>
        <v>-1128.6436063452984</v>
      </c>
      <c r="L500" s="356">
        <f t="shared" si="141"/>
        <v>1127514.962738953</v>
      </c>
      <c r="N500" s="356">
        <f t="shared" si="149"/>
        <v>477</v>
      </c>
      <c r="O500" s="357">
        <f t="shared" si="154"/>
        <v>39</v>
      </c>
      <c r="P500" s="357">
        <f t="shared" si="155"/>
        <v>9</v>
      </c>
      <c r="Q500" s="357">
        <f t="shared" si="156"/>
        <v>39</v>
      </c>
      <c r="R500" s="356">
        <f t="shared" si="150"/>
        <v>32874342.388983916</v>
      </c>
      <c r="S500" s="356">
        <f>IF($G$4="mensual",S499,0)</f>
        <v>10000</v>
      </c>
      <c r="U500" s="356">
        <f t="shared" si="157"/>
        <v>262224.3641219104</v>
      </c>
      <c r="V500" s="356">
        <f t="shared" si="139"/>
        <v>-351.7670883161283</v>
      </c>
      <c r="X500" s="356">
        <f t="shared" si="142"/>
        <v>-33146.56675310583</v>
      </c>
      <c r="Y500" s="356">
        <f t="shared" si="143"/>
        <v>33113068.419264406</v>
      </c>
      <c r="AA500" s="357">
        <f>+Bono!J500</f>
        <v>531945.5391935105</v>
      </c>
      <c r="AC500" s="378">
        <f t="shared" si="144"/>
        <v>39.75</v>
      </c>
      <c r="AD500" s="356">
        <f t="shared" si="145"/>
        <v>34772528.92119687</v>
      </c>
    </row>
    <row r="501" spans="2:30" x14ac:dyDescent="0.25">
      <c r="B501" s="356">
        <f t="shared" si="146"/>
        <v>478</v>
      </c>
      <c r="C501" s="357">
        <f t="shared" si="151"/>
        <v>39</v>
      </c>
      <c r="D501" s="357">
        <f t="shared" si="152"/>
        <v>10</v>
      </c>
      <c r="E501" s="357">
        <f t="shared" si="153"/>
        <v>68</v>
      </c>
      <c r="F501" s="356">
        <f t="shared" si="147"/>
        <v>1127514.962738953</v>
      </c>
      <c r="H501" s="356">
        <f t="shared" si="140"/>
        <v>8990.962648570607</v>
      </c>
      <c r="I501" s="356">
        <v>0</v>
      </c>
      <c r="J501" s="356">
        <v>0</v>
      </c>
      <c r="K501" s="356">
        <f t="shared" si="148"/>
        <v>-1136.5059253875236</v>
      </c>
      <c r="L501" s="356">
        <f t="shared" si="141"/>
        <v>1135369.419462136</v>
      </c>
      <c r="N501" s="356">
        <f t="shared" si="149"/>
        <v>478</v>
      </c>
      <c r="O501" s="357">
        <f t="shared" si="154"/>
        <v>39</v>
      </c>
      <c r="P501" s="357">
        <f t="shared" si="155"/>
        <v>10</v>
      </c>
      <c r="Q501" s="357">
        <f t="shared" si="156"/>
        <v>39</v>
      </c>
      <c r="R501" s="356">
        <f t="shared" si="150"/>
        <v>33113068.419264406</v>
      </c>
      <c r="S501" s="356">
        <f>IF($G$4="mensual",S492,IF($G$4="trimestral",S492,0))</f>
        <v>10000</v>
      </c>
      <c r="U501" s="356">
        <f t="shared" si="157"/>
        <v>264127.9990114018</v>
      </c>
      <c r="V501" s="356">
        <f t="shared" si="139"/>
        <v>-351.7670883161283</v>
      </c>
      <c r="X501" s="356">
        <f t="shared" si="142"/>
        <v>-33387.19641827581</v>
      </c>
      <c r="Y501" s="356">
        <f t="shared" si="143"/>
        <v>33353457.454769216</v>
      </c>
      <c r="AA501" s="357">
        <f>+Bono!J501</f>
        <v>535243.6632383738</v>
      </c>
      <c r="AC501" s="378">
        <f t="shared" si="144"/>
        <v>39.833333333333336</v>
      </c>
      <c r="AD501" s="356">
        <f t="shared" si="145"/>
        <v>35024070.53746973</v>
      </c>
    </row>
    <row r="502" spans="2:30" x14ac:dyDescent="0.25">
      <c r="B502" s="356">
        <f t="shared" si="146"/>
        <v>479</v>
      </c>
      <c r="C502" s="357">
        <f t="shared" si="151"/>
        <v>39</v>
      </c>
      <c r="D502" s="357">
        <f t="shared" si="152"/>
        <v>11</v>
      </c>
      <c r="E502" s="357">
        <f t="shared" si="153"/>
        <v>68</v>
      </c>
      <c r="F502" s="356">
        <f t="shared" si="147"/>
        <v>1135369.419462136</v>
      </c>
      <c r="H502" s="356">
        <f t="shared" si="140"/>
        <v>9053.595189474016</v>
      </c>
      <c r="I502" s="356">
        <v>0</v>
      </c>
      <c r="J502" s="356">
        <v>0</v>
      </c>
      <c r="K502" s="356">
        <f t="shared" si="148"/>
        <v>-1144.4230146516102</v>
      </c>
      <c r="L502" s="356">
        <f t="shared" si="141"/>
        <v>1143278.5916369585</v>
      </c>
      <c r="N502" s="356">
        <f t="shared" si="149"/>
        <v>479</v>
      </c>
      <c r="O502" s="357">
        <f t="shared" si="154"/>
        <v>39</v>
      </c>
      <c r="P502" s="357">
        <f t="shared" si="155"/>
        <v>11</v>
      </c>
      <c r="Q502" s="357">
        <f t="shared" si="156"/>
        <v>39</v>
      </c>
      <c r="R502" s="356">
        <f t="shared" si="150"/>
        <v>33353457.454769216</v>
      </c>
      <c r="S502" s="356">
        <f>IF($G$17="si",S490*(1+$G$20),S490)</f>
        <v>10000</v>
      </c>
      <c r="U502" s="356">
        <f t="shared" si="157"/>
        <v>266044.89493808587</v>
      </c>
      <c r="V502" s="356">
        <f t="shared" si="139"/>
        <v>-351.7670883161283</v>
      </c>
      <c r="X502" s="356">
        <f t="shared" si="142"/>
        <v>-33629.502349707305</v>
      </c>
      <c r="Y502" s="356">
        <f t="shared" si="143"/>
        <v>33595521.080269285</v>
      </c>
      <c r="AA502" s="357">
        <f>+Bono!J502</f>
        <v>538562.236034874</v>
      </c>
      <c r="AC502" s="378">
        <f t="shared" si="144"/>
        <v>39.916666666666664</v>
      </c>
      <c r="AD502" s="356">
        <f t="shared" si="145"/>
        <v>35277361.90794112</v>
      </c>
    </row>
    <row r="503" spans="2:30" x14ac:dyDescent="0.25">
      <c r="B503" s="356">
        <f t="shared" si="146"/>
        <v>480</v>
      </c>
      <c r="C503" s="357">
        <f t="shared" si="151"/>
        <v>39</v>
      </c>
      <c r="D503" s="357">
        <f t="shared" si="152"/>
        <v>12</v>
      </c>
      <c r="E503" s="357">
        <f t="shared" si="153"/>
        <v>68</v>
      </c>
      <c r="F503" s="356">
        <f t="shared" si="147"/>
        <v>1143278.5916369585</v>
      </c>
      <c r="H503" s="356">
        <f t="shared" si="140"/>
        <v>9116.664039072428</v>
      </c>
      <c r="I503" s="356">
        <v>0</v>
      </c>
      <c r="J503" s="360">
        <f>-SUM(F503:H503)*$J$21</f>
        <v>-10371.55730108428</v>
      </c>
      <c r="K503" s="356">
        <f t="shared" si="148"/>
        <v>-1142.0236983749467</v>
      </c>
      <c r="L503" s="356">
        <f t="shared" si="141"/>
        <v>1140881.6746765717</v>
      </c>
      <c r="N503" s="356">
        <f t="shared" si="149"/>
        <v>480</v>
      </c>
      <c r="O503" s="357">
        <f t="shared" si="154"/>
        <v>39</v>
      </c>
      <c r="P503" s="357">
        <f t="shared" si="155"/>
        <v>12</v>
      </c>
      <c r="Q503" s="357">
        <f t="shared" si="156"/>
        <v>39</v>
      </c>
      <c r="R503" s="356">
        <f t="shared" si="150"/>
        <v>33595521.080269285</v>
      </c>
      <c r="S503" s="356">
        <f>IF($G$4="mensual",S502,0)</f>
        <v>10000</v>
      </c>
      <c r="U503" s="356">
        <f t="shared" si="157"/>
        <v>267975.144280553</v>
      </c>
      <c r="V503" s="356">
        <f t="shared" si="139"/>
        <v>-351.7670883161283</v>
      </c>
      <c r="X503" s="356">
        <f t="shared" si="142"/>
        <v>-33873.49622454984</v>
      </c>
      <c r="Y503" s="356">
        <f t="shared" si="143"/>
        <v>33839270.96123697</v>
      </c>
      <c r="AA503" s="357">
        <f>+Bono!J503</f>
        <v>537019.3899138805</v>
      </c>
      <c r="AC503" s="378">
        <f t="shared" si="144"/>
        <v>40</v>
      </c>
      <c r="AD503" s="356">
        <f t="shared" si="145"/>
        <v>35517172.02582742</v>
      </c>
    </row>
    <row r="504" spans="2:30" x14ac:dyDescent="0.25">
      <c r="B504" s="356">
        <f t="shared" si="146"/>
        <v>481</v>
      </c>
      <c r="C504" s="357">
        <f t="shared" si="151"/>
        <v>40</v>
      </c>
      <c r="D504" s="357">
        <f t="shared" si="152"/>
        <v>1</v>
      </c>
      <c r="E504" s="357">
        <f t="shared" si="153"/>
        <v>69</v>
      </c>
      <c r="F504" s="356">
        <f t="shared" si="147"/>
        <v>1140881.6746765717</v>
      </c>
      <c r="H504" s="356">
        <f t="shared" si="140"/>
        <v>9097.550686633882</v>
      </c>
      <c r="I504" s="356">
        <v>0</v>
      </c>
      <c r="J504" s="356">
        <v>0</v>
      </c>
      <c r="K504" s="356">
        <f t="shared" si="148"/>
        <v>-1149.9792253632056</v>
      </c>
      <c r="L504" s="356">
        <f t="shared" si="141"/>
        <v>1148829.2461378425</v>
      </c>
      <c r="N504" s="356">
        <f t="shared" si="149"/>
        <v>481</v>
      </c>
      <c r="O504" s="357">
        <f t="shared" si="154"/>
        <v>40</v>
      </c>
      <c r="P504" s="357">
        <f t="shared" si="155"/>
        <v>1</v>
      </c>
      <c r="Q504" s="357">
        <f t="shared" si="156"/>
        <v>40</v>
      </c>
      <c r="R504" s="356">
        <f t="shared" si="150"/>
        <v>33839270.96123697</v>
      </c>
      <c r="S504" s="356">
        <f>IF($G$17="si",S492*(1+$G$20),S492)</f>
        <v>10000</v>
      </c>
      <c r="U504" s="356">
        <f t="shared" si="157"/>
        <v>269918.8400609179</v>
      </c>
      <c r="V504" s="356">
        <f>V503*(1+$G$18)</f>
        <v>-365.83777184877346</v>
      </c>
      <c r="X504" s="356">
        <f t="shared" si="142"/>
        <v>-34119.189801297885</v>
      </c>
      <c r="Y504" s="356">
        <f t="shared" si="143"/>
        <v>34084704.77372474</v>
      </c>
      <c r="AA504" s="357">
        <f>+Bono!J504</f>
        <v>540348.9724217403</v>
      </c>
      <c r="AC504" s="378">
        <f t="shared" si="144"/>
        <v>40.083333333333336</v>
      </c>
      <c r="AD504" s="356">
        <f t="shared" si="145"/>
        <v>35773882.99228433</v>
      </c>
    </row>
    <row r="505" spans="2:30" x14ac:dyDescent="0.25">
      <c r="B505" s="356">
        <f t="shared" si="146"/>
        <v>482</v>
      </c>
      <c r="C505" s="357">
        <f t="shared" si="151"/>
        <v>40</v>
      </c>
      <c r="D505" s="357">
        <f t="shared" si="152"/>
        <v>2</v>
      </c>
      <c r="E505" s="357">
        <f t="shared" si="153"/>
        <v>69</v>
      </c>
      <c r="F505" s="356">
        <f t="shared" si="147"/>
        <v>1148829.2461378425</v>
      </c>
      <c r="H505" s="356">
        <f t="shared" si="140"/>
        <v>9160.925737534804</v>
      </c>
      <c r="I505" s="356">
        <v>0</v>
      </c>
      <c r="J505" s="356">
        <v>0</v>
      </c>
      <c r="K505" s="356">
        <f t="shared" si="148"/>
        <v>-1157.9901718753774</v>
      </c>
      <c r="L505" s="356">
        <f t="shared" si="141"/>
        <v>1156832.181703502</v>
      </c>
      <c r="N505" s="356">
        <f t="shared" si="149"/>
        <v>482</v>
      </c>
      <c r="O505" s="357">
        <f t="shared" si="154"/>
        <v>40</v>
      </c>
      <c r="P505" s="357">
        <f t="shared" si="155"/>
        <v>2</v>
      </c>
      <c r="Q505" s="357">
        <f t="shared" si="156"/>
        <v>40</v>
      </c>
      <c r="R505" s="356">
        <f t="shared" si="150"/>
        <v>34084704.77372474</v>
      </c>
      <c r="S505" s="356">
        <f>IF($G$4="mensual",S504,0)</f>
        <v>10000</v>
      </c>
      <c r="U505" s="356">
        <f t="shared" si="157"/>
        <v>271875.96374769666</v>
      </c>
      <c r="V505" s="356">
        <f>V504</f>
        <v>-365.83777184877346</v>
      </c>
      <c r="X505" s="356">
        <f t="shared" si="142"/>
        <v>-34366.58073747244</v>
      </c>
      <c r="Y505" s="356">
        <f t="shared" si="143"/>
        <v>34331848.31896312</v>
      </c>
      <c r="AA505" s="357">
        <f>+Bono!J505</f>
        <v>543699.1987273565</v>
      </c>
      <c r="AC505" s="378">
        <f t="shared" si="144"/>
        <v>40.166666666666664</v>
      </c>
      <c r="AD505" s="356">
        <f t="shared" si="145"/>
        <v>36032379.69939397</v>
      </c>
    </row>
    <row r="506" spans="2:30" x14ac:dyDescent="0.25">
      <c r="B506" s="356">
        <f t="shared" si="146"/>
        <v>483</v>
      </c>
      <c r="C506" s="357">
        <f t="shared" si="151"/>
        <v>40</v>
      </c>
      <c r="D506" s="357">
        <f t="shared" si="152"/>
        <v>3</v>
      </c>
      <c r="E506" s="357">
        <f t="shared" si="153"/>
        <v>69</v>
      </c>
      <c r="F506" s="356">
        <f t="shared" si="147"/>
        <v>1156832.181703502</v>
      </c>
      <c r="H506" s="356">
        <f t="shared" si="140"/>
        <v>9224.742269578841</v>
      </c>
      <c r="I506" s="356">
        <v>0</v>
      </c>
      <c r="J506" s="360">
        <f>-SUM(F506:H506)*$J$21</f>
        <v>-10494.512315757729</v>
      </c>
      <c r="K506" s="356">
        <f t="shared" si="148"/>
        <v>-1155.562411657323</v>
      </c>
      <c r="L506" s="356">
        <f t="shared" si="141"/>
        <v>1154406.8492456658</v>
      </c>
      <c r="N506" s="356">
        <f t="shared" si="149"/>
        <v>483</v>
      </c>
      <c r="O506" s="357">
        <f t="shared" si="154"/>
        <v>40</v>
      </c>
      <c r="P506" s="357">
        <f t="shared" si="155"/>
        <v>3</v>
      </c>
      <c r="Q506" s="357">
        <f t="shared" si="156"/>
        <v>40</v>
      </c>
      <c r="R506" s="356">
        <f t="shared" si="150"/>
        <v>34331848.31896312</v>
      </c>
      <c r="S506" s="356">
        <f>IF($G$4="mensual",S505,0)</f>
        <v>10000</v>
      </c>
      <c r="U506" s="356">
        <f t="shared" si="157"/>
        <v>273846.7210835246</v>
      </c>
      <c r="V506" s="356">
        <f t="shared" si="139"/>
        <v>-365.83777184877346</v>
      </c>
      <c r="X506" s="356">
        <f t="shared" si="142"/>
        <v>-34615.69504004664</v>
      </c>
      <c r="Y506" s="356">
        <f t="shared" si="143"/>
        <v>34580713.507234745</v>
      </c>
      <c r="AA506" s="357">
        <f>+Bono!J506</f>
        <v>542141.6364929159</v>
      </c>
      <c r="AC506" s="378">
        <f t="shared" si="144"/>
        <v>40.25</v>
      </c>
      <c r="AD506" s="356">
        <f t="shared" si="145"/>
        <v>36277261.99297333</v>
      </c>
    </row>
    <row r="507" spans="2:30" x14ac:dyDescent="0.25">
      <c r="B507" s="356">
        <f t="shared" si="146"/>
        <v>484</v>
      </c>
      <c r="C507" s="357">
        <f t="shared" si="151"/>
        <v>40</v>
      </c>
      <c r="D507" s="357">
        <f t="shared" si="152"/>
        <v>4</v>
      </c>
      <c r="E507" s="357">
        <f t="shared" si="153"/>
        <v>69</v>
      </c>
      <c r="F507" s="356">
        <f t="shared" si="147"/>
        <v>1154406.8492456658</v>
      </c>
      <c r="H507" s="356">
        <f t="shared" si="140"/>
        <v>9205.402327973277</v>
      </c>
      <c r="I507" s="356">
        <v>0</v>
      </c>
      <c r="J507" s="356">
        <v>0</v>
      </c>
      <c r="K507" s="356">
        <f t="shared" si="148"/>
        <v>-1163.612251573639</v>
      </c>
      <c r="L507" s="356">
        <f t="shared" si="141"/>
        <v>1162448.6393220653</v>
      </c>
      <c r="N507" s="356">
        <f t="shared" si="149"/>
        <v>484</v>
      </c>
      <c r="O507" s="357">
        <f t="shared" si="154"/>
        <v>40</v>
      </c>
      <c r="P507" s="357">
        <f t="shared" si="155"/>
        <v>4</v>
      </c>
      <c r="Q507" s="357">
        <f t="shared" si="156"/>
        <v>40</v>
      </c>
      <c r="R507" s="356">
        <f t="shared" si="150"/>
        <v>34580713.507234745</v>
      </c>
      <c r="S507" s="356">
        <f>IF($G$4="mensual",S504,IF($G$4="trimestral",S504,0))</f>
        <v>10000</v>
      </c>
      <c r="U507" s="356">
        <f t="shared" si="157"/>
        <v>275831.2070426681</v>
      </c>
      <c r="V507" s="356">
        <f t="shared" si="139"/>
        <v>-365.83777184877346</v>
      </c>
      <c r="X507" s="356">
        <f t="shared" si="142"/>
        <v>-34866.544714277414</v>
      </c>
      <c r="Y507" s="356">
        <f t="shared" si="143"/>
        <v>34831312.33179129</v>
      </c>
      <c r="AA507" s="357">
        <f>+Bono!J507</f>
        <v>545502.9775237095</v>
      </c>
      <c r="AC507" s="378">
        <f t="shared" si="144"/>
        <v>40.333333333333336</v>
      </c>
      <c r="AD507" s="356">
        <f t="shared" si="145"/>
        <v>36539263.94863706</v>
      </c>
    </row>
    <row r="508" spans="2:30" x14ac:dyDescent="0.25">
      <c r="B508" s="356">
        <f t="shared" si="146"/>
        <v>485</v>
      </c>
      <c r="C508" s="357">
        <f t="shared" si="151"/>
        <v>40</v>
      </c>
      <c r="D508" s="357">
        <f t="shared" si="152"/>
        <v>5</v>
      </c>
      <c r="E508" s="357">
        <f t="shared" si="153"/>
        <v>69</v>
      </c>
      <c r="F508" s="356">
        <f t="shared" si="147"/>
        <v>1162448.6393220653</v>
      </c>
      <c r="H508" s="356">
        <f t="shared" si="140"/>
        <v>9269.528691342251</v>
      </c>
      <c r="I508" s="356">
        <v>0</v>
      </c>
      <c r="J508" s="356">
        <v>0</v>
      </c>
      <c r="K508" s="356">
        <f t="shared" si="148"/>
        <v>-1171.7181680134076</v>
      </c>
      <c r="L508" s="356">
        <f t="shared" si="141"/>
        <v>1170546.4498453941</v>
      </c>
      <c r="N508" s="356">
        <f t="shared" si="149"/>
        <v>485</v>
      </c>
      <c r="O508" s="357">
        <f t="shared" si="154"/>
        <v>40</v>
      </c>
      <c r="P508" s="357">
        <f t="shared" si="155"/>
        <v>5</v>
      </c>
      <c r="Q508" s="357">
        <f t="shared" si="156"/>
        <v>40</v>
      </c>
      <c r="R508" s="356">
        <f t="shared" si="150"/>
        <v>34831312.33179129</v>
      </c>
      <c r="S508" s="356">
        <f>IF($G$4="mensual",S507,0)</f>
        <v>10000</v>
      </c>
      <c r="U508" s="356">
        <f t="shared" si="157"/>
        <v>277829.5172610002</v>
      </c>
      <c r="V508" s="356">
        <f t="shared" si="139"/>
        <v>-365.83777184877346</v>
      </c>
      <c r="X508" s="356">
        <f t="shared" si="142"/>
        <v>-35119.14184905229</v>
      </c>
      <c r="Y508" s="356">
        <f t="shared" si="143"/>
        <v>35083656.869431384</v>
      </c>
      <c r="AA508" s="357">
        <f>+Bono!J508</f>
        <v>548885.1592587855</v>
      </c>
      <c r="AC508" s="378">
        <f t="shared" si="144"/>
        <v>40.416666666666664</v>
      </c>
      <c r="AD508" s="356">
        <f t="shared" si="145"/>
        <v>36803088.47853556</v>
      </c>
    </row>
    <row r="509" spans="2:30" x14ac:dyDescent="0.25">
      <c r="B509" s="356">
        <f t="shared" si="146"/>
        <v>486</v>
      </c>
      <c r="C509" s="357">
        <f t="shared" si="151"/>
        <v>40</v>
      </c>
      <c r="D509" s="357">
        <f t="shared" si="152"/>
        <v>6</v>
      </c>
      <c r="E509" s="357">
        <f t="shared" si="153"/>
        <v>69</v>
      </c>
      <c r="F509" s="356">
        <f t="shared" si="147"/>
        <v>1170546.4498453941</v>
      </c>
      <c r="H509" s="356">
        <f t="shared" si="140"/>
        <v>9334.10176962193</v>
      </c>
      <c r="I509" s="356">
        <v>0</v>
      </c>
      <c r="J509" s="360">
        <f>-SUM(F509:H509)*$J$21</f>
        <v>-10618.924964535147</v>
      </c>
      <c r="K509" s="356">
        <f t="shared" si="148"/>
        <v>-1169.261626650481</v>
      </c>
      <c r="L509" s="356">
        <f t="shared" si="141"/>
        <v>1168092.3650238304</v>
      </c>
      <c r="N509" s="356">
        <f t="shared" si="149"/>
        <v>486</v>
      </c>
      <c r="O509" s="357">
        <f t="shared" si="154"/>
        <v>40</v>
      </c>
      <c r="P509" s="357">
        <f t="shared" si="155"/>
        <v>6</v>
      </c>
      <c r="Q509" s="357">
        <f t="shared" si="156"/>
        <v>40</v>
      </c>
      <c r="R509" s="356">
        <f t="shared" si="150"/>
        <v>35083656.869431384</v>
      </c>
      <c r="S509" s="356">
        <f>IF($G$4="mensual",S508,0)</f>
        <v>10000</v>
      </c>
      <c r="U509" s="356">
        <f t="shared" si="157"/>
        <v>279841.7480406091</v>
      </c>
      <c r="V509" s="356">
        <f t="shared" ref="V509:V572" si="158">V508</f>
        <v>-365.83777184877346</v>
      </c>
      <c r="X509" s="356">
        <f t="shared" si="142"/>
        <v>-35373.498617471996</v>
      </c>
      <c r="Y509" s="356">
        <f t="shared" si="143"/>
        <v>35337759.281082675</v>
      </c>
      <c r="AA509" s="357">
        <f>+Bono!J509</f>
        <v>547312.7405443429</v>
      </c>
      <c r="AC509" s="378">
        <f t="shared" si="144"/>
        <v>40.5</v>
      </c>
      <c r="AD509" s="356">
        <f t="shared" si="145"/>
        <v>37053164.386650845</v>
      </c>
    </row>
    <row r="510" spans="2:30" x14ac:dyDescent="0.25">
      <c r="B510" s="356">
        <f t="shared" si="146"/>
        <v>487</v>
      </c>
      <c r="C510" s="357">
        <f t="shared" si="151"/>
        <v>40</v>
      </c>
      <c r="D510" s="357">
        <f t="shared" si="152"/>
        <v>7</v>
      </c>
      <c r="E510" s="357">
        <f t="shared" si="153"/>
        <v>69</v>
      </c>
      <c r="F510" s="356">
        <f t="shared" si="147"/>
        <v>1168092.3650238304</v>
      </c>
      <c r="H510" s="356">
        <f t="shared" si="140"/>
        <v>9314.53255263034</v>
      </c>
      <c r="I510" s="356">
        <v>0</v>
      </c>
      <c r="J510" s="356">
        <v>0</v>
      </c>
      <c r="K510" s="356">
        <f t="shared" si="148"/>
        <v>-1177.4068975764608</v>
      </c>
      <c r="L510" s="356">
        <f t="shared" si="141"/>
        <v>1176229.4906788843</v>
      </c>
      <c r="N510" s="356">
        <f t="shared" si="149"/>
        <v>487</v>
      </c>
      <c r="O510" s="357">
        <f t="shared" si="154"/>
        <v>40</v>
      </c>
      <c r="P510" s="357">
        <f t="shared" si="155"/>
        <v>7</v>
      </c>
      <c r="Q510" s="357">
        <f t="shared" si="156"/>
        <v>40</v>
      </c>
      <c r="R510" s="356">
        <f t="shared" si="150"/>
        <v>35337759.281082675</v>
      </c>
      <c r="S510" s="356">
        <f>+IF($G$4="mensual",S504,IF($G$4="trimestral",S504,IF($G$4="semestral",S504,0)))</f>
        <v>10000</v>
      </c>
      <c r="U510" s="356">
        <f t="shared" si="157"/>
        <v>281867.9963544396</v>
      </c>
      <c r="V510" s="356">
        <f t="shared" si="158"/>
        <v>-365.83777184877346</v>
      </c>
      <c r="X510" s="356">
        <f t="shared" si="142"/>
        <v>-35629.62727743712</v>
      </c>
      <c r="Y510" s="356">
        <f t="shared" si="143"/>
        <v>35593631.81238783</v>
      </c>
      <c r="AA510" s="357">
        <f>+Bono!J510</f>
        <v>550706.1430200663</v>
      </c>
      <c r="AC510" s="378">
        <f t="shared" si="144"/>
        <v>40.583333333333336</v>
      </c>
      <c r="AD510" s="356">
        <f t="shared" si="145"/>
        <v>37320567.44608678</v>
      </c>
    </row>
    <row r="511" spans="2:30" x14ac:dyDescent="0.25">
      <c r="B511" s="356">
        <f t="shared" si="146"/>
        <v>488</v>
      </c>
      <c r="C511" s="357">
        <f t="shared" si="151"/>
        <v>40</v>
      </c>
      <c r="D511" s="357">
        <f t="shared" si="152"/>
        <v>8</v>
      </c>
      <c r="E511" s="357">
        <f t="shared" si="153"/>
        <v>69</v>
      </c>
      <c r="F511" s="356">
        <f t="shared" si="147"/>
        <v>1176229.4906788843</v>
      </c>
      <c r="H511" s="356">
        <f t="shared" si="140"/>
        <v>9379.419135291375</v>
      </c>
      <c r="I511" s="356">
        <v>0</v>
      </c>
      <c r="J511" s="356">
        <v>0</v>
      </c>
      <c r="K511" s="356">
        <f t="shared" si="148"/>
        <v>-1185.6089098141756</v>
      </c>
      <c r="L511" s="356">
        <f t="shared" si="141"/>
        <v>1184423.3009043615</v>
      </c>
      <c r="N511" s="356">
        <f t="shared" si="149"/>
        <v>488</v>
      </c>
      <c r="O511" s="357">
        <f t="shared" si="154"/>
        <v>40</v>
      </c>
      <c r="P511" s="357">
        <f t="shared" si="155"/>
        <v>8</v>
      </c>
      <c r="Q511" s="357">
        <f t="shared" si="156"/>
        <v>40</v>
      </c>
      <c r="R511" s="356">
        <f t="shared" si="150"/>
        <v>35593631.81238783</v>
      </c>
      <c r="S511" s="356">
        <f>IF($G$4="mensual",S510,0)</f>
        <v>10000</v>
      </c>
      <c r="U511" s="356">
        <f t="shared" si="157"/>
        <v>283908.359850966</v>
      </c>
      <c r="V511" s="356">
        <f t="shared" si="158"/>
        <v>-365.83777184877346</v>
      </c>
      <c r="X511" s="356">
        <f t="shared" si="142"/>
        <v>-35887.5401722388</v>
      </c>
      <c r="Y511" s="356">
        <f t="shared" si="143"/>
        <v>35851286.79429471</v>
      </c>
      <c r="AA511" s="357">
        <f>+Bono!J511</f>
        <v>554120.5849847496</v>
      </c>
      <c r="AC511" s="378">
        <f t="shared" si="144"/>
        <v>40.666666666666664</v>
      </c>
      <c r="AD511" s="356">
        <f t="shared" si="145"/>
        <v>37589830.68018382</v>
      </c>
    </row>
    <row r="512" spans="2:30" x14ac:dyDescent="0.25">
      <c r="B512" s="356">
        <f t="shared" si="146"/>
        <v>489</v>
      </c>
      <c r="C512" s="357">
        <f t="shared" si="151"/>
        <v>40</v>
      </c>
      <c r="D512" s="357">
        <f t="shared" si="152"/>
        <v>9</v>
      </c>
      <c r="E512" s="357">
        <f t="shared" si="153"/>
        <v>69</v>
      </c>
      <c r="F512" s="356">
        <f t="shared" si="147"/>
        <v>1184423.3009043615</v>
      </c>
      <c r="H512" s="356">
        <f t="shared" si="140"/>
        <v>9444.757728677117</v>
      </c>
      <c r="I512" s="356">
        <v>0</v>
      </c>
      <c r="J512" s="360">
        <f>-SUM(F512:H512)*$J$21</f>
        <v>-10744.812527697348</v>
      </c>
      <c r="K512" s="356">
        <f t="shared" si="148"/>
        <v>-1183.1232461053412</v>
      </c>
      <c r="L512" s="356">
        <f t="shared" si="141"/>
        <v>1181940.1228592359</v>
      </c>
      <c r="N512" s="356">
        <f t="shared" si="149"/>
        <v>489</v>
      </c>
      <c r="O512" s="357">
        <f t="shared" si="154"/>
        <v>40</v>
      </c>
      <c r="P512" s="357">
        <f t="shared" si="155"/>
        <v>9</v>
      </c>
      <c r="Q512" s="357">
        <f t="shared" si="156"/>
        <v>40</v>
      </c>
      <c r="R512" s="356">
        <f t="shared" si="150"/>
        <v>35851286.79429471</v>
      </c>
      <c r="S512" s="356">
        <f>IF($G$4="mensual",S511,0)</f>
        <v>10000</v>
      </c>
      <c r="U512" s="356">
        <f t="shared" si="157"/>
        <v>285962.9368588981</v>
      </c>
      <c r="V512" s="356">
        <f t="shared" si="158"/>
        <v>-365.83777184877346</v>
      </c>
      <c r="X512" s="356">
        <f t="shared" si="142"/>
        <v>-36147.249731153606</v>
      </c>
      <c r="Y512" s="356">
        <f t="shared" si="143"/>
        <v>36110736.643650606</v>
      </c>
      <c r="AA512" s="357">
        <f>+Bono!J512</f>
        <v>552533.1680848928</v>
      </c>
      <c r="AC512" s="378">
        <f t="shared" si="144"/>
        <v>40.75</v>
      </c>
      <c r="AD512" s="356">
        <f t="shared" si="145"/>
        <v>37845209.934594736</v>
      </c>
    </row>
    <row r="513" spans="2:30" x14ac:dyDescent="0.25">
      <c r="B513" s="356">
        <f t="shared" si="146"/>
        <v>490</v>
      </c>
      <c r="C513" s="357">
        <f t="shared" si="151"/>
        <v>40</v>
      </c>
      <c r="D513" s="357">
        <f t="shared" si="152"/>
        <v>10</v>
      </c>
      <c r="E513" s="357">
        <f t="shared" si="153"/>
        <v>69</v>
      </c>
      <c r="F513" s="356">
        <f t="shared" si="147"/>
        <v>1181940.1228592359</v>
      </c>
      <c r="H513" s="356">
        <f t="shared" si="140"/>
        <v>9424.956518235314</v>
      </c>
      <c r="I513" s="356">
        <v>0</v>
      </c>
      <c r="J513" s="356">
        <v>0</v>
      </c>
      <c r="K513" s="356">
        <f t="shared" si="148"/>
        <v>-1191.3650793774714</v>
      </c>
      <c r="L513" s="356">
        <f t="shared" si="141"/>
        <v>1190173.7142980937</v>
      </c>
      <c r="N513" s="356">
        <f t="shared" si="149"/>
        <v>490</v>
      </c>
      <c r="O513" s="357">
        <f t="shared" si="154"/>
        <v>40</v>
      </c>
      <c r="P513" s="357">
        <f t="shared" si="155"/>
        <v>10</v>
      </c>
      <c r="Q513" s="357">
        <f t="shared" si="156"/>
        <v>40</v>
      </c>
      <c r="R513" s="356">
        <f t="shared" si="150"/>
        <v>36110736.643650606</v>
      </c>
      <c r="S513" s="356">
        <f>IF($G$4="mensual",S504,IF($G$4="trimestral",S504,0))</f>
        <v>10000</v>
      </c>
      <c r="U513" s="356">
        <f t="shared" si="157"/>
        <v>288031.82639192</v>
      </c>
      <c r="V513" s="356">
        <f t="shared" si="158"/>
        <v>-365.83777184877346</v>
      </c>
      <c r="X513" s="356">
        <f t="shared" si="142"/>
        <v>-36408.76847004253</v>
      </c>
      <c r="Y513" s="356">
        <f t="shared" si="143"/>
        <v>36371993.86380064</v>
      </c>
      <c r="AA513" s="357">
        <f>+Bono!J513</f>
        <v>555958.9378168997</v>
      </c>
      <c r="AC513" s="378">
        <f t="shared" si="144"/>
        <v>40.833333333333336</v>
      </c>
      <c r="AD513" s="356">
        <f t="shared" si="145"/>
        <v>38118126.51591563</v>
      </c>
    </row>
    <row r="514" spans="2:30" x14ac:dyDescent="0.25">
      <c r="B514" s="356">
        <f t="shared" si="146"/>
        <v>491</v>
      </c>
      <c r="C514" s="357">
        <f t="shared" si="151"/>
        <v>40</v>
      </c>
      <c r="D514" s="357">
        <f t="shared" si="152"/>
        <v>11</v>
      </c>
      <c r="E514" s="357">
        <f t="shared" si="153"/>
        <v>69</v>
      </c>
      <c r="F514" s="356">
        <f t="shared" si="147"/>
        <v>1190173.7142980937</v>
      </c>
      <c r="H514" s="356">
        <f t="shared" si="140"/>
        <v>9490.612332602986</v>
      </c>
      <c r="I514" s="356">
        <v>0</v>
      </c>
      <c r="J514" s="356">
        <v>0</v>
      </c>
      <c r="K514" s="356">
        <f t="shared" si="148"/>
        <v>-1199.6643266306967</v>
      </c>
      <c r="L514" s="356">
        <f t="shared" si="141"/>
        <v>1198464.662304066</v>
      </c>
      <c r="N514" s="356">
        <f t="shared" si="149"/>
        <v>491</v>
      </c>
      <c r="O514" s="357">
        <f t="shared" si="154"/>
        <v>40</v>
      </c>
      <c r="P514" s="357">
        <f t="shared" si="155"/>
        <v>11</v>
      </c>
      <c r="Q514" s="357">
        <f t="shared" si="156"/>
        <v>40</v>
      </c>
      <c r="R514" s="356">
        <f t="shared" si="150"/>
        <v>36371993.86380064</v>
      </c>
      <c r="S514" s="356">
        <f>IF($G$17="si",S502*(1+$G$20),S502)</f>
        <v>10000</v>
      </c>
      <c r="U514" s="356">
        <f t="shared" si="157"/>
        <v>290115.1281534613</v>
      </c>
      <c r="V514" s="356">
        <f t="shared" si="158"/>
        <v>-365.83777184877346</v>
      </c>
      <c r="X514" s="356">
        <f t="shared" si="142"/>
        <v>-36672.1089919541</v>
      </c>
      <c r="Y514" s="356">
        <f t="shared" si="143"/>
        <v>36635071.0451903</v>
      </c>
      <c r="AA514" s="357">
        <f>+Bono!J514</f>
        <v>559405.9477186099</v>
      </c>
      <c r="AC514" s="378">
        <f t="shared" si="144"/>
        <v>40.916666666666664</v>
      </c>
      <c r="AD514" s="356">
        <f t="shared" si="145"/>
        <v>38392941.655212976</v>
      </c>
    </row>
    <row r="515" spans="2:30" x14ac:dyDescent="0.25">
      <c r="B515" s="356">
        <f t="shared" si="146"/>
        <v>492</v>
      </c>
      <c r="C515" s="357">
        <f t="shared" si="151"/>
        <v>40</v>
      </c>
      <c r="D515" s="357">
        <f t="shared" si="152"/>
        <v>12</v>
      </c>
      <c r="E515" s="357">
        <f t="shared" si="153"/>
        <v>69</v>
      </c>
      <c r="F515" s="356">
        <f t="shared" si="147"/>
        <v>1198464.662304066</v>
      </c>
      <c r="H515" s="356">
        <f t="shared" si="140"/>
        <v>9556.72551629135</v>
      </c>
      <c r="I515" s="356">
        <v>0</v>
      </c>
      <c r="J515" s="360">
        <f>-SUM(F515:H515)*$J$21</f>
        <v>-10872.192490383217</v>
      </c>
      <c r="K515" s="356">
        <f t="shared" si="148"/>
        <v>-1197.149195329974</v>
      </c>
      <c r="L515" s="356">
        <f t="shared" si="141"/>
        <v>1195952.046134644</v>
      </c>
      <c r="N515" s="356">
        <f t="shared" si="149"/>
        <v>492</v>
      </c>
      <c r="O515" s="357">
        <f t="shared" si="154"/>
        <v>40</v>
      </c>
      <c r="P515" s="357">
        <f t="shared" si="155"/>
        <v>12</v>
      </c>
      <c r="Q515" s="357">
        <f t="shared" si="156"/>
        <v>40</v>
      </c>
      <c r="R515" s="356">
        <f t="shared" si="150"/>
        <v>36635071.0451903</v>
      </c>
      <c r="S515" s="356">
        <f>IF($G$4="mensual",S514,0)</f>
        <v>10000</v>
      </c>
      <c r="U515" s="356">
        <f t="shared" si="157"/>
        <v>292212.94254150265</v>
      </c>
      <c r="V515" s="356">
        <f t="shared" si="158"/>
        <v>-365.83777184877346</v>
      </c>
      <c r="X515" s="356">
        <f t="shared" si="142"/>
        <v>-36937.283987731804</v>
      </c>
      <c r="Y515" s="356">
        <f t="shared" si="143"/>
        <v>36899980.86597222</v>
      </c>
      <c r="AA515" s="357">
        <f>+Bono!J515</f>
        <v>557803.3895762999</v>
      </c>
      <c r="AC515" s="378">
        <f t="shared" si="144"/>
        <v>41</v>
      </c>
      <c r="AD515" s="356">
        <f t="shared" si="145"/>
        <v>38653736.301683165</v>
      </c>
    </row>
    <row r="516" spans="2:30" x14ac:dyDescent="0.25">
      <c r="B516" s="356">
        <f t="shared" si="146"/>
        <v>493</v>
      </c>
      <c r="C516" s="357">
        <f t="shared" si="151"/>
        <v>41</v>
      </c>
      <c r="D516" s="357">
        <f t="shared" si="152"/>
        <v>1</v>
      </c>
      <c r="E516" s="357">
        <f t="shared" si="153"/>
        <v>70</v>
      </c>
      <c r="F516" s="356">
        <f t="shared" si="147"/>
        <v>1195952.046134644</v>
      </c>
      <c r="H516" s="356">
        <f t="shared" si="140"/>
        <v>9536.689562112444</v>
      </c>
      <c r="I516" s="356">
        <v>0</v>
      </c>
      <c r="J516" s="356">
        <v>0</v>
      </c>
      <c r="K516" s="356">
        <f t="shared" si="148"/>
        <v>-1205.4887356967565</v>
      </c>
      <c r="L516" s="356">
        <f t="shared" si="141"/>
        <v>1204283.2469610597</v>
      </c>
      <c r="N516" s="356">
        <f t="shared" si="149"/>
        <v>493</v>
      </c>
      <c r="O516" s="357">
        <f t="shared" si="154"/>
        <v>41</v>
      </c>
      <c r="P516" s="357">
        <f t="shared" si="155"/>
        <v>1</v>
      </c>
      <c r="Q516" s="357">
        <f t="shared" si="156"/>
        <v>41</v>
      </c>
      <c r="R516" s="356">
        <f t="shared" si="150"/>
        <v>36899980.86597222</v>
      </c>
      <c r="S516" s="356">
        <f>IF($G$17="si",S504*(1+$G$20),S504)</f>
        <v>10000</v>
      </c>
      <c r="U516" s="356">
        <f t="shared" si="157"/>
        <v>294325.37065341347</v>
      </c>
      <c r="V516" s="356">
        <f>V515*(1+$G$18)</f>
        <v>-380.4712827227244</v>
      </c>
      <c r="X516" s="356">
        <f t="shared" si="142"/>
        <v>-37204.306236625634</v>
      </c>
      <c r="Y516" s="356">
        <f t="shared" si="143"/>
        <v>37166721.45910629</v>
      </c>
      <c r="AA516" s="357">
        <f>+Bono!J516</f>
        <v>561261.8352928614</v>
      </c>
      <c r="AC516" s="378">
        <f t="shared" si="144"/>
        <v>41.083333333333336</v>
      </c>
      <c r="AD516" s="356">
        <f t="shared" si="145"/>
        <v>38932266.54136021</v>
      </c>
    </row>
    <row r="517" spans="2:30" x14ac:dyDescent="0.25">
      <c r="B517" s="356">
        <f t="shared" si="146"/>
        <v>494</v>
      </c>
      <c r="C517" s="357">
        <f t="shared" si="151"/>
        <v>41</v>
      </c>
      <c r="D517" s="357">
        <f t="shared" si="152"/>
        <v>2</v>
      </c>
      <c r="E517" s="357">
        <f t="shared" si="153"/>
        <v>70</v>
      </c>
      <c r="F517" s="356">
        <f t="shared" si="147"/>
        <v>1204283.2469610597</v>
      </c>
      <c r="H517" s="356">
        <f t="shared" si="140"/>
        <v>9603.123727443683</v>
      </c>
      <c r="I517" s="356">
        <v>0</v>
      </c>
      <c r="J517" s="356">
        <v>0</v>
      </c>
      <c r="K517" s="356">
        <f t="shared" si="148"/>
        <v>-1213.8863706885033</v>
      </c>
      <c r="L517" s="356">
        <f t="shared" si="141"/>
        <v>1212672.484317815</v>
      </c>
      <c r="N517" s="356">
        <f t="shared" si="149"/>
        <v>494</v>
      </c>
      <c r="O517" s="357">
        <f t="shared" si="154"/>
        <v>41</v>
      </c>
      <c r="P517" s="357">
        <f t="shared" si="155"/>
        <v>2</v>
      </c>
      <c r="Q517" s="357">
        <f t="shared" si="156"/>
        <v>41</v>
      </c>
      <c r="R517" s="356">
        <f t="shared" si="150"/>
        <v>37166721.45910629</v>
      </c>
      <c r="S517" s="356">
        <f>IF($G$4="mensual",S516,0)</f>
        <v>10000</v>
      </c>
      <c r="U517" s="356">
        <f t="shared" si="157"/>
        <v>296452.3976011536</v>
      </c>
      <c r="V517" s="356">
        <f>V516</f>
        <v>-380.4712827227244</v>
      </c>
      <c r="X517" s="356">
        <f t="shared" si="142"/>
        <v>-37473.17385670744</v>
      </c>
      <c r="Y517" s="356">
        <f t="shared" si="143"/>
        <v>37435320.21156801</v>
      </c>
      <c r="AA517" s="357">
        <f>+Bono!J517</f>
        <v>564741.7237740206</v>
      </c>
      <c r="AC517" s="378">
        <f t="shared" si="144"/>
        <v>41.166666666666664</v>
      </c>
      <c r="AD517" s="356">
        <f t="shared" si="145"/>
        <v>39212734.41965985</v>
      </c>
    </row>
    <row r="518" spans="2:30" x14ac:dyDescent="0.25">
      <c r="B518" s="356">
        <f t="shared" si="146"/>
        <v>495</v>
      </c>
      <c r="C518" s="357">
        <f t="shared" si="151"/>
        <v>41</v>
      </c>
      <c r="D518" s="357">
        <f t="shared" si="152"/>
        <v>3</v>
      </c>
      <c r="E518" s="357">
        <f t="shared" si="153"/>
        <v>70</v>
      </c>
      <c r="F518" s="356">
        <f t="shared" si="147"/>
        <v>1212672.484317815</v>
      </c>
      <c r="H518" s="356">
        <f t="shared" si="140"/>
        <v>9670.020684217854</v>
      </c>
      <c r="I518" s="356">
        <v>0</v>
      </c>
      <c r="J518" s="360">
        <f>-SUM(F518:H518)*$J$21</f>
        <v>-11001.082545018297</v>
      </c>
      <c r="K518" s="356">
        <f t="shared" si="148"/>
        <v>-1211.3414224570145</v>
      </c>
      <c r="L518" s="356">
        <f t="shared" si="141"/>
        <v>1210130.0810345574</v>
      </c>
      <c r="N518" s="356">
        <f t="shared" si="149"/>
        <v>495</v>
      </c>
      <c r="O518" s="357">
        <f t="shared" si="154"/>
        <v>41</v>
      </c>
      <c r="P518" s="357">
        <f t="shared" si="155"/>
        <v>3</v>
      </c>
      <c r="Q518" s="357">
        <f t="shared" si="156"/>
        <v>41</v>
      </c>
      <c r="R518" s="356">
        <f t="shared" si="150"/>
        <v>37435320.21156801</v>
      </c>
      <c r="S518" s="356">
        <f>IF($G$4="mensual",S517,0)</f>
        <v>10000</v>
      </c>
      <c r="U518" s="356">
        <f t="shared" si="157"/>
        <v>298594.24177231174</v>
      </c>
      <c r="V518" s="356">
        <f t="shared" si="158"/>
        <v>-380.4712827227244</v>
      </c>
      <c r="X518" s="356">
        <f t="shared" si="142"/>
        <v>-37743.91445334032</v>
      </c>
      <c r="Y518" s="356">
        <f t="shared" si="143"/>
        <v>37705790.06760426</v>
      </c>
      <c r="AA518" s="357">
        <f>+Bono!J518</f>
        <v>563123.8799676986</v>
      </c>
      <c r="AC518" s="378">
        <f t="shared" si="144"/>
        <v>41.25</v>
      </c>
      <c r="AD518" s="356">
        <f t="shared" si="145"/>
        <v>39479044.02860651</v>
      </c>
    </row>
    <row r="519" spans="2:30" x14ac:dyDescent="0.25">
      <c r="B519" s="356">
        <f t="shared" si="146"/>
        <v>496</v>
      </c>
      <c r="C519" s="357">
        <f t="shared" si="151"/>
        <v>41</v>
      </c>
      <c r="D519" s="357">
        <f t="shared" si="152"/>
        <v>4</v>
      </c>
      <c r="E519" s="357">
        <f t="shared" si="153"/>
        <v>70</v>
      </c>
      <c r="F519" s="356">
        <f t="shared" si="147"/>
        <v>1210130.0810345574</v>
      </c>
      <c r="H519" s="356">
        <f t="shared" si="140"/>
        <v>9649.747203410252</v>
      </c>
      <c r="I519" s="356">
        <v>0</v>
      </c>
      <c r="J519" s="356">
        <v>0</v>
      </c>
      <c r="K519" s="356">
        <f t="shared" si="148"/>
        <v>-1219.7798282379676</v>
      </c>
      <c r="L519" s="356">
        <f t="shared" si="141"/>
        <v>1218560.0484097295</v>
      </c>
      <c r="N519" s="356">
        <f t="shared" si="149"/>
        <v>496</v>
      </c>
      <c r="O519" s="357">
        <f t="shared" si="154"/>
        <v>41</v>
      </c>
      <c r="P519" s="357">
        <f t="shared" si="155"/>
        <v>4</v>
      </c>
      <c r="Q519" s="357">
        <f t="shared" si="156"/>
        <v>41</v>
      </c>
      <c r="R519" s="356">
        <f t="shared" si="150"/>
        <v>37705790.06760426</v>
      </c>
      <c r="S519" s="356">
        <f>IF($G$4="mensual",S516,IF($G$4="trimestral",S516,0))</f>
        <v>10000</v>
      </c>
      <c r="U519" s="356">
        <f t="shared" si="157"/>
        <v>300751.0063861302</v>
      </c>
      <c r="V519" s="356">
        <f t="shared" si="158"/>
        <v>-380.4712827227244</v>
      </c>
      <c r="X519" s="356">
        <f t="shared" si="142"/>
        <v>-38016.54107399039</v>
      </c>
      <c r="Y519" s="356">
        <f t="shared" si="143"/>
        <v>37978144.06163368</v>
      </c>
      <c r="AA519" s="357">
        <f>+Bono!J519</f>
        <v>566615.3133418255</v>
      </c>
      <c r="AC519" s="378">
        <f t="shared" si="144"/>
        <v>41.333333333333336</v>
      </c>
      <c r="AD519" s="356">
        <f t="shared" si="145"/>
        <v>39763319.42338523</v>
      </c>
    </row>
    <row r="520" spans="2:30" x14ac:dyDescent="0.25">
      <c r="B520" s="356">
        <f t="shared" si="146"/>
        <v>497</v>
      </c>
      <c r="C520" s="357">
        <f t="shared" si="151"/>
        <v>41</v>
      </c>
      <c r="D520" s="357">
        <f t="shared" si="152"/>
        <v>5</v>
      </c>
      <c r="E520" s="357">
        <f t="shared" si="153"/>
        <v>70</v>
      </c>
      <c r="F520" s="356">
        <f t="shared" si="147"/>
        <v>1218560.0484097295</v>
      </c>
      <c r="H520" s="356">
        <f t="shared" si="140"/>
        <v>9716.968947070953</v>
      </c>
      <c r="I520" s="356">
        <v>0</v>
      </c>
      <c r="J520" s="356">
        <v>0</v>
      </c>
      <c r="K520" s="356">
        <f t="shared" si="148"/>
        <v>-1228.2770173568003</v>
      </c>
      <c r="L520" s="356">
        <f t="shared" si="141"/>
        <v>1227048.7403394436</v>
      </c>
      <c r="N520" s="356">
        <f t="shared" si="149"/>
        <v>497</v>
      </c>
      <c r="O520" s="357">
        <f t="shared" si="154"/>
        <v>41</v>
      </c>
      <c r="P520" s="357">
        <f t="shared" si="155"/>
        <v>5</v>
      </c>
      <c r="Q520" s="357">
        <f t="shared" si="156"/>
        <v>41</v>
      </c>
      <c r="R520" s="356">
        <f t="shared" si="150"/>
        <v>37978144.06163368</v>
      </c>
      <c r="S520" s="356">
        <f>IF($G$4="mensual",S519,0)</f>
        <v>10000</v>
      </c>
      <c r="U520" s="356">
        <f t="shared" si="157"/>
        <v>302922.79538089357</v>
      </c>
      <c r="V520" s="356">
        <f t="shared" si="158"/>
        <v>-380.4712827227244</v>
      </c>
      <c r="X520" s="356">
        <f t="shared" si="142"/>
        <v>-38291.066857014564</v>
      </c>
      <c r="Y520" s="356">
        <f t="shared" si="143"/>
        <v>38252395.31887483</v>
      </c>
      <c r="AA520" s="357">
        <f>+Bono!J520</f>
        <v>570128.3940078532</v>
      </c>
      <c r="AC520" s="378">
        <f t="shared" si="144"/>
        <v>41.416666666666664</v>
      </c>
      <c r="AD520" s="356">
        <f t="shared" si="145"/>
        <v>40049572.453222126</v>
      </c>
    </row>
    <row r="521" spans="2:30" x14ac:dyDescent="0.25">
      <c r="B521" s="356">
        <f t="shared" si="146"/>
        <v>498</v>
      </c>
      <c r="C521" s="357">
        <f t="shared" si="151"/>
        <v>41</v>
      </c>
      <c r="D521" s="357">
        <f t="shared" si="152"/>
        <v>6</v>
      </c>
      <c r="E521" s="357">
        <f t="shared" si="153"/>
        <v>70</v>
      </c>
      <c r="F521" s="356">
        <f t="shared" si="147"/>
        <v>1227048.7403394436</v>
      </c>
      <c r="H521" s="356">
        <f t="shared" si="140"/>
        <v>9784.658968576194</v>
      </c>
      <c r="I521" s="356">
        <v>0</v>
      </c>
      <c r="J521" s="360">
        <f>-SUM(F521:H521)*$J$21</f>
        <v>-11131.50059377218</v>
      </c>
      <c r="K521" s="356">
        <f t="shared" si="148"/>
        <v>-1225.7018987142476</v>
      </c>
      <c r="L521" s="356">
        <f t="shared" si="141"/>
        <v>1224476.1968155333</v>
      </c>
      <c r="N521" s="356">
        <f t="shared" si="149"/>
        <v>498</v>
      </c>
      <c r="O521" s="357">
        <f t="shared" si="154"/>
        <v>41</v>
      </c>
      <c r="P521" s="357">
        <f t="shared" si="155"/>
        <v>6</v>
      </c>
      <c r="Q521" s="357">
        <f t="shared" si="156"/>
        <v>41</v>
      </c>
      <c r="R521" s="356">
        <f t="shared" si="150"/>
        <v>38252395.31887483</v>
      </c>
      <c r="S521" s="356">
        <f>IF($G$4="mensual",S520,0)</f>
        <v>10000</v>
      </c>
      <c r="U521" s="356">
        <f t="shared" si="157"/>
        <v>305109.7134189379</v>
      </c>
      <c r="V521" s="356">
        <f t="shared" si="158"/>
        <v>-380.4712827227244</v>
      </c>
      <c r="X521" s="356">
        <f t="shared" si="142"/>
        <v>-38567.50503229377</v>
      </c>
      <c r="Y521" s="356">
        <f t="shared" si="143"/>
        <v>38528557.05597875</v>
      </c>
      <c r="AA521" s="357">
        <f>+Bono!J521</f>
        <v>568495.1187384258</v>
      </c>
      <c r="AC521" s="378">
        <f t="shared" si="144"/>
        <v>41.5</v>
      </c>
      <c r="AD521" s="356">
        <f t="shared" si="145"/>
        <v>40321528.371532716</v>
      </c>
    </row>
    <row r="522" spans="2:30" x14ac:dyDescent="0.25">
      <c r="B522" s="356">
        <f t="shared" si="146"/>
        <v>499</v>
      </c>
      <c r="C522" s="357">
        <f t="shared" si="151"/>
        <v>41</v>
      </c>
      <c r="D522" s="357">
        <f t="shared" si="152"/>
        <v>7</v>
      </c>
      <c r="E522" s="357">
        <f t="shared" si="153"/>
        <v>70</v>
      </c>
      <c r="F522" s="356">
        <f t="shared" si="147"/>
        <v>1224476.1968155333</v>
      </c>
      <c r="H522" s="356">
        <f t="shared" si="140"/>
        <v>9764.145145257067</v>
      </c>
      <c r="I522" s="356">
        <v>0</v>
      </c>
      <c r="J522" s="356">
        <v>0</v>
      </c>
      <c r="K522" s="356">
        <f t="shared" si="148"/>
        <v>-1234.2403419607904</v>
      </c>
      <c r="L522" s="356">
        <f t="shared" si="141"/>
        <v>1233006.1016188296</v>
      </c>
      <c r="N522" s="356">
        <f t="shared" si="149"/>
        <v>499</v>
      </c>
      <c r="O522" s="357">
        <f t="shared" si="154"/>
        <v>41</v>
      </c>
      <c r="P522" s="357">
        <f t="shared" si="155"/>
        <v>7</v>
      </c>
      <c r="Q522" s="357">
        <f t="shared" si="156"/>
        <v>41</v>
      </c>
      <c r="R522" s="356">
        <f t="shared" si="150"/>
        <v>38528557.05597875</v>
      </c>
      <c r="S522" s="356">
        <f>+IF($G$4="mensual",S516,IF($G$4="trimestral",S516,IF($G$4="semestral",S516,0)))</f>
        <v>10000</v>
      </c>
      <c r="U522" s="356">
        <f t="shared" si="157"/>
        <v>307311.8658916946</v>
      </c>
      <c r="V522" s="356">
        <f t="shared" si="158"/>
        <v>-380.4712827227244</v>
      </c>
      <c r="X522" s="356">
        <f t="shared" si="142"/>
        <v>-38845.868921870446</v>
      </c>
      <c r="Y522" s="356">
        <f t="shared" si="143"/>
        <v>38806642.58166586</v>
      </c>
      <c r="AA522" s="357">
        <f>+Bono!J522</f>
        <v>572019.8544159563</v>
      </c>
      <c r="AC522" s="378">
        <f t="shared" si="144"/>
        <v>41.583333333333336</v>
      </c>
      <c r="AD522" s="356">
        <f t="shared" si="145"/>
        <v>40611668.53770064</v>
      </c>
    </row>
    <row r="523" spans="2:30" x14ac:dyDescent="0.25">
      <c r="B523" s="356">
        <f t="shared" si="146"/>
        <v>500</v>
      </c>
      <c r="C523" s="357">
        <f t="shared" si="151"/>
        <v>41</v>
      </c>
      <c r="D523" s="357">
        <f t="shared" si="152"/>
        <v>8</v>
      </c>
      <c r="E523" s="357">
        <f t="shared" si="153"/>
        <v>70</v>
      </c>
      <c r="F523" s="356">
        <f t="shared" si="147"/>
        <v>1233006.1016188296</v>
      </c>
      <c r="H523" s="356">
        <f t="shared" si="140"/>
        <v>9832.163804003732</v>
      </c>
      <c r="I523" s="356">
        <v>0</v>
      </c>
      <c r="J523" s="356">
        <v>0</v>
      </c>
      <c r="K523" s="356">
        <f t="shared" si="148"/>
        <v>-1242.8382654228335</v>
      </c>
      <c r="L523" s="356">
        <f t="shared" si="141"/>
        <v>1241595.4271574107</v>
      </c>
      <c r="N523" s="356">
        <f t="shared" si="149"/>
        <v>500</v>
      </c>
      <c r="O523" s="357">
        <f t="shared" si="154"/>
        <v>41</v>
      </c>
      <c r="P523" s="357">
        <f t="shared" si="155"/>
        <v>8</v>
      </c>
      <c r="Q523" s="357">
        <f t="shared" si="156"/>
        <v>41</v>
      </c>
      <c r="R523" s="356">
        <f t="shared" si="150"/>
        <v>38806642.58166586</v>
      </c>
      <c r="S523" s="356">
        <f>IF($G$4="mensual",S522,0)</f>
        <v>10000</v>
      </c>
      <c r="U523" s="356">
        <f t="shared" si="157"/>
        <v>309529.3589247691</v>
      </c>
      <c r="V523" s="356">
        <f t="shared" si="158"/>
        <v>-380.4712827227244</v>
      </c>
      <c r="X523" s="356">
        <f t="shared" si="142"/>
        <v>-39126.171940590626</v>
      </c>
      <c r="Y523" s="356">
        <f t="shared" si="143"/>
        <v>39086665.29736732</v>
      </c>
      <c r="AA523" s="357">
        <f>+Bono!J523</f>
        <v>575566.4438635316</v>
      </c>
      <c r="AC523" s="378">
        <f t="shared" si="144"/>
        <v>41.666666666666664</v>
      </c>
      <c r="AD523" s="356">
        <f t="shared" si="145"/>
        <v>40903827.16838826</v>
      </c>
    </row>
    <row r="524" spans="2:30" x14ac:dyDescent="0.25">
      <c r="B524" s="356">
        <f t="shared" si="146"/>
        <v>501</v>
      </c>
      <c r="C524" s="357">
        <f t="shared" si="151"/>
        <v>41</v>
      </c>
      <c r="D524" s="357">
        <f t="shared" si="152"/>
        <v>9</v>
      </c>
      <c r="E524" s="357">
        <f t="shared" si="153"/>
        <v>70</v>
      </c>
      <c r="F524" s="356">
        <f t="shared" si="147"/>
        <v>1241595.4271574107</v>
      </c>
      <c r="H524" s="356">
        <f t="shared" si="140"/>
        <v>9900.656292037947</v>
      </c>
      <c r="I524" s="356">
        <v>0</v>
      </c>
      <c r="J524" s="360">
        <f>-SUM(F524:H524)*$J$21</f>
        <v>-11263.46475104504</v>
      </c>
      <c r="K524" s="356">
        <f t="shared" si="148"/>
        <v>-1240.2326186984037</v>
      </c>
      <c r="L524" s="356">
        <f t="shared" si="141"/>
        <v>1238992.3860797053</v>
      </c>
      <c r="N524" s="356">
        <f t="shared" si="149"/>
        <v>501</v>
      </c>
      <c r="O524" s="357">
        <f t="shared" si="154"/>
        <v>41</v>
      </c>
      <c r="P524" s="357">
        <f t="shared" si="155"/>
        <v>9</v>
      </c>
      <c r="Q524" s="357">
        <f t="shared" si="156"/>
        <v>41</v>
      </c>
      <c r="R524" s="356">
        <f t="shared" si="150"/>
        <v>39086665.29736732</v>
      </c>
      <c r="S524" s="356">
        <f>IF($G$4="mensual",S523,0)</f>
        <v>10000</v>
      </c>
      <c r="U524" s="356">
        <f t="shared" si="157"/>
        <v>311762.29938305554</v>
      </c>
      <c r="V524" s="356">
        <f t="shared" si="158"/>
        <v>-380.4712827227244</v>
      </c>
      <c r="X524" s="356">
        <f t="shared" si="142"/>
        <v>-39408.42759675038</v>
      </c>
      <c r="Y524" s="356">
        <f t="shared" si="143"/>
        <v>39368638.69787091</v>
      </c>
      <c r="AA524" s="357">
        <f>+Bono!J524</f>
        <v>573917.5899412314</v>
      </c>
      <c r="AC524" s="378">
        <f t="shared" si="144"/>
        <v>41.75</v>
      </c>
      <c r="AD524" s="356">
        <f t="shared" si="145"/>
        <v>41181548.67389185</v>
      </c>
    </row>
    <row r="525" spans="2:30" x14ac:dyDescent="0.25">
      <c r="B525" s="356">
        <f t="shared" si="146"/>
        <v>502</v>
      </c>
      <c r="C525" s="357">
        <f t="shared" si="151"/>
        <v>41</v>
      </c>
      <c r="D525" s="357">
        <f t="shared" si="152"/>
        <v>10</v>
      </c>
      <c r="E525" s="357">
        <f t="shared" si="153"/>
        <v>70</v>
      </c>
      <c r="F525" s="356">
        <f t="shared" si="147"/>
        <v>1238992.3860797053</v>
      </c>
      <c r="H525" s="356">
        <f t="shared" si="140"/>
        <v>9879.89927694212</v>
      </c>
      <c r="I525" s="356">
        <v>0</v>
      </c>
      <c r="J525" s="356">
        <v>0</v>
      </c>
      <c r="K525" s="356">
        <f t="shared" si="148"/>
        <v>-1248.8722853566474</v>
      </c>
      <c r="L525" s="356">
        <f t="shared" si="141"/>
        <v>1247623.4130712906</v>
      </c>
      <c r="N525" s="356">
        <f t="shared" si="149"/>
        <v>502</v>
      </c>
      <c r="O525" s="357">
        <f t="shared" si="154"/>
        <v>41</v>
      </c>
      <c r="P525" s="357">
        <f t="shared" si="155"/>
        <v>10</v>
      </c>
      <c r="Q525" s="357">
        <f t="shared" si="156"/>
        <v>41</v>
      </c>
      <c r="R525" s="356">
        <f t="shared" si="150"/>
        <v>39368638.69787091</v>
      </c>
      <c r="S525" s="356">
        <f>IF($G$4="mensual",S516,IF($G$4="trimestral",S516,0))</f>
        <v>10000</v>
      </c>
      <c r="U525" s="356">
        <f t="shared" si="157"/>
        <v>314010.7948758867</v>
      </c>
      <c r="V525" s="356">
        <f t="shared" si="158"/>
        <v>-380.4712827227244</v>
      </c>
      <c r="X525" s="356">
        <f t="shared" si="142"/>
        <v>-39692.6494927468</v>
      </c>
      <c r="Y525" s="356">
        <f t="shared" si="143"/>
        <v>39652576.37197133</v>
      </c>
      <c r="AA525" s="357">
        <f>+Bono!J525</f>
        <v>577475.945569187</v>
      </c>
      <c r="AC525" s="378">
        <f t="shared" si="144"/>
        <v>41.833333333333336</v>
      </c>
      <c r="AD525" s="356">
        <f t="shared" si="145"/>
        <v>41477675.73061181</v>
      </c>
    </row>
    <row r="526" spans="2:30" x14ac:dyDescent="0.25">
      <c r="B526" s="356">
        <f t="shared" si="146"/>
        <v>503</v>
      </c>
      <c r="C526" s="357">
        <f t="shared" si="151"/>
        <v>41</v>
      </c>
      <c r="D526" s="357">
        <f t="shared" si="152"/>
        <v>11</v>
      </c>
      <c r="E526" s="357">
        <f t="shared" si="153"/>
        <v>70</v>
      </c>
      <c r="F526" s="356">
        <f t="shared" si="147"/>
        <v>1247623.4130712906</v>
      </c>
      <c r="H526" s="356">
        <f t="shared" si="140"/>
        <v>9948.72429821868</v>
      </c>
      <c r="I526" s="356">
        <v>0</v>
      </c>
      <c r="J526" s="356">
        <v>0</v>
      </c>
      <c r="K526" s="356">
        <f t="shared" si="148"/>
        <v>-1257.5721373695094</v>
      </c>
      <c r="L526" s="356">
        <f t="shared" si="141"/>
        <v>1256314.5652321398</v>
      </c>
      <c r="N526" s="356">
        <f t="shared" si="149"/>
        <v>503</v>
      </c>
      <c r="O526" s="357">
        <f t="shared" si="154"/>
        <v>41</v>
      </c>
      <c r="P526" s="357">
        <f t="shared" si="155"/>
        <v>11</v>
      </c>
      <c r="Q526" s="357">
        <f t="shared" si="156"/>
        <v>41</v>
      </c>
      <c r="R526" s="356">
        <f t="shared" si="150"/>
        <v>39652576.37197133</v>
      </c>
      <c r="S526" s="356">
        <f>IF($G$17="si",S514*(1+$G$20),S514)</f>
        <v>10000</v>
      </c>
      <c r="U526" s="356">
        <f t="shared" si="157"/>
        <v>316274.95376221975</v>
      </c>
      <c r="V526" s="356">
        <f t="shared" si="158"/>
        <v>-380.4712827227244</v>
      </c>
      <c r="X526" s="356">
        <f t="shared" si="142"/>
        <v>-39978.85132573355</v>
      </c>
      <c r="Y526" s="356">
        <f t="shared" si="143"/>
        <v>39938492.003125094</v>
      </c>
      <c r="AA526" s="357">
        <f>+Bono!J526</f>
        <v>581056.3634147798</v>
      </c>
      <c r="AC526" s="378">
        <f t="shared" si="144"/>
        <v>41.916666666666664</v>
      </c>
      <c r="AD526" s="356">
        <f t="shared" si="145"/>
        <v>41775862.931772016</v>
      </c>
    </row>
    <row r="527" spans="2:30" x14ac:dyDescent="0.25">
      <c r="B527" s="356">
        <f t="shared" si="146"/>
        <v>504</v>
      </c>
      <c r="C527" s="357">
        <f t="shared" si="151"/>
        <v>41</v>
      </c>
      <c r="D527" s="357">
        <f t="shared" si="152"/>
        <v>12</v>
      </c>
      <c r="E527" s="357">
        <f t="shared" si="153"/>
        <v>70</v>
      </c>
      <c r="F527" s="356">
        <f t="shared" si="147"/>
        <v>1256314.5652321398</v>
      </c>
      <c r="H527" s="356">
        <f t="shared" si="140"/>
        <v>10018.028766038262</v>
      </c>
      <c r="I527" s="356">
        <v>0</v>
      </c>
      <c r="J527" s="360">
        <f>-SUM(F527:H527)*$J$21</f>
        <v>-11396.993345983605</v>
      </c>
      <c r="K527" s="356">
        <f t="shared" si="148"/>
        <v>-1254.9356006521946</v>
      </c>
      <c r="L527" s="356">
        <f t="shared" si="141"/>
        <v>1253680.6650515425</v>
      </c>
      <c r="N527" s="356">
        <f t="shared" si="149"/>
        <v>504</v>
      </c>
      <c r="O527" s="357">
        <f t="shared" si="154"/>
        <v>41</v>
      </c>
      <c r="P527" s="357">
        <f t="shared" si="155"/>
        <v>12</v>
      </c>
      <c r="Q527" s="357">
        <f t="shared" si="156"/>
        <v>41</v>
      </c>
      <c r="R527" s="356">
        <f t="shared" si="150"/>
        <v>39938492.003125094</v>
      </c>
      <c r="S527" s="356">
        <f>IF($G$4="mensual",S526,0)</f>
        <v>10000</v>
      </c>
      <c r="U527" s="356">
        <f t="shared" si="157"/>
        <v>318554.88515585853</v>
      </c>
      <c r="V527" s="356">
        <f t="shared" si="158"/>
        <v>-380.4712827227244</v>
      </c>
      <c r="X527" s="356">
        <f t="shared" si="142"/>
        <v>-40267.04688828095</v>
      </c>
      <c r="Y527" s="356">
        <f t="shared" si="143"/>
        <v>40226399.370109946</v>
      </c>
      <c r="AA527" s="357">
        <f>+Bono!J527</f>
        <v>579391.7822459006</v>
      </c>
      <c r="AC527" s="378">
        <f t="shared" si="144"/>
        <v>42</v>
      </c>
      <c r="AD527" s="356">
        <f t="shared" si="145"/>
        <v>42059471.81740739</v>
      </c>
    </row>
    <row r="528" spans="2:30" x14ac:dyDescent="0.25">
      <c r="B528" s="356">
        <f t="shared" si="146"/>
        <v>505</v>
      </c>
      <c r="C528" s="357">
        <f t="shared" si="151"/>
        <v>42</v>
      </c>
      <c r="D528" s="357">
        <f t="shared" si="152"/>
        <v>1</v>
      </c>
      <c r="E528" s="357">
        <f t="shared" si="153"/>
        <v>71</v>
      </c>
      <c r="F528" s="356">
        <f t="shared" si="147"/>
        <v>1253680.6650515425</v>
      </c>
      <c r="H528" s="356">
        <f t="shared" si="140"/>
        <v>9997.025676122463</v>
      </c>
      <c r="I528" s="356">
        <v>0</v>
      </c>
      <c r="J528" s="356">
        <v>0</v>
      </c>
      <c r="K528" s="356">
        <f t="shared" si="148"/>
        <v>-1263.6776907276649</v>
      </c>
      <c r="L528" s="356">
        <f t="shared" si="141"/>
        <v>1262414.0130369372</v>
      </c>
      <c r="N528" s="356">
        <f t="shared" si="149"/>
        <v>505</v>
      </c>
      <c r="O528" s="357">
        <f t="shared" si="154"/>
        <v>42</v>
      </c>
      <c r="P528" s="357">
        <f t="shared" si="155"/>
        <v>1</v>
      </c>
      <c r="Q528" s="357">
        <f t="shared" si="156"/>
        <v>42</v>
      </c>
      <c r="R528" s="356">
        <f t="shared" si="150"/>
        <v>40226399.370109946</v>
      </c>
      <c r="S528" s="356">
        <f>IF($G$17="si",S516*(1+$G$20),S516)</f>
        <v>10000</v>
      </c>
      <c r="U528" s="356">
        <f t="shared" si="157"/>
        <v>320850.69893071166</v>
      </c>
      <c r="V528" s="356">
        <f>V527*(1+$G$18)</f>
        <v>-395.6901340316334</v>
      </c>
      <c r="X528" s="356">
        <f t="shared" si="142"/>
        <v>-40557.25006904066</v>
      </c>
      <c r="Y528" s="356">
        <f t="shared" si="143"/>
        <v>40516297.128837585</v>
      </c>
      <c r="AA528" s="357">
        <f>+Bono!J528</f>
        <v>582984.0785011123</v>
      </c>
      <c r="AC528" s="378">
        <f t="shared" si="144"/>
        <v>42.083333333333336</v>
      </c>
      <c r="AD528" s="356">
        <f t="shared" si="145"/>
        <v>42361695.220375635</v>
      </c>
    </row>
    <row r="529" spans="2:30" x14ac:dyDescent="0.25">
      <c r="B529" s="356">
        <f t="shared" si="146"/>
        <v>506</v>
      </c>
      <c r="C529" s="357">
        <f t="shared" si="151"/>
        <v>42</v>
      </c>
      <c r="D529" s="357">
        <f t="shared" si="152"/>
        <v>2</v>
      </c>
      <c r="E529" s="357">
        <f t="shared" si="153"/>
        <v>71</v>
      </c>
      <c r="F529" s="356">
        <f t="shared" si="147"/>
        <v>1262414.0130369372</v>
      </c>
      <c r="H529" s="356">
        <f t="shared" si="140"/>
        <v>10066.666619372485</v>
      </c>
      <c r="I529" s="356">
        <v>0</v>
      </c>
      <c r="J529" s="356">
        <v>0</v>
      </c>
      <c r="K529" s="356">
        <f t="shared" si="148"/>
        <v>-1272.4806796563098</v>
      </c>
      <c r="L529" s="356">
        <f t="shared" si="141"/>
        <v>1271208.1989766534</v>
      </c>
      <c r="N529" s="356">
        <f t="shared" si="149"/>
        <v>506</v>
      </c>
      <c r="O529" s="357">
        <f t="shared" si="154"/>
        <v>42</v>
      </c>
      <c r="P529" s="357">
        <f t="shared" si="155"/>
        <v>2</v>
      </c>
      <c r="Q529" s="357">
        <f t="shared" si="156"/>
        <v>42</v>
      </c>
      <c r="R529" s="356">
        <f t="shared" si="150"/>
        <v>40516297.128837585</v>
      </c>
      <c r="S529" s="356">
        <f>IF($G$4="mensual",S528,0)</f>
        <v>10000</v>
      </c>
      <c r="U529" s="356">
        <f t="shared" si="157"/>
        <v>323162.38436883036</v>
      </c>
      <c r="V529" s="356">
        <f>V528</f>
        <v>-395.6901340316334</v>
      </c>
      <c r="X529" s="356">
        <f t="shared" si="142"/>
        <v>-40849.45951320641</v>
      </c>
      <c r="Y529" s="356">
        <f t="shared" si="143"/>
        <v>40808214.36355917</v>
      </c>
      <c r="AA529" s="357">
        <f>+Bono!J529</f>
        <v>586598.6474097868</v>
      </c>
      <c r="AC529" s="378">
        <f t="shared" si="144"/>
        <v>42.166666666666664</v>
      </c>
      <c r="AD529" s="356">
        <f t="shared" si="145"/>
        <v>42666021.20994561</v>
      </c>
    </row>
    <row r="530" spans="2:30" x14ac:dyDescent="0.25">
      <c r="B530" s="356">
        <f t="shared" si="146"/>
        <v>507</v>
      </c>
      <c r="C530" s="357">
        <f t="shared" si="151"/>
        <v>42</v>
      </c>
      <c r="D530" s="357">
        <f t="shared" si="152"/>
        <v>3</v>
      </c>
      <c r="E530" s="357">
        <f t="shared" si="153"/>
        <v>71</v>
      </c>
      <c r="F530" s="356">
        <f t="shared" si="147"/>
        <v>1271208.1989766534</v>
      </c>
      <c r="H530" s="356">
        <f t="shared" si="140"/>
        <v>10136.792693013673</v>
      </c>
      <c r="I530" s="356">
        <v>0</v>
      </c>
      <c r="J530" s="360">
        <f>-SUM(F530:H530)*$J$21</f>
        <v>-11532.104925027004</v>
      </c>
      <c r="K530" s="356">
        <f t="shared" si="148"/>
        <v>-1269.8128867446399</v>
      </c>
      <c r="L530" s="356">
        <f t="shared" si="141"/>
        <v>1268543.073857895</v>
      </c>
      <c r="N530" s="356">
        <f t="shared" si="149"/>
        <v>507</v>
      </c>
      <c r="O530" s="357">
        <f t="shared" si="154"/>
        <v>42</v>
      </c>
      <c r="P530" s="357">
        <f t="shared" si="155"/>
        <v>3</v>
      </c>
      <c r="Q530" s="357">
        <f t="shared" si="156"/>
        <v>42</v>
      </c>
      <c r="R530" s="356">
        <f t="shared" si="150"/>
        <v>40808214.36355917</v>
      </c>
      <c r="S530" s="356">
        <f>IF($G$4="mensual",S529,0)</f>
        <v>10000</v>
      </c>
      <c r="U530" s="356">
        <f t="shared" si="157"/>
        <v>325490.17339211755</v>
      </c>
      <c r="V530" s="356">
        <f t="shared" si="158"/>
        <v>-395.6901340316334</v>
      </c>
      <c r="X530" s="356">
        <f t="shared" si="142"/>
        <v>-41143.70453695129</v>
      </c>
      <c r="Y530" s="356">
        <f t="shared" si="143"/>
        <v>41102165.1422803</v>
      </c>
      <c r="AA530" s="357">
        <f>+Bono!J530</f>
        <v>584918.1889832929</v>
      </c>
      <c r="AC530" s="378">
        <f t="shared" si="144"/>
        <v>42.25</v>
      </c>
      <c r="AD530" s="356">
        <f t="shared" si="145"/>
        <v>42955626.40512149</v>
      </c>
    </row>
    <row r="531" spans="2:30" x14ac:dyDescent="0.25">
      <c r="B531" s="356">
        <f t="shared" si="146"/>
        <v>508</v>
      </c>
      <c r="C531" s="357">
        <f t="shared" si="151"/>
        <v>42</v>
      </c>
      <c r="D531" s="357">
        <f t="shared" si="152"/>
        <v>4</v>
      </c>
      <c r="E531" s="357">
        <f t="shared" si="153"/>
        <v>71</v>
      </c>
      <c r="F531" s="356">
        <f t="shared" si="147"/>
        <v>1268543.073857895</v>
      </c>
      <c r="H531" s="356">
        <f t="shared" si="140"/>
        <v>10115.540611056094</v>
      </c>
      <c r="I531" s="356">
        <v>0</v>
      </c>
      <c r="J531" s="356">
        <v>0</v>
      </c>
      <c r="K531" s="356">
        <f t="shared" si="148"/>
        <v>-1278.6586144689513</v>
      </c>
      <c r="L531" s="356">
        <f t="shared" si="141"/>
        <v>1277379.9558544823</v>
      </c>
      <c r="N531" s="356">
        <f t="shared" si="149"/>
        <v>508</v>
      </c>
      <c r="O531" s="357">
        <f t="shared" si="154"/>
        <v>42</v>
      </c>
      <c r="P531" s="357">
        <f t="shared" si="155"/>
        <v>4</v>
      </c>
      <c r="Q531" s="357">
        <f t="shared" si="156"/>
        <v>42</v>
      </c>
      <c r="R531" s="356">
        <f t="shared" si="150"/>
        <v>41102165.1422803</v>
      </c>
      <c r="S531" s="356">
        <f>IF($G$4="mensual",S528,IF($G$4="trimestral",S528,0))</f>
        <v>10000</v>
      </c>
      <c r="U531" s="356">
        <f t="shared" si="157"/>
        <v>327834.17818082543</v>
      </c>
      <c r="V531" s="356">
        <f t="shared" si="158"/>
        <v>-395.6901340316334</v>
      </c>
      <c r="X531" s="356">
        <f t="shared" si="142"/>
        <v>-41439.99932046113</v>
      </c>
      <c r="Y531" s="356">
        <f t="shared" si="143"/>
        <v>41398163.631006636</v>
      </c>
      <c r="AA531" s="357">
        <f>+Bono!J531</f>
        <v>588544.7496012999</v>
      </c>
      <c r="AC531" s="378">
        <f t="shared" si="144"/>
        <v>42.333333333333336</v>
      </c>
      <c r="AD531" s="356">
        <f t="shared" si="145"/>
        <v>43264088.336462416</v>
      </c>
    </row>
    <row r="532" spans="2:30" x14ac:dyDescent="0.25">
      <c r="B532" s="356">
        <f t="shared" si="146"/>
        <v>509</v>
      </c>
      <c r="C532" s="357">
        <f t="shared" si="151"/>
        <v>42</v>
      </c>
      <c r="D532" s="357">
        <f t="shared" si="152"/>
        <v>5</v>
      </c>
      <c r="E532" s="357">
        <f t="shared" si="153"/>
        <v>71</v>
      </c>
      <c r="F532" s="356">
        <f t="shared" si="147"/>
        <v>1277379.9558544823</v>
      </c>
      <c r="H532" s="356">
        <f t="shared" si="140"/>
        <v>10186.007149050532</v>
      </c>
      <c r="I532" s="356">
        <v>0</v>
      </c>
      <c r="J532" s="356">
        <v>0</v>
      </c>
      <c r="K532" s="356">
        <f t="shared" si="148"/>
        <v>-1287.5659630035327</v>
      </c>
      <c r="L532" s="356">
        <f t="shared" si="141"/>
        <v>1286278.3970405292</v>
      </c>
      <c r="N532" s="356">
        <f t="shared" si="149"/>
        <v>509</v>
      </c>
      <c r="O532" s="357">
        <f t="shared" si="154"/>
        <v>42</v>
      </c>
      <c r="P532" s="357">
        <f t="shared" si="155"/>
        <v>5</v>
      </c>
      <c r="Q532" s="357">
        <f t="shared" si="156"/>
        <v>42</v>
      </c>
      <c r="R532" s="356">
        <f t="shared" si="150"/>
        <v>41398163.631006636</v>
      </c>
      <c r="S532" s="356">
        <f>IF($G$4="mensual",S531,0)</f>
        <v>10000</v>
      </c>
      <c r="U532" s="356">
        <f t="shared" si="157"/>
        <v>330194.51169667253</v>
      </c>
      <c r="V532" s="356">
        <f t="shared" si="158"/>
        <v>-395.6901340316334</v>
      </c>
      <c r="X532" s="356">
        <f t="shared" si="142"/>
        <v>-41738.35814270331</v>
      </c>
      <c r="Y532" s="356">
        <f t="shared" si="143"/>
        <v>41696224.09442657</v>
      </c>
      <c r="AA532" s="357">
        <f>+Bono!J532</f>
        <v>592193.7953157935</v>
      </c>
      <c r="AC532" s="378">
        <f t="shared" si="144"/>
        <v>42.416666666666664</v>
      </c>
      <c r="AD532" s="356">
        <f t="shared" si="145"/>
        <v>43574696.2867829</v>
      </c>
    </row>
    <row r="533" spans="2:30" x14ac:dyDescent="0.25">
      <c r="B533" s="356">
        <f t="shared" si="146"/>
        <v>510</v>
      </c>
      <c r="C533" s="357">
        <f t="shared" si="151"/>
        <v>42</v>
      </c>
      <c r="D533" s="357">
        <f t="shared" si="152"/>
        <v>6</v>
      </c>
      <c r="E533" s="357">
        <f t="shared" si="153"/>
        <v>71</v>
      </c>
      <c r="F533" s="356">
        <f t="shared" si="147"/>
        <v>1286278.3970405292</v>
      </c>
      <c r="H533" s="356">
        <f t="shared" si="140"/>
        <v>10256.964568666412</v>
      </c>
      <c r="I533" s="356">
        <v>0</v>
      </c>
      <c r="J533" s="360">
        <f>-SUM(F533:H533)*$J$21</f>
        <v>-11668.818254482761</v>
      </c>
      <c r="K533" s="356">
        <f t="shared" si="148"/>
        <v>-1284.866543354713</v>
      </c>
      <c r="L533" s="356">
        <f t="shared" si="141"/>
        <v>1283581.6768113582</v>
      </c>
      <c r="N533" s="356">
        <f t="shared" si="149"/>
        <v>510</v>
      </c>
      <c r="O533" s="357">
        <f t="shared" si="154"/>
        <v>42</v>
      </c>
      <c r="P533" s="357">
        <f t="shared" si="155"/>
        <v>6</v>
      </c>
      <c r="Q533" s="357">
        <f t="shared" si="156"/>
        <v>42</v>
      </c>
      <c r="R533" s="356">
        <f t="shared" si="150"/>
        <v>41696224.09442657</v>
      </c>
      <c r="S533" s="356">
        <f>IF($G$4="mensual",S532,0)</f>
        <v>10000</v>
      </c>
      <c r="U533" s="356">
        <f t="shared" si="157"/>
        <v>332571.2876882872</v>
      </c>
      <c r="V533" s="356">
        <f t="shared" si="158"/>
        <v>-395.6901340316334</v>
      </c>
      <c r="X533" s="356">
        <f t="shared" si="142"/>
        <v>-42038.795382114855</v>
      </c>
      <c r="Y533" s="356">
        <f t="shared" si="143"/>
        <v>41996360.89659871</v>
      </c>
      <c r="AA533" s="357">
        <f>+Bono!J533</f>
        <v>590497.3081898001</v>
      </c>
      <c r="AC533" s="378">
        <f t="shared" si="144"/>
        <v>42.5</v>
      </c>
      <c r="AD533" s="356">
        <f t="shared" si="145"/>
        <v>43870439.88159987</v>
      </c>
    </row>
    <row r="534" spans="2:30" x14ac:dyDescent="0.25">
      <c r="B534" s="356">
        <f t="shared" si="146"/>
        <v>511</v>
      </c>
      <c r="C534" s="357">
        <f t="shared" si="151"/>
        <v>42</v>
      </c>
      <c r="D534" s="357">
        <f t="shared" si="152"/>
        <v>7</v>
      </c>
      <c r="E534" s="357">
        <f t="shared" si="153"/>
        <v>71</v>
      </c>
      <c r="F534" s="356">
        <f t="shared" si="147"/>
        <v>1283581.6768113582</v>
      </c>
      <c r="H534" s="356">
        <f t="shared" si="140"/>
        <v>10235.460542861536</v>
      </c>
      <c r="I534" s="356">
        <v>0</v>
      </c>
      <c r="J534" s="356">
        <v>0</v>
      </c>
      <c r="K534" s="356">
        <f t="shared" si="148"/>
        <v>-1293.8171373542198</v>
      </c>
      <c r="L534" s="356">
        <f t="shared" si="141"/>
        <v>1292523.3202168655</v>
      </c>
      <c r="N534" s="356">
        <f t="shared" si="149"/>
        <v>511</v>
      </c>
      <c r="O534" s="357">
        <f t="shared" si="154"/>
        <v>42</v>
      </c>
      <c r="P534" s="357">
        <f t="shared" si="155"/>
        <v>7</v>
      </c>
      <c r="Q534" s="357">
        <f t="shared" si="156"/>
        <v>42</v>
      </c>
      <c r="R534" s="356">
        <f t="shared" si="150"/>
        <v>41996360.89659871</v>
      </c>
      <c r="S534" s="356">
        <f>+IF($G$4="mensual",S528,IF($G$4="trimestral",S528,IF($G$4="semestral",S528,0)))</f>
        <v>10000</v>
      </c>
      <c r="U534" s="356">
        <f t="shared" si="157"/>
        <v>334964.62069669</v>
      </c>
      <c r="V534" s="356">
        <f t="shared" si="158"/>
        <v>-395.6901340316334</v>
      </c>
      <c r="X534" s="356">
        <f t="shared" si="142"/>
        <v>-42341.32551729541</v>
      </c>
      <c r="Y534" s="356">
        <f t="shared" si="143"/>
        <v>42298588.501644075</v>
      </c>
      <c r="AA534" s="357">
        <f>+Bono!J534</f>
        <v>594158.4599940252</v>
      </c>
      <c r="AC534" s="378">
        <f t="shared" si="144"/>
        <v>42.583333333333336</v>
      </c>
      <c r="AD534" s="356">
        <f t="shared" si="145"/>
        <v>44185270.281854965</v>
      </c>
    </row>
    <row r="535" spans="2:30" x14ac:dyDescent="0.25">
      <c r="B535" s="356">
        <f t="shared" si="146"/>
        <v>512</v>
      </c>
      <c r="C535" s="357">
        <f t="shared" si="151"/>
        <v>42</v>
      </c>
      <c r="D535" s="357">
        <f t="shared" si="152"/>
        <v>8</v>
      </c>
      <c r="E535" s="357">
        <f t="shared" si="153"/>
        <v>71</v>
      </c>
      <c r="F535" s="356">
        <f t="shared" si="147"/>
        <v>1292523.3202168655</v>
      </c>
      <c r="H535" s="356">
        <f t="shared" si="140"/>
        <v>10306.762463042234</v>
      </c>
      <c r="I535" s="356">
        <v>0</v>
      </c>
      <c r="J535" s="356">
        <v>0</v>
      </c>
      <c r="K535" s="356">
        <f t="shared" si="148"/>
        <v>-1302.8300826799077</v>
      </c>
      <c r="L535" s="356">
        <f t="shared" si="141"/>
        <v>1301527.252597228</v>
      </c>
      <c r="N535" s="356">
        <f t="shared" si="149"/>
        <v>512</v>
      </c>
      <c r="O535" s="357">
        <f t="shared" si="154"/>
        <v>42</v>
      </c>
      <c r="P535" s="357">
        <f t="shared" si="155"/>
        <v>8</v>
      </c>
      <c r="Q535" s="357">
        <f t="shared" si="156"/>
        <v>42</v>
      </c>
      <c r="R535" s="356">
        <f t="shared" si="150"/>
        <v>42298588.501644075</v>
      </c>
      <c r="S535" s="356">
        <f>IF($G$4="mensual",S534,0)</f>
        <v>10000</v>
      </c>
      <c r="U535" s="356">
        <f t="shared" si="157"/>
        <v>337374.62606081297</v>
      </c>
      <c r="V535" s="356">
        <f t="shared" si="158"/>
        <v>-395.6901340316334</v>
      </c>
      <c r="X535" s="356">
        <f t="shared" si="142"/>
        <v>-42645.96312770489</v>
      </c>
      <c r="Y535" s="356">
        <f t="shared" si="143"/>
        <v>42602921.47444315</v>
      </c>
      <c r="AA535" s="357">
        <f>+Bono!J535</f>
        <v>597842.3113641037</v>
      </c>
      <c r="AC535" s="378">
        <f t="shared" si="144"/>
        <v>42.666666666666664</v>
      </c>
      <c r="AD535" s="356">
        <f t="shared" si="145"/>
        <v>44502291.03840449</v>
      </c>
    </row>
    <row r="536" spans="2:30" x14ac:dyDescent="0.25">
      <c r="B536" s="356">
        <f t="shared" si="146"/>
        <v>513</v>
      </c>
      <c r="C536" s="357">
        <f t="shared" si="151"/>
        <v>42</v>
      </c>
      <c r="D536" s="357">
        <f t="shared" si="152"/>
        <v>9</v>
      </c>
      <c r="E536" s="357">
        <f t="shared" si="153"/>
        <v>71</v>
      </c>
      <c r="F536" s="356">
        <f t="shared" si="147"/>
        <v>1301527.252597228</v>
      </c>
      <c r="H536" s="356">
        <f t="shared" ref="H536:H599" si="159">SUM(F536:G536)*$G$8</f>
        <v>10378.561084255598</v>
      </c>
      <c r="I536" s="356">
        <v>0</v>
      </c>
      <c r="J536" s="360">
        <f>-SUM(F536:H536)*$J$21</f>
        <v>-11807.152323133352</v>
      </c>
      <c r="K536" s="356">
        <f t="shared" si="148"/>
        <v>-1300.0986613583502</v>
      </c>
      <c r="L536" s="356">
        <f t="shared" ref="L536:L599" si="160">SUM(F536:K536)</f>
        <v>1298798.562696992</v>
      </c>
      <c r="N536" s="356">
        <f t="shared" si="149"/>
        <v>513</v>
      </c>
      <c r="O536" s="357">
        <f t="shared" si="154"/>
        <v>42</v>
      </c>
      <c r="P536" s="357">
        <f t="shared" si="155"/>
        <v>9</v>
      </c>
      <c r="Q536" s="357">
        <f t="shared" si="156"/>
        <v>42</v>
      </c>
      <c r="R536" s="356">
        <f t="shared" si="150"/>
        <v>42602921.47444315</v>
      </c>
      <c r="S536" s="356">
        <f>IF($G$4="mensual",S535,0)</f>
        <v>10000</v>
      </c>
      <c r="U536" s="356">
        <f t="shared" si="157"/>
        <v>339801.41992305854</v>
      </c>
      <c r="V536" s="356">
        <f t="shared" si="158"/>
        <v>-395.6901340316334</v>
      </c>
      <c r="X536" s="356">
        <f t="shared" ref="X536:X599" si="161">-SUM(R536:U536)*0.1%</f>
        <v>-42952.72289436621</v>
      </c>
      <c r="Y536" s="356">
        <f t="shared" ref="Y536:Y599" si="162">SUM(R536:X536)</f>
        <v>42909374.481337816</v>
      </c>
      <c r="AA536" s="357">
        <f>+Bono!J536</f>
        <v>596129.6426522296</v>
      </c>
      <c r="AC536" s="378">
        <f t="shared" ref="AC536:AC599" si="163">+B536/12</f>
        <v>42.75</v>
      </c>
      <c r="AD536" s="356">
        <f t="shared" ref="AD536:AD599" si="164">+AA536+Y536+L536</f>
        <v>44804302.68668704</v>
      </c>
    </row>
    <row r="537" spans="2:30" x14ac:dyDescent="0.25">
      <c r="B537" s="356">
        <f t="shared" ref="B537:B600" si="165">+B536+1</f>
        <v>514</v>
      </c>
      <c r="C537" s="357">
        <f t="shared" si="151"/>
        <v>42</v>
      </c>
      <c r="D537" s="357">
        <f t="shared" si="152"/>
        <v>10</v>
      </c>
      <c r="E537" s="357">
        <f t="shared" si="153"/>
        <v>71</v>
      </c>
      <c r="F537" s="356">
        <f t="shared" ref="F537:F600" si="166">L536</f>
        <v>1298798.562696992</v>
      </c>
      <c r="H537" s="356">
        <f t="shared" si="159"/>
        <v>10356.802127804183</v>
      </c>
      <c r="I537" s="356">
        <v>0</v>
      </c>
      <c r="J537" s="356">
        <v>0</v>
      </c>
      <c r="K537" s="356">
        <f t="shared" ref="K537:K600" si="167">-SUM(F537:J537)*0.1%</f>
        <v>-1309.1553648247962</v>
      </c>
      <c r="L537" s="356">
        <f t="shared" si="160"/>
        <v>1307846.2094599714</v>
      </c>
      <c r="N537" s="356">
        <f t="shared" ref="N537:N600" si="168">+N536+1</f>
        <v>514</v>
      </c>
      <c r="O537" s="357">
        <f t="shared" si="154"/>
        <v>42</v>
      </c>
      <c r="P537" s="357">
        <f t="shared" si="155"/>
        <v>10</v>
      </c>
      <c r="Q537" s="357">
        <f t="shared" si="156"/>
        <v>42</v>
      </c>
      <c r="R537" s="356">
        <f t="shared" ref="R537:R600" si="169">Y536</f>
        <v>42909374.481337816</v>
      </c>
      <c r="S537" s="356">
        <f>IF($G$4="mensual",S528,IF($G$4="trimestral",S528,0))</f>
        <v>10000</v>
      </c>
      <c r="U537" s="356">
        <f t="shared" si="157"/>
        <v>342245.1192348964</v>
      </c>
      <c r="V537" s="356">
        <f t="shared" si="158"/>
        <v>-395.6901340316334</v>
      </c>
      <c r="X537" s="356">
        <f t="shared" si="161"/>
        <v>-43261.61960057271</v>
      </c>
      <c r="Y537" s="356">
        <f t="shared" si="162"/>
        <v>43217962.29083811</v>
      </c>
      <c r="AA537" s="357">
        <f>+Bono!J537</f>
        <v>599825.7155834321</v>
      </c>
      <c r="AC537" s="378">
        <f t="shared" si="163"/>
        <v>42.833333333333336</v>
      </c>
      <c r="AD537" s="356">
        <f t="shared" si="164"/>
        <v>45125634.215881504</v>
      </c>
    </row>
    <row r="538" spans="2:30" x14ac:dyDescent="0.25">
      <c r="B538" s="356">
        <f t="shared" si="165"/>
        <v>515</v>
      </c>
      <c r="C538" s="357">
        <f t="shared" si="151"/>
        <v>42</v>
      </c>
      <c r="D538" s="357">
        <f t="shared" si="152"/>
        <v>11</v>
      </c>
      <c r="E538" s="357">
        <f t="shared" si="153"/>
        <v>71</v>
      </c>
      <c r="F538" s="356">
        <f t="shared" si="166"/>
        <v>1307846.2094599714</v>
      </c>
      <c r="H538" s="356">
        <f t="shared" si="159"/>
        <v>10428.949333643299</v>
      </c>
      <c r="I538" s="356">
        <v>0</v>
      </c>
      <c r="J538" s="356">
        <v>0</v>
      </c>
      <c r="K538" s="356">
        <f t="shared" si="167"/>
        <v>-1318.2751587936148</v>
      </c>
      <c r="L538" s="356">
        <f t="shared" si="160"/>
        <v>1316956.883634821</v>
      </c>
      <c r="N538" s="356">
        <f t="shared" si="168"/>
        <v>515</v>
      </c>
      <c r="O538" s="357">
        <f t="shared" si="154"/>
        <v>42</v>
      </c>
      <c r="P538" s="357">
        <f t="shared" si="155"/>
        <v>11</v>
      </c>
      <c r="Q538" s="357">
        <f t="shared" si="156"/>
        <v>42</v>
      </c>
      <c r="R538" s="356">
        <f t="shared" si="169"/>
        <v>43217962.29083811</v>
      </c>
      <c r="S538" s="356">
        <f>IF($G$17="si",S526*(1+$G$20),S526)</f>
        <v>10000</v>
      </c>
      <c r="U538" s="356">
        <f t="shared" si="157"/>
        <v>344705.84176249953</v>
      </c>
      <c r="V538" s="356">
        <f t="shared" si="158"/>
        <v>-395.6901340316334</v>
      </c>
      <c r="X538" s="356">
        <f t="shared" si="161"/>
        <v>-43572.66813260061</v>
      </c>
      <c r="Y538" s="356">
        <f t="shared" si="162"/>
        <v>43528699.77433397</v>
      </c>
      <c r="AA538" s="357">
        <f>+Bono!J538</f>
        <v>603544.7045955261</v>
      </c>
      <c r="AC538" s="378">
        <f t="shared" si="163"/>
        <v>42.916666666666664</v>
      </c>
      <c r="AD538" s="356">
        <f t="shared" si="164"/>
        <v>45449201.36256432</v>
      </c>
    </row>
    <row r="539" spans="2:30" x14ac:dyDescent="0.25">
      <c r="B539" s="356">
        <f t="shared" si="165"/>
        <v>516</v>
      </c>
      <c r="C539" s="357">
        <f t="shared" si="151"/>
        <v>42</v>
      </c>
      <c r="D539" s="357">
        <f t="shared" si="152"/>
        <v>12</v>
      </c>
      <c r="E539" s="357">
        <f t="shared" si="153"/>
        <v>71</v>
      </c>
      <c r="F539" s="356">
        <f t="shared" si="166"/>
        <v>1316956.883634821</v>
      </c>
      <c r="H539" s="356">
        <f t="shared" si="159"/>
        <v>10501.599128915537</v>
      </c>
      <c r="I539" s="356">
        <v>0</v>
      </c>
      <c r="J539" s="360">
        <f>-SUM(F539:H539)*$J$21</f>
        <v>-11947.12634487363</v>
      </c>
      <c r="K539" s="356">
        <f t="shared" si="167"/>
        <v>-1315.511356418863</v>
      </c>
      <c r="L539" s="356">
        <f t="shared" si="160"/>
        <v>1314195.845062444</v>
      </c>
      <c r="N539" s="356">
        <f t="shared" si="168"/>
        <v>516</v>
      </c>
      <c r="O539" s="357">
        <f t="shared" si="154"/>
        <v>42</v>
      </c>
      <c r="P539" s="357">
        <f t="shared" si="155"/>
        <v>12</v>
      </c>
      <c r="Q539" s="357">
        <f t="shared" si="156"/>
        <v>42</v>
      </c>
      <c r="R539" s="356">
        <f t="shared" si="169"/>
        <v>43528699.77433397</v>
      </c>
      <c r="S539" s="356">
        <f>IF($G$4="mensual",S538,0)</f>
        <v>10000</v>
      </c>
      <c r="U539" s="356">
        <f t="shared" si="157"/>
        <v>347183.7060924197</v>
      </c>
      <c r="V539" s="356">
        <f t="shared" si="158"/>
        <v>-395.6901340316334</v>
      </c>
      <c r="X539" s="356">
        <f t="shared" si="161"/>
        <v>-43885.88348042639</v>
      </c>
      <c r="Y539" s="356">
        <f t="shared" si="162"/>
        <v>43841601.90681192</v>
      </c>
      <c r="AA539" s="357">
        <f>+Bono!J539</f>
        <v>601815.6999531154</v>
      </c>
      <c r="AC539" s="378">
        <f t="shared" si="163"/>
        <v>43</v>
      </c>
      <c r="AD539" s="356">
        <f t="shared" si="164"/>
        <v>45757613.45182748</v>
      </c>
    </row>
    <row r="540" spans="2:30" x14ac:dyDescent="0.25">
      <c r="B540" s="356">
        <f t="shared" si="165"/>
        <v>517</v>
      </c>
      <c r="C540" s="357">
        <f t="shared" si="151"/>
        <v>43</v>
      </c>
      <c r="D540" s="357">
        <f t="shared" si="152"/>
        <v>1</v>
      </c>
      <c r="E540" s="357">
        <f t="shared" si="153"/>
        <v>72</v>
      </c>
      <c r="F540" s="356">
        <f t="shared" si="166"/>
        <v>1314195.845062444</v>
      </c>
      <c r="H540" s="356">
        <f t="shared" si="159"/>
        <v>10479.582219609782</v>
      </c>
      <c r="I540" s="356">
        <v>0</v>
      </c>
      <c r="J540" s="356">
        <v>0</v>
      </c>
      <c r="K540" s="356">
        <f t="shared" si="167"/>
        <v>-1324.6754272820538</v>
      </c>
      <c r="L540" s="356">
        <f t="shared" si="160"/>
        <v>1323350.7518547717</v>
      </c>
      <c r="N540" s="356">
        <f t="shared" si="168"/>
        <v>517</v>
      </c>
      <c r="O540" s="357">
        <f t="shared" si="154"/>
        <v>43</v>
      </c>
      <c r="P540" s="357">
        <f t="shared" si="155"/>
        <v>1</v>
      </c>
      <c r="Q540" s="357">
        <f t="shared" si="156"/>
        <v>43</v>
      </c>
      <c r="R540" s="356">
        <f t="shared" si="169"/>
        <v>43841601.90681192</v>
      </c>
      <c r="S540" s="356">
        <f>IF($G$17="si",S528*(1+$G$20),S528)</f>
        <v>10000</v>
      </c>
      <c r="U540" s="356">
        <f t="shared" si="157"/>
        <v>349678.83163730236</v>
      </c>
      <c r="V540" s="356">
        <f>V539*(1+$G$18)</f>
        <v>-411.51773939289876</v>
      </c>
      <c r="X540" s="356">
        <f t="shared" si="161"/>
        <v>-44201.280738449226</v>
      </c>
      <c r="Y540" s="356">
        <f t="shared" si="162"/>
        <v>44156667.93997138</v>
      </c>
      <c r="AA540" s="357">
        <f>+Bono!J540</f>
        <v>605547.0270991252</v>
      </c>
      <c r="AC540" s="378">
        <f t="shared" si="163"/>
        <v>43.083333333333336</v>
      </c>
      <c r="AD540" s="356">
        <f t="shared" si="164"/>
        <v>46085565.718925275</v>
      </c>
    </row>
    <row r="541" spans="2:30" x14ac:dyDescent="0.25">
      <c r="B541" s="356">
        <f t="shared" si="165"/>
        <v>518</v>
      </c>
      <c r="C541" s="357">
        <f t="shared" si="151"/>
        <v>43</v>
      </c>
      <c r="D541" s="357">
        <f t="shared" si="152"/>
        <v>2</v>
      </c>
      <c r="E541" s="357">
        <f t="shared" si="153"/>
        <v>72</v>
      </c>
      <c r="F541" s="356">
        <f t="shared" si="166"/>
        <v>1323350.7518547717</v>
      </c>
      <c r="H541" s="356">
        <f t="shared" si="159"/>
        <v>10552.58473198533</v>
      </c>
      <c r="I541" s="356">
        <v>0</v>
      </c>
      <c r="J541" s="356">
        <v>0</v>
      </c>
      <c r="K541" s="356">
        <f t="shared" si="167"/>
        <v>-1333.9033365867572</v>
      </c>
      <c r="L541" s="356">
        <f t="shared" si="160"/>
        <v>1332569.4332501704</v>
      </c>
      <c r="N541" s="356">
        <f t="shared" si="168"/>
        <v>518</v>
      </c>
      <c r="O541" s="357">
        <f t="shared" si="154"/>
        <v>43</v>
      </c>
      <c r="P541" s="357">
        <f t="shared" si="155"/>
        <v>2</v>
      </c>
      <c r="Q541" s="357">
        <f t="shared" si="156"/>
        <v>43</v>
      </c>
      <c r="R541" s="356">
        <f t="shared" si="169"/>
        <v>44156667.93997138</v>
      </c>
      <c r="S541" s="356">
        <f>IF($G$4="mensual",S540,0)</f>
        <v>10000</v>
      </c>
      <c r="U541" s="356">
        <f t="shared" si="157"/>
        <v>352191.2124300935</v>
      </c>
      <c r="V541" s="356">
        <f>V540</f>
        <v>-411.51773939289876</v>
      </c>
      <c r="X541" s="356">
        <f t="shared" si="161"/>
        <v>-44518.85915240148</v>
      </c>
      <c r="Y541" s="356">
        <f t="shared" si="162"/>
        <v>44473928.775509685</v>
      </c>
      <c r="AA541" s="357">
        <f>+Bono!J541</f>
        <v>609301.4889062475</v>
      </c>
      <c r="AC541" s="378">
        <f t="shared" si="163"/>
        <v>43.166666666666664</v>
      </c>
      <c r="AD541" s="356">
        <f t="shared" si="164"/>
        <v>46415799.69766611</v>
      </c>
    </row>
    <row r="542" spans="2:30" x14ac:dyDescent="0.25">
      <c r="B542" s="356">
        <f t="shared" si="165"/>
        <v>519</v>
      </c>
      <c r="C542" s="357">
        <f t="shared" si="151"/>
        <v>43</v>
      </c>
      <c r="D542" s="357">
        <f t="shared" si="152"/>
        <v>3</v>
      </c>
      <c r="E542" s="357">
        <f t="shared" si="153"/>
        <v>72</v>
      </c>
      <c r="F542" s="356">
        <f t="shared" si="166"/>
        <v>1332569.4332501704</v>
      </c>
      <c r="H542" s="356">
        <f t="shared" si="159"/>
        <v>10626.09579200156</v>
      </c>
      <c r="I542" s="356">
        <v>0</v>
      </c>
      <c r="J542" s="360">
        <f>-SUM(F542:H542)*$J$21</f>
        <v>-12088.75976137955</v>
      </c>
      <c r="K542" s="356">
        <f t="shared" si="167"/>
        <v>-1331.1067692807924</v>
      </c>
      <c r="L542" s="356">
        <f t="shared" si="160"/>
        <v>1329775.6625115117</v>
      </c>
      <c r="N542" s="356">
        <f t="shared" si="168"/>
        <v>519</v>
      </c>
      <c r="O542" s="357">
        <f t="shared" si="154"/>
        <v>43</v>
      </c>
      <c r="P542" s="357">
        <f t="shared" si="155"/>
        <v>3</v>
      </c>
      <c r="Q542" s="357">
        <f t="shared" si="156"/>
        <v>43</v>
      </c>
      <c r="R542" s="356">
        <f t="shared" si="169"/>
        <v>44473928.775509685</v>
      </c>
      <c r="S542" s="356">
        <f>IF($G$4="mensual",S541,0)</f>
        <v>10000</v>
      </c>
      <c r="U542" s="356">
        <f t="shared" si="157"/>
        <v>354721.0948852673</v>
      </c>
      <c r="V542" s="356">
        <f t="shared" si="158"/>
        <v>-411.51773939289876</v>
      </c>
      <c r="X542" s="356">
        <f t="shared" si="161"/>
        <v>-44838.649870394955</v>
      </c>
      <c r="Y542" s="356">
        <f t="shared" si="162"/>
        <v>44793399.702785164</v>
      </c>
      <c r="AA542" s="357">
        <f>+Bono!J542</f>
        <v>607555.9925164604</v>
      </c>
      <c r="AC542" s="378">
        <f t="shared" si="163"/>
        <v>43.25</v>
      </c>
      <c r="AD542" s="356">
        <f t="shared" si="164"/>
        <v>46730731.357813135</v>
      </c>
    </row>
    <row r="543" spans="2:30" x14ac:dyDescent="0.25">
      <c r="B543" s="356">
        <f t="shared" si="165"/>
        <v>520</v>
      </c>
      <c r="C543" s="357">
        <f t="shared" si="151"/>
        <v>43</v>
      </c>
      <c r="D543" s="357">
        <f t="shared" si="152"/>
        <v>4</v>
      </c>
      <c r="E543" s="357">
        <f t="shared" si="153"/>
        <v>72</v>
      </c>
      <c r="F543" s="356">
        <f t="shared" si="166"/>
        <v>1329775.6625115117</v>
      </c>
      <c r="H543" s="356">
        <f t="shared" si="159"/>
        <v>10603.817871805333</v>
      </c>
      <c r="I543" s="356">
        <v>0</v>
      </c>
      <c r="J543" s="356">
        <v>0</v>
      </c>
      <c r="K543" s="356">
        <f t="shared" si="167"/>
        <v>-1340.379480383317</v>
      </c>
      <c r="L543" s="356">
        <f t="shared" si="160"/>
        <v>1339039.1009029336</v>
      </c>
      <c r="N543" s="356">
        <f t="shared" si="168"/>
        <v>520</v>
      </c>
      <c r="O543" s="357">
        <f t="shared" si="154"/>
        <v>43</v>
      </c>
      <c r="P543" s="357">
        <f t="shared" si="155"/>
        <v>4</v>
      </c>
      <c r="Q543" s="357">
        <f t="shared" si="156"/>
        <v>43</v>
      </c>
      <c r="R543" s="356">
        <f t="shared" si="169"/>
        <v>44793399.702785164</v>
      </c>
      <c r="S543" s="356">
        <f>IF($G$4="mensual",S540,IF($G$4="trimestral",S540,0))</f>
        <v>10000</v>
      </c>
      <c r="U543" s="356">
        <f t="shared" si="157"/>
        <v>357268.6009223141</v>
      </c>
      <c r="V543" s="356">
        <f t="shared" si="158"/>
        <v>-411.51773939289876</v>
      </c>
      <c r="X543" s="356">
        <f t="shared" si="161"/>
        <v>-45160.66830370748</v>
      </c>
      <c r="Y543" s="356">
        <f t="shared" si="162"/>
        <v>45115096.11766438</v>
      </c>
      <c r="AA543" s="357">
        <f>+Bono!J543</f>
        <v>611322.9101421956</v>
      </c>
      <c r="AC543" s="378">
        <f t="shared" si="163"/>
        <v>43.333333333333336</v>
      </c>
      <c r="AD543" s="356">
        <f t="shared" si="164"/>
        <v>47065458.12870951</v>
      </c>
    </row>
    <row r="544" spans="2:30" x14ac:dyDescent="0.25">
      <c r="B544" s="356">
        <f t="shared" si="165"/>
        <v>521</v>
      </c>
      <c r="C544" s="357">
        <f t="shared" si="151"/>
        <v>43</v>
      </c>
      <c r="D544" s="357">
        <f t="shared" si="152"/>
        <v>5</v>
      </c>
      <c r="E544" s="357">
        <f t="shared" si="153"/>
        <v>72</v>
      </c>
      <c r="F544" s="356">
        <f t="shared" si="166"/>
        <v>1339039.1009029336</v>
      </c>
      <c r="H544" s="356">
        <f t="shared" si="159"/>
        <v>10677.68583039303</v>
      </c>
      <c r="I544" s="356">
        <v>0</v>
      </c>
      <c r="J544" s="356">
        <v>0</v>
      </c>
      <c r="K544" s="356">
        <f t="shared" si="167"/>
        <v>-1349.7167867333267</v>
      </c>
      <c r="L544" s="356">
        <f t="shared" si="160"/>
        <v>1348367.0699465934</v>
      </c>
      <c r="N544" s="356">
        <f t="shared" si="168"/>
        <v>521</v>
      </c>
      <c r="O544" s="357">
        <f t="shared" si="154"/>
        <v>43</v>
      </c>
      <c r="P544" s="357">
        <f t="shared" si="155"/>
        <v>5</v>
      </c>
      <c r="Q544" s="357">
        <f t="shared" si="156"/>
        <v>43</v>
      </c>
      <c r="R544" s="356">
        <f t="shared" si="169"/>
        <v>45115096.11766438</v>
      </c>
      <c r="S544" s="356">
        <f>IF($G$4="mensual",S543,0)</f>
        <v>10000</v>
      </c>
      <c r="U544" s="356">
        <f t="shared" si="157"/>
        <v>359833.85331003583</v>
      </c>
      <c r="V544" s="356">
        <f t="shared" si="158"/>
        <v>-411.51773939289876</v>
      </c>
      <c r="X544" s="356">
        <f t="shared" si="161"/>
        <v>-45484.929970974415</v>
      </c>
      <c r="Y544" s="356">
        <f t="shared" si="162"/>
        <v>45439033.52326405</v>
      </c>
      <c r="AA544" s="357">
        <f>+Bono!J544</f>
        <v>615113.183094146</v>
      </c>
      <c r="AC544" s="378">
        <f t="shared" si="163"/>
        <v>43.416666666666664</v>
      </c>
      <c r="AD544" s="356">
        <f t="shared" si="164"/>
        <v>47402513.77630479</v>
      </c>
    </row>
    <row r="545" spans="2:30" x14ac:dyDescent="0.25">
      <c r="B545" s="356">
        <f t="shared" si="165"/>
        <v>522</v>
      </c>
      <c r="C545" s="357">
        <f t="shared" si="151"/>
        <v>43</v>
      </c>
      <c r="D545" s="357">
        <f t="shared" si="152"/>
        <v>6</v>
      </c>
      <c r="E545" s="357">
        <f t="shared" si="153"/>
        <v>72</v>
      </c>
      <c r="F545" s="356">
        <f t="shared" si="166"/>
        <v>1348367.0699465934</v>
      </c>
      <c r="H545" s="356">
        <f t="shared" si="159"/>
        <v>10752.06836546364</v>
      </c>
      <c r="I545" s="356">
        <v>0</v>
      </c>
      <c r="J545" s="360">
        <f>-SUM(F545:H545)*$J$21</f>
        <v>-12232.072244808516</v>
      </c>
      <c r="K545" s="356">
        <f t="shared" si="167"/>
        <v>-1346.8870660672485</v>
      </c>
      <c r="L545" s="356">
        <f t="shared" si="160"/>
        <v>1345540.1790011814</v>
      </c>
      <c r="N545" s="356">
        <f t="shared" si="168"/>
        <v>522</v>
      </c>
      <c r="O545" s="357">
        <f t="shared" si="154"/>
        <v>43</v>
      </c>
      <c r="P545" s="357">
        <f t="shared" si="155"/>
        <v>6</v>
      </c>
      <c r="Q545" s="357">
        <f t="shared" si="156"/>
        <v>43</v>
      </c>
      <c r="R545" s="356">
        <f t="shared" si="169"/>
        <v>45439033.52326405</v>
      </c>
      <c r="S545" s="356">
        <f>IF($G$4="mensual",S544,0)</f>
        <v>10000</v>
      </c>
      <c r="U545" s="356">
        <f t="shared" si="157"/>
        <v>362416.9756724624</v>
      </c>
      <c r="V545" s="356">
        <f t="shared" si="158"/>
        <v>-411.51773939289876</v>
      </c>
      <c r="X545" s="356">
        <f t="shared" si="161"/>
        <v>-45811.450498936516</v>
      </c>
      <c r="Y545" s="356">
        <f t="shared" si="162"/>
        <v>45765227.53069818</v>
      </c>
      <c r="AA545" s="357">
        <f>+Bono!J545</f>
        <v>613351.0376539162</v>
      </c>
      <c r="AC545" s="378">
        <f t="shared" si="163"/>
        <v>43.5</v>
      </c>
      <c r="AD545" s="356">
        <f t="shared" si="164"/>
        <v>47724118.74735328</v>
      </c>
    </row>
    <row r="546" spans="2:30" x14ac:dyDescent="0.25">
      <c r="B546" s="356">
        <f t="shared" si="165"/>
        <v>523</v>
      </c>
      <c r="C546" s="357">
        <f t="shared" si="151"/>
        <v>43</v>
      </c>
      <c r="D546" s="357">
        <f t="shared" si="152"/>
        <v>7</v>
      </c>
      <c r="E546" s="357">
        <f t="shared" si="153"/>
        <v>72</v>
      </c>
      <c r="F546" s="356">
        <f t="shared" si="166"/>
        <v>1345540.1790011814</v>
      </c>
      <c r="H546" s="356">
        <f t="shared" si="159"/>
        <v>10729.526340087728</v>
      </c>
      <c r="I546" s="356">
        <v>0</v>
      </c>
      <c r="J546" s="356">
        <v>0</v>
      </c>
      <c r="K546" s="356">
        <f t="shared" si="167"/>
        <v>-1356.269705341269</v>
      </c>
      <c r="L546" s="356">
        <f t="shared" si="160"/>
        <v>1354913.4356359278</v>
      </c>
      <c r="N546" s="356">
        <f t="shared" si="168"/>
        <v>523</v>
      </c>
      <c r="O546" s="357">
        <f t="shared" si="154"/>
        <v>43</v>
      </c>
      <c r="P546" s="357">
        <f t="shared" si="155"/>
        <v>7</v>
      </c>
      <c r="Q546" s="357">
        <f t="shared" si="156"/>
        <v>43</v>
      </c>
      <c r="R546" s="356">
        <f t="shared" si="169"/>
        <v>45765227.53069818</v>
      </c>
      <c r="S546" s="356">
        <f>+IF($G$4="mensual",S540,IF($G$4="trimestral",S540,IF($G$4="semestral",S540,0)))</f>
        <v>10000</v>
      </c>
      <c r="U546" s="356">
        <f t="shared" si="157"/>
        <v>365018.092494809</v>
      </c>
      <c r="V546" s="356">
        <f t="shared" si="158"/>
        <v>-411.51773939289876</v>
      </c>
      <c r="X546" s="356">
        <f t="shared" si="161"/>
        <v>-46140.24562319299</v>
      </c>
      <c r="Y546" s="356">
        <f t="shared" si="162"/>
        <v>46093693.8598304</v>
      </c>
      <c r="AA546" s="357">
        <f>+Bono!J546</f>
        <v>617153.8852316873</v>
      </c>
      <c r="AC546" s="378">
        <f t="shared" si="163"/>
        <v>43.583333333333336</v>
      </c>
      <c r="AD546" s="356">
        <f t="shared" si="164"/>
        <v>48065761.180698015</v>
      </c>
    </row>
    <row r="547" spans="2:30" x14ac:dyDescent="0.25">
      <c r="B547" s="356">
        <f t="shared" si="165"/>
        <v>524</v>
      </c>
      <c r="C547" s="357">
        <f t="shared" si="151"/>
        <v>43</v>
      </c>
      <c r="D547" s="357">
        <f t="shared" si="152"/>
        <v>8</v>
      </c>
      <c r="E547" s="357">
        <f t="shared" si="153"/>
        <v>72</v>
      </c>
      <c r="F547" s="356">
        <f t="shared" si="166"/>
        <v>1354913.4356359278</v>
      </c>
      <c r="H547" s="356">
        <f t="shared" si="159"/>
        <v>10804.27000476935</v>
      </c>
      <c r="I547" s="356">
        <v>0</v>
      </c>
      <c r="J547" s="356">
        <v>0</v>
      </c>
      <c r="K547" s="356">
        <f t="shared" si="167"/>
        <v>-1365.7177056406972</v>
      </c>
      <c r="L547" s="356">
        <f t="shared" si="160"/>
        <v>1364351.9879350564</v>
      </c>
      <c r="N547" s="356">
        <f t="shared" si="168"/>
        <v>524</v>
      </c>
      <c r="O547" s="357">
        <f t="shared" si="154"/>
        <v>43</v>
      </c>
      <c r="P547" s="357">
        <f t="shared" si="155"/>
        <v>8</v>
      </c>
      <c r="Q547" s="357">
        <f t="shared" si="156"/>
        <v>43</v>
      </c>
      <c r="R547" s="356">
        <f t="shared" si="169"/>
        <v>46093693.8598304</v>
      </c>
      <c r="S547" s="356">
        <f>IF($G$4="mensual",S546,0)</f>
        <v>10000</v>
      </c>
      <c r="U547" s="356">
        <f t="shared" si="157"/>
        <v>367637.32912947587</v>
      </c>
      <c r="V547" s="356">
        <f t="shared" si="158"/>
        <v>-411.51773939289876</v>
      </c>
      <c r="X547" s="356">
        <f t="shared" si="161"/>
        <v>-46471.33118895988</v>
      </c>
      <c r="Y547" s="356">
        <f t="shared" si="162"/>
        <v>46424448.34003152</v>
      </c>
      <c r="AA547" s="357">
        <f>+Bono!J547</f>
        <v>620980.3109055436</v>
      </c>
      <c r="AC547" s="378">
        <f t="shared" si="163"/>
        <v>43.666666666666664</v>
      </c>
      <c r="AD547" s="356">
        <f t="shared" si="164"/>
        <v>48409780.638872124</v>
      </c>
    </row>
    <row r="548" spans="2:30" x14ac:dyDescent="0.25">
      <c r="B548" s="356">
        <f t="shared" si="165"/>
        <v>525</v>
      </c>
      <c r="C548" s="357">
        <f t="shared" ref="C548:C611" si="170">C536+1</f>
        <v>43</v>
      </c>
      <c r="D548" s="357">
        <f t="shared" ref="D548:D611" si="171">D536</f>
        <v>9</v>
      </c>
      <c r="E548" s="357">
        <f t="shared" ref="E548:E611" si="172">E536+1</f>
        <v>72</v>
      </c>
      <c r="F548" s="356">
        <f t="shared" si="166"/>
        <v>1364351.9879350564</v>
      </c>
      <c r="H548" s="356">
        <f t="shared" si="159"/>
        <v>10879.534346248154</v>
      </c>
      <c r="I548" s="356">
        <v>0</v>
      </c>
      <c r="J548" s="360">
        <f>-SUM(F548:H548)*$J$21</f>
        <v>-12377.083700531744</v>
      </c>
      <c r="K548" s="356">
        <f t="shared" si="167"/>
        <v>-1362.854438580773</v>
      </c>
      <c r="L548" s="356">
        <f t="shared" si="160"/>
        <v>1361491.584142192</v>
      </c>
      <c r="N548" s="356">
        <f t="shared" si="168"/>
        <v>525</v>
      </c>
      <c r="O548" s="357">
        <f t="shared" ref="O548:O611" si="173">O536+1</f>
        <v>43</v>
      </c>
      <c r="P548" s="357">
        <f t="shared" ref="P548:P611" si="174">P536</f>
        <v>9</v>
      </c>
      <c r="Q548" s="357">
        <f t="shared" ref="Q548:Q611" si="175">Q536+1</f>
        <v>43</v>
      </c>
      <c r="R548" s="356">
        <f t="shared" si="169"/>
        <v>46424448.34003152</v>
      </c>
      <c r="S548" s="356">
        <f>IF($G$4="mensual",S547,0)</f>
        <v>10000</v>
      </c>
      <c r="U548" s="356">
        <f t="shared" ref="U548:U611" si="176">SUM(R548:T548)*$G$8</f>
        <v>370274.81180208863</v>
      </c>
      <c r="V548" s="356">
        <f t="shared" si="158"/>
        <v>-411.51773939289876</v>
      </c>
      <c r="X548" s="356">
        <f t="shared" si="161"/>
        <v>-46804.72315183361</v>
      </c>
      <c r="Y548" s="356">
        <f t="shared" si="162"/>
        <v>46757506.91094238</v>
      </c>
      <c r="AA548" s="357">
        <f>+Bono!J548</f>
        <v>619201.357611403</v>
      </c>
      <c r="AC548" s="378">
        <f t="shared" si="163"/>
        <v>43.75</v>
      </c>
      <c r="AD548" s="356">
        <f t="shared" si="164"/>
        <v>48738199.85269598</v>
      </c>
    </row>
    <row r="549" spans="2:30" x14ac:dyDescent="0.25">
      <c r="B549" s="356">
        <f t="shared" si="165"/>
        <v>526</v>
      </c>
      <c r="C549" s="357">
        <f t="shared" si="170"/>
        <v>43</v>
      </c>
      <c r="D549" s="357">
        <f t="shared" si="171"/>
        <v>10</v>
      </c>
      <c r="E549" s="357">
        <f t="shared" si="172"/>
        <v>72</v>
      </c>
      <c r="F549" s="356">
        <f t="shared" si="166"/>
        <v>1361491.584142192</v>
      </c>
      <c r="H549" s="356">
        <f t="shared" si="159"/>
        <v>10856.725084720485</v>
      </c>
      <c r="I549" s="356">
        <v>0</v>
      </c>
      <c r="J549" s="356">
        <v>0</v>
      </c>
      <c r="K549" s="356">
        <f t="shared" si="167"/>
        <v>-1372.3483092269125</v>
      </c>
      <c r="L549" s="356">
        <f t="shared" si="160"/>
        <v>1370975.9609176856</v>
      </c>
      <c r="N549" s="356">
        <f t="shared" si="168"/>
        <v>526</v>
      </c>
      <c r="O549" s="357">
        <f t="shared" si="173"/>
        <v>43</v>
      </c>
      <c r="P549" s="357">
        <f t="shared" si="174"/>
        <v>10</v>
      </c>
      <c r="Q549" s="357">
        <f t="shared" si="175"/>
        <v>43</v>
      </c>
      <c r="R549" s="356">
        <f t="shared" si="169"/>
        <v>46757506.91094238</v>
      </c>
      <c r="S549" s="356">
        <f>IF($G$4="mensual",S540,IF($G$4="trimestral",S540,0))</f>
        <v>10000</v>
      </c>
      <c r="U549" s="356">
        <f t="shared" si="176"/>
        <v>372930.66761758184</v>
      </c>
      <c r="V549" s="356">
        <f t="shared" si="158"/>
        <v>-411.51773939289876</v>
      </c>
      <c r="X549" s="356">
        <f t="shared" si="161"/>
        <v>-47140.43757855996</v>
      </c>
      <c r="Y549" s="356">
        <f t="shared" si="162"/>
        <v>47092885.62324201</v>
      </c>
      <c r="AA549" s="357">
        <f>+Bono!J549</f>
        <v>623040.4778515056</v>
      </c>
      <c r="AC549" s="378">
        <f t="shared" si="163"/>
        <v>43.833333333333336</v>
      </c>
      <c r="AD549" s="356">
        <f t="shared" si="164"/>
        <v>49086902.062011205</v>
      </c>
    </row>
    <row r="550" spans="2:30" x14ac:dyDescent="0.25">
      <c r="B550" s="356">
        <f t="shared" si="165"/>
        <v>527</v>
      </c>
      <c r="C550" s="357">
        <f t="shared" si="170"/>
        <v>43</v>
      </c>
      <c r="D550" s="357">
        <f t="shared" si="171"/>
        <v>11</v>
      </c>
      <c r="E550" s="357">
        <f t="shared" si="172"/>
        <v>72</v>
      </c>
      <c r="F550" s="356">
        <f t="shared" si="166"/>
        <v>1370975.9609176856</v>
      </c>
      <c r="H550" s="356">
        <f t="shared" si="159"/>
        <v>10932.354837008905</v>
      </c>
      <c r="I550" s="356">
        <v>0</v>
      </c>
      <c r="J550" s="356">
        <v>0</v>
      </c>
      <c r="K550" s="356">
        <f t="shared" si="167"/>
        <v>-1381.9083157546947</v>
      </c>
      <c r="L550" s="356">
        <f t="shared" si="160"/>
        <v>1380526.40743894</v>
      </c>
      <c r="N550" s="356">
        <f t="shared" si="168"/>
        <v>527</v>
      </c>
      <c r="O550" s="357">
        <f t="shared" si="173"/>
        <v>43</v>
      </c>
      <c r="P550" s="357">
        <f t="shared" si="174"/>
        <v>11</v>
      </c>
      <c r="Q550" s="357">
        <f t="shared" si="175"/>
        <v>43</v>
      </c>
      <c r="R550" s="356">
        <f t="shared" si="169"/>
        <v>47092885.62324201</v>
      </c>
      <c r="S550" s="356">
        <f>IF($G$17="si",S538*(1+$G$20),S538)</f>
        <v>10000</v>
      </c>
      <c r="U550" s="356">
        <f t="shared" si="176"/>
        <v>375605.024566324</v>
      </c>
      <c r="V550" s="356">
        <f t="shared" si="158"/>
        <v>-411.51773939289876</v>
      </c>
      <c r="X550" s="356">
        <f t="shared" si="161"/>
        <v>-47478.490647808336</v>
      </c>
      <c r="Y550" s="356">
        <f t="shared" si="162"/>
        <v>47430600.639421135</v>
      </c>
      <c r="AA550" s="357">
        <f>+Bono!J550</f>
        <v>626903.4010824073</v>
      </c>
      <c r="AC550" s="378">
        <f t="shared" si="163"/>
        <v>43.916666666666664</v>
      </c>
      <c r="AD550" s="356">
        <f t="shared" si="164"/>
        <v>49438030.44794248</v>
      </c>
    </row>
    <row r="551" spans="2:30" x14ac:dyDescent="0.25">
      <c r="B551" s="356">
        <f t="shared" si="165"/>
        <v>528</v>
      </c>
      <c r="C551" s="357">
        <f t="shared" si="170"/>
        <v>43</v>
      </c>
      <c r="D551" s="357">
        <f t="shared" si="171"/>
        <v>12</v>
      </c>
      <c r="E551" s="357">
        <f t="shared" si="172"/>
        <v>72</v>
      </c>
      <c r="F551" s="356">
        <f t="shared" si="166"/>
        <v>1380526.40743894</v>
      </c>
      <c r="H551" s="356">
        <f t="shared" si="159"/>
        <v>11008.511438728121</v>
      </c>
      <c r="I551" s="356">
        <v>0</v>
      </c>
      <c r="J551" s="360">
        <f>-SUM(F551:H551)*$J$21</f>
        <v>-12523.814269899014</v>
      </c>
      <c r="K551" s="356">
        <f t="shared" si="167"/>
        <v>-1379.011104607769</v>
      </c>
      <c r="L551" s="356">
        <f t="shared" si="160"/>
        <v>1377632.0935031613</v>
      </c>
      <c r="N551" s="356">
        <f t="shared" si="168"/>
        <v>528</v>
      </c>
      <c r="O551" s="357">
        <f t="shared" si="173"/>
        <v>43</v>
      </c>
      <c r="P551" s="357">
        <f t="shared" si="174"/>
        <v>12</v>
      </c>
      <c r="Q551" s="357">
        <f t="shared" si="175"/>
        <v>43</v>
      </c>
      <c r="R551" s="356">
        <f t="shared" si="169"/>
        <v>47430600.639421135</v>
      </c>
      <c r="S551" s="356">
        <f>IF($G$4="mensual",S550,0)</f>
        <v>10000</v>
      </c>
      <c r="U551" s="356">
        <f t="shared" si="176"/>
        <v>378298.0115302858</v>
      </c>
      <c r="V551" s="356">
        <f t="shared" si="158"/>
        <v>-411.51773939289876</v>
      </c>
      <c r="X551" s="356">
        <f t="shared" si="161"/>
        <v>-47818.89865095142</v>
      </c>
      <c r="Y551" s="356">
        <f t="shared" si="162"/>
        <v>47770668.23456108</v>
      </c>
      <c r="AA551" s="357">
        <f>+Bono!J551</f>
        <v>625107.479616174</v>
      </c>
      <c r="AC551" s="378">
        <f t="shared" si="163"/>
        <v>44</v>
      </c>
      <c r="AD551" s="356">
        <f t="shared" si="164"/>
        <v>49773407.80768041</v>
      </c>
    </row>
    <row r="552" spans="2:30" x14ac:dyDescent="0.25">
      <c r="B552" s="356">
        <f t="shared" si="165"/>
        <v>529</v>
      </c>
      <c r="C552" s="357">
        <f t="shared" si="170"/>
        <v>44</v>
      </c>
      <c r="D552" s="357">
        <f t="shared" si="171"/>
        <v>1</v>
      </c>
      <c r="E552" s="357">
        <f t="shared" si="172"/>
        <v>73</v>
      </c>
      <c r="F552" s="356">
        <f t="shared" si="166"/>
        <v>1377632.0935031613</v>
      </c>
      <c r="H552" s="356">
        <f t="shared" si="159"/>
        <v>10985.43177295889</v>
      </c>
      <c r="I552" s="356">
        <v>0</v>
      </c>
      <c r="J552" s="356">
        <v>0</v>
      </c>
      <c r="K552" s="356">
        <f t="shared" si="167"/>
        <v>-1388.6175252761202</v>
      </c>
      <c r="L552" s="356">
        <f t="shared" si="160"/>
        <v>1387228.9077508443</v>
      </c>
      <c r="N552" s="356">
        <f t="shared" si="168"/>
        <v>529</v>
      </c>
      <c r="O552" s="357">
        <f t="shared" si="173"/>
        <v>44</v>
      </c>
      <c r="P552" s="357">
        <f t="shared" si="174"/>
        <v>1</v>
      </c>
      <c r="Q552" s="357">
        <f t="shared" si="175"/>
        <v>44</v>
      </c>
      <c r="R552" s="356">
        <f t="shared" si="169"/>
        <v>47770668.23456108</v>
      </c>
      <c r="S552" s="356">
        <f>IF($G$17="si",S540*(1+$G$20),S540)</f>
        <v>10000</v>
      </c>
      <c r="U552" s="356">
        <f t="shared" si="176"/>
        <v>381009.75828925136</v>
      </c>
      <c r="V552" s="356">
        <f>V551*(1+$G$18)</f>
        <v>-427.9784489686147</v>
      </c>
      <c r="X552" s="356">
        <f t="shared" si="161"/>
        <v>-48161.677992850324</v>
      </c>
      <c r="Y552" s="356">
        <f t="shared" si="162"/>
        <v>48113088.3364085</v>
      </c>
      <c r="AA552" s="357">
        <f>+Bono!J552</f>
        <v>628983.218497774</v>
      </c>
      <c r="AC552" s="378">
        <f t="shared" si="163"/>
        <v>44.083333333333336</v>
      </c>
      <c r="AD552" s="356">
        <f t="shared" si="164"/>
        <v>50129300.462657124</v>
      </c>
    </row>
    <row r="553" spans="2:30" x14ac:dyDescent="0.25">
      <c r="B553" s="356">
        <f t="shared" si="165"/>
        <v>530</v>
      </c>
      <c r="C553" s="357">
        <f t="shared" si="170"/>
        <v>44</v>
      </c>
      <c r="D553" s="357">
        <f t="shared" si="171"/>
        <v>2</v>
      </c>
      <c r="E553" s="357">
        <f t="shared" si="172"/>
        <v>73</v>
      </c>
      <c r="F553" s="356">
        <f t="shared" si="166"/>
        <v>1387228.9077508443</v>
      </c>
      <c r="H553" s="356">
        <f t="shared" si="159"/>
        <v>11061.958117440017</v>
      </c>
      <c r="I553" s="356">
        <v>0</v>
      </c>
      <c r="J553" s="356">
        <v>0</v>
      </c>
      <c r="K553" s="356">
        <f t="shared" si="167"/>
        <v>-1398.2908658682843</v>
      </c>
      <c r="L553" s="356">
        <f t="shared" si="160"/>
        <v>1396892.575002416</v>
      </c>
      <c r="N553" s="356">
        <f t="shared" si="168"/>
        <v>530</v>
      </c>
      <c r="O553" s="357">
        <f t="shared" si="173"/>
        <v>44</v>
      </c>
      <c r="P553" s="357">
        <f t="shared" si="174"/>
        <v>2</v>
      </c>
      <c r="Q553" s="357">
        <f t="shared" si="175"/>
        <v>44</v>
      </c>
      <c r="R553" s="356">
        <f t="shared" si="169"/>
        <v>48113088.3364085</v>
      </c>
      <c r="S553" s="356">
        <f>IF($G$4="mensual",S552,0)</f>
        <v>10000</v>
      </c>
      <c r="U553" s="356">
        <f t="shared" si="176"/>
        <v>383740.26426706224</v>
      </c>
      <c r="V553" s="356">
        <f>V552</f>
        <v>-427.9784489686147</v>
      </c>
      <c r="X553" s="356">
        <f t="shared" si="161"/>
        <v>-48506.828600675566</v>
      </c>
      <c r="Y553" s="356">
        <f t="shared" si="162"/>
        <v>48457893.79362592</v>
      </c>
      <c r="AA553" s="357">
        <f>+Bono!J553</f>
        <v>632882.9874099978</v>
      </c>
      <c r="AC553" s="378">
        <f t="shared" si="163"/>
        <v>44.166666666666664</v>
      </c>
      <c r="AD553" s="356">
        <f t="shared" si="164"/>
        <v>50487669.35603834</v>
      </c>
    </row>
    <row r="554" spans="2:30" x14ac:dyDescent="0.25">
      <c r="B554" s="356">
        <f t="shared" si="165"/>
        <v>531</v>
      </c>
      <c r="C554" s="357">
        <f t="shared" si="170"/>
        <v>44</v>
      </c>
      <c r="D554" s="357">
        <f t="shared" si="171"/>
        <v>3</v>
      </c>
      <c r="E554" s="357">
        <f t="shared" si="172"/>
        <v>73</v>
      </c>
      <c r="F554" s="356">
        <f t="shared" si="166"/>
        <v>1396892.575002416</v>
      </c>
      <c r="H554" s="356">
        <f t="shared" si="159"/>
        <v>11139.01755716225</v>
      </c>
      <c r="I554" s="356">
        <v>0</v>
      </c>
      <c r="J554" s="360">
        <f>-SUM(F554:H554)*$J$21</f>
        <v>-12672.284333036207</v>
      </c>
      <c r="K554" s="356">
        <f t="shared" si="167"/>
        <v>-1395.359308226542</v>
      </c>
      <c r="L554" s="356">
        <f t="shared" si="160"/>
        <v>1393963.9489183156</v>
      </c>
      <c r="N554" s="356">
        <f t="shared" si="168"/>
        <v>531</v>
      </c>
      <c r="O554" s="357">
        <f t="shared" si="173"/>
        <v>44</v>
      </c>
      <c r="P554" s="357">
        <f t="shared" si="174"/>
        <v>3</v>
      </c>
      <c r="Q554" s="357">
        <f t="shared" si="175"/>
        <v>44</v>
      </c>
      <c r="R554" s="356">
        <f t="shared" si="169"/>
        <v>48457893.79362592</v>
      </c>
      <c r="S554" s="356">
        <f>IF($G$4="mensual",S553,0)</f>
        <v>10000</v>
      </c>
      <c r="U554" s="356">
        <f t="shared" si="176"/>
        <v>386489.7914035663</v>
      </c>
      <c r="V554" s="356">
        <f t="shared" si="158"/>
        <v>-427.9784489686147</v>
      </c>
      <c r="X554" s="356">
        <f t="shared" si="161"/>
        <v>-48854.38358502949</v>
      </c>
      <c r="Y554" s="356">
        <f t="shared" si="162"/>
        <v>48805101.22299549</v>
      </c>
      <c r="AA554" s="357">
        <f>+Bono!J554</f>
        <v>631069.9359243287</v>
      </c>
      <c r="AC554" s="378">
        <f t="shared" si="163"/>
        <v>44.25</v>
      </c>
      <c r="AD554" s="356">
        <f t="shared" si="164"/>
        <v>50830135.10783813</v>
      </c>
    </row>
    <row r="555" spans="2:30" x14ac:dyDescent="0.25">
      <c r="B555" s="356">
        <f t="shared" si="165"/>
        <v>532</v>
      </c>
      <c r="C555" s="357">
        <f t="shared" si="170"/>
        <v>44</v>
      </c>
      <c r="D555" s="357">
        <f t="shared" si="171"/>
        <v>4</v>
      </c>
      <c r="E555" s="357">
        <f t="shared" si="172"/>
        <v>73</v>
      </c>
      <c r="F555" s="356">
        <f t="shared" si="166"/>
        <v>1393963.9489183156</v>
      </c>
      <c r="H555" s="356">
        <f t="shared" si="159"/>
        <v>11115.664281503881</v>
      </c>
      <c r="I555" s="356">
        <v>0</v>
      </c>
      <c r="J555" s="356">
        <v>0</v>
      </c>
      <c r="K555" s="356">
        <f t="shared" si="167"/>
        <v>-1405.0796131998195</v>
      </c>
      <c r="L555" s="356">
        <f t="shared" si="160"/>
        <v>1403674.5335866197</v>
      </c>
      <c r="N555" s="356">
        <f t="shared" si="168"/>
        <v>532</v>
      </c>
      <c r="O555" s="357">
        <f t="shared" si="173"/>
        <v>44</v>
      </c>
      <c r="P555" s="357">
        <f t="shared" si="174"/>
        <v>4</v>
      </c>
      <c r="Q555" s="357">
        <f t="shared" si="175"/>
        <v>44</v>
      </c>
      <c r="R555" s="356">
        <f t="shared" si="169"/>
        <v>48805101.22299549</v>
      </c>
      <c r="S555" s="356">
        <f>IF($G$4="mensual",S552,IF($G$4="trimestral",S552,0))</f>
        <v>10000</v>
      </c>
      <c r="U555" s="356">
        <f t="shared" si="176"/>
        <v>389258.4722033179</v>
      </c>
      <c r="V555" s="356">
        <f t="shared" si="158"/>
        <v>-427.9784489686147</v>
      </c>
      <c r="X555" s="356">
        <f t="shared" si="161"/>
        <v>-49204.35969519881</v>
      </c>
      <c r="Y555" s="356">
        <f t="shared" si="162"/>
        <v>49154727.357054636</v>
      </c>
      <c r="AA555" s="357">
        <f>+Bono!J555</f>
        <v>634982.6427266414</v>
      </c>
      <c r="AC555" s="378">
        <f t="shared" si="163"/>
        <v>44.333333333333336</v>
      </c>
      <c r="AD555" s="356">
        <f t="shared" si="164"/>
        <v>51193384.5333679</v>
      </c>
    </row>
    <row r="556" spans="2:30" x14ac:dyDescent="0.25">
      <c r="B556" s="356">
        <f t="shared" si="165"/>
        <v>533</v>
      </c>
      <c r="C556" s="357">
        <f t="shared" si="170"/>
        <v>44</v>
      </c>
      <c r="D556" s="357">
        <f t="shared" si="171"/>
        <v>5</v>
      </c>
      <c r="E556" s="357">
        <f t="shared" si="172"/>
        <v>73</v>
      </c>
      <c r="F556" s="356">
        <f t="shared" si="166"/>
        <v>1403674.5335866197</v>
      </c>
      <c r="H556" s="356">
        <f t="shared" si="159"/>
        <v>11193.097847295698</v>
      </c>
      <c r="I556" s="356">
        <v>0</v>
      </c>
      <c r="J556" s="356">
        <v>0</v>
      </c>
      <c r="K556" s="356">
        <f t="shared" si="167"/>
        <v>-1414.8676314339154</v>
      </c>
      <c r="L556" s="356">
        <f t="shared" si="160"/>
        <v>1413452.7638024813</v>
      </c>
      <c r="N556" s="356">
        <f t="shared" si="168"/>
        <v>533</v>
      </c>
      <c r="O556" s="357">
        <f t="shared" si="173"/>
        <v>44</v>
      </c>
      <c r="P556" s="357">
        <f t="shared" si="174"/>
        <v>5</v>
      </c>
      <c r="Q556" s="357">
        <f t="shared" si="175"/>
        <v>44</v>
      </c>
      <c r="R556" s="356">
        <f t="shared" si="169"/>
        <v>49154727.357054636</v>
      </c>
      <c r="S556" s="356">
        <f>IF($G$4="mensual",S555,0)</f>
        <v>10000</v>
      </c>
      <c r="U556" s="356">
        <f t="shared" si="176"/>
        <v>392046.4400939203</v>
      </c>
      <c r="V556" s="356">
        <f t="shared" si="158"/>
        <v>-427.9784489686147</v>
      </c>
      <c r="X556" s="356">
        <f t="shared" si="161"/>
        <v>-49556.773797148555</v>
      </c>
      <c r="Y556" s="356">
        <f t="shared" si="162"/>
        <v>49506789.04490244</v>
      </c>
      <c r="AA556" s="357">
        <f>+Bono!J556</f>
        <v>638919.6087649743</v>
      </c>
      <c r="AC556" s="378">
        <f t="shared" si="163"/>
        <v>44.416666666666664</v>
      </c>
      <c r="AD556" s="356">
        <f t="shared" si="164"/>
        <v>51559161.4174699</v>
      </c>
    </row>
    <row r="557" spans="2:30" x14ac:dyDescent="0.25">
      <c r="B557" s="356">
        <f t="shared" si="165"/>
        <v>534</v>
      </c>
      <c r="C557" s="357">
        <f t="shared" si="170"/>
        <v>44</v>
      </c>
      <c r="D557" s="357">
        <f t="shared" si="171"/>
        <v>6</v>
      </c>
      <c r="E557" s="357">
        <f t="shared" si="172"/>
        <v>73</v>
      </c>
      <c r="F557" s="356">
        <f t="shared" si="166"/>
        <v>1413452.7638024813</v>
      </c>
      <c r="H557" s="356">
        <f t="shared" si="159"/>
        <v>11271.07082818313</v>
      </c>
      <c r="I557" s="356">
        <v>0</v>
      </c>
      <c r="J557" s="360">
        <f>-SUM(F557:H557)*$J$21</f>
        <v>-12822.514511675981</v>
      </c>
      <c r="K557" s="356">
        <f t="shared" si="167"/>
        <v>-1411.9013201189885</v>
      </c>
      <c r="L557" s="356">
        <f t="shared" si="160"/>
        <v>1410489.4187988695</v>
      </c>
      <c r="N557" s="356">
        <f t="shared" si="168"/>
        <v>534</v>
      </c>
      <c r="O557" s="357">
        <f t="shared" si="173"/>
        <v>44</v>
      </c>
      <c r="P557" s="357">
        <f t="shared" si="174"/>
        <v>6</v>
      </c>
      <c r="Q557" s="357">
        <f t="shared" si="175"/>
        <v>44</v>
      </c>
      <c r="R557" s="356">
        <f t="shared" si="169"/>
        <v>49506789.04490244</v>
      </c>
      <c r="S557" s="356">
        <f>IF($G$4="mensual",S556,0)</f>
        <v>10000</v>
      </c>
      <c r="U557" s="356">
        <f t="shared" si="176"/>
        <v>394853.82943245553</v>
      </c>
      <c r="V557" s="356">
        <f t="shared" si="158"/>
        <v>-427.9784489686147</v>
      </c>
      <c r="X557" s="356">
        <f t="shared" si="161"/>
        <v>-49911.642874334895</v>
      </c>
      <c r="Y557" s="356">
        <f t="shared" si="162"/>
        <v>49861303.253011584</v>
      </c>
      <c r="AA557" s="357">
        <f>+Bono!J557</f>
        <v>637089.2638687794</v>
      </c>
      <c r="AC557" s="378">
        <f t="shared" si="163"/>
        <v>44.5</v>
      </c>
      <c r="AD557" s="356">
        <f t="shared" si="164"/>
        <v>51908881.935679235</v>
      </c>
    </row>
    <row r="558" spans="2:30" x14ac:dyDescent="0.25">
      <c r="B558" s="356">
        <f t="shared" si="165"/>
        <v>535</v>
      </c>
      <c r="C558" s="357">
        <f t="shared" si="170"/>
        <v>44</v>
      </c>
      <c r="D558" s="357">
        <f t="shared" si="171"/>
        <v>7</v>
      </c>
      <c r="E558" s="357">
        <f t="shared" si="172"/>
        <v>73</v>
      </c>
      <c r="F558" s="356">
        <f t="shared" si="166"/>
        <v>1410489.4187988695</v>
      </c>
      <c r="H558" s="356">
        <f t="shared" si="159"/>
        <v>11247.440698985038</v>
      </c>
      <c r="I558" s="356">
        <v>0</v>
      </c>
      <c r="J558" s="356">
        <v>0</v>
      </c>
      <c r="K558" s="356">
        <f t="shared" si="167"/>
        <v>-1421.7368594978545</v>
      </c>
      <c r="L558" s="356">
        <f t="shared" si="160"/>
        <v>1420315.1226383566</v>
      </c>
      <c r="N558" s="356">
        <f t="shared" si="168"/>
        <v>535</v>
      </c>
      <c r="O558" s="357">
        <f t="shared" si="173"/>
        <v>44</v>
      </c>
      <c r="P558" s="357">
        <f t="shared" si="174"/>
        <v>7</v>
      </c>
      <c r="Q558" s="357">
        <f t="shared" si="175"/>
        <v>44</v>
      </c>
      <c r="R558" s="356">
        <f t="shared" si="169"/>
        <v>49861303.253011584</v>
      </c>
      <c r="S558" s="356">
        <f>+IF($G$4="mensual",S552,IF($G$4="trimestral",S552,IF($G$4="semestral",S552,0)))</f>
        <v>10000</v>
      </c>
      <c r="U558" s="356">
        <f t="shared" si="176"/>
        <v>397680.7755119595</v>
      </c>
      <c r="V558" s="356">
        <f t="shared" si="158"/>
        <v>-427.9784489686147</v>
      </c>
      <c r="X558" s="356">
        <f t="shared" si="161"/>
        <v>-50268.98402852354</v>
      </c>
      <c r="Y558" s="356">
        <f t="shared" si="162"/>
        <v>50218287.066046044</v>
      </c>
      <c r="AA558" s="357">
        <f>+Bono!J558</f>
        <v>641039.2912025464</v>
      </c>
      <c r="AC558" s="378">
        <f t="shared" si="163"/>
        <v>44.583333333333336</v>
      </c>
      <c r="AD558" s="356">
        <f t="shared" si="164"/>
        <v>52279641.47988695</v>
      </c>
    </row>
    <row r="559" spans="2:30" x14ac:dyDescent="0.25">
      <c r="B559" s="356">
        <f t="shared" si="165"/>
        <v>536</v>
      </c>
      <c r="C559" s="357">
        <f t="shared" si="170"/>
        <v>44</v>
      </c>
      <c r="D559" s="357">
        <f t="shared" si="171"/>
        <v>8</v>
      </c>
      <c r="E559" s="357">
        <f t="shared" si="172"/>
        <v>73</v>
      </c>
      <c r="F559" s="356">
        <f t="shared" si="166"/>
        <v>1420315.1226383566</v>
      </c>
      <c r="H559" s="356">
        <f t="shared" si="159"/>
        <v>11325.792241213927</v>
      </c>
      <c r="I559" s="356">
        <v>0</v>
      </c>
      <c r="J559" s="356">
        <v>0</v>
      </c>
      <c r="K559" s="356">
        <f t="shared" si="167"/>
        <v>-1431.6409148795706</v>
      </c>
      <c r="L559" s="356">
        <f t="shared" si="160"/>
        <v>1430209.273964691</v>
      </c>
      <c r="N559" s="356">
        <f t="shared" si="168"/>
        <v>536</v>
      </c>
      <c r="O559" s="357">
        <f t="shared" si="173"/>
        <v>44</v>
      </c>
      <c r="P559" s="357">
        <f t="shared" si="174"/>
        <v>8</v>
      </c>
      <c r="Q559" s="357">
        <f t="shared" si="175"/>
        <v>44</v>
      </c>
      <c r="R559" s="356">
        <f t="shared" si="169"/>
        <v>50218287.066046044</v>
      </c>
      <c r="S559" s="356">
        <f>IF($G$4="mensual",S558,0)</f>
        <v>10000</v>
      </c>
      <c r="U559" s="356">
        <f t="shared" si="176"/>
        <v>400527.4145679418</v>
      </c>
      <c r="V559" s="356">
        <f t="shared" si="158"/>
        <v>-427.9784489686147</v>
      </c>
      <c r="X559" s="356">
        <f t="shared" si="161"/>
        <v>-50628.81448061398</v>
      </c>
      <c r="Y559" s="356">
        <f t="shared" si="162"/>
        <v>50577757.687684394</v>
      </c>
      <c r="AA559" s="357">
        <f>+Bono!J559</f>
        <v>645013.8091639577</v>
      </c>
      <c r="AC559" s="378">
        <f t="shared" si="163"/>
        <v>44.666666666666664</v>
      </c>
      <c r="AD559" s="356">
        <f t="shared" si="164"/>
        <v>52652980.77081304</v>
      </c>
    </row>
    <row r="560" spans="2:30" x14ac:dyDescent="0.25">
      <c r="B560" s="356">
        <f t="shared" si="165"/>
        <v>537</v>
      </c>
      <c r="C560" s="357">
        <f t="shared" si="170"/>
        <v>44</v>
      </c>
      <c r="D560" s="357">
        <f t="shared" si="171"/>
        <v>9</v>
      </c>
      <c r="E560" s="357">
        <f t="shared" si="172"/>
        <v>73</v>
      </c>
      <c r="F560" s="356">
        <f t="shared" si="166"/>
        <v>1430209.273964691</v>
      </c>
      <c r="H560" s="356">
        <f t="shared" si="159"/>
        <v>11404.689593314943</v>
      </c>
      <c r="I560" s="356">
        <v>0</v>
      </c>
      <c r="J560" s="360">
        <f>-SUM(F560:H560)*$J$21</f>
        <v>-12974.525672022055</v>
      </c>
      <c r="K560" s="356">
        <f t="shared" si="167"/>
        <v>-1428.6394378859839</v>
      </c>
      <c r="L560" s="356">
        <f t="shared" si="160"/>
        <v>1427210.798448098</v>
      </c>
      <c r="N560" s="356">
        <f t="shared" si="168"/>
        <v>537</v>
      </c>
      <c r="O560" s="357">
        <f t="shared" si="173"/>
        <v>44</v>
      </c>
      <c r="P560" s="357">
        <f t="shared" si="174"/>
        <v>9</v>
      </c>
      <c r="Q560" s="357">
        <f t="shared" si="175"/>
        <v>44</v>
      </c>
      <c r="R560" s="356">
        <f t="shared" si="169"/>
        <v>50577757.687684394</v>
      </c>
      <c r="S560" s="356">
        <f>IF($G$4="mensual",S559,0)</f>
        <v>10000</v>
      </c>
      <c r="U560" s="356">
        <f t="shared" si="176"/>
        <v>403393.88378495135</v>
      </c>
      <c r="V560" s="356">
        <f t="shared" si="158"/>
        <v>-427.9784489686147</v>
      </c>
      <c r="X560" s="356">
        <f t="shared" si="161"/>
        <v>-50991.151571469345</v>
      </c>
      <c r="Y560" s="356">
        <f t="shared" si="162"/>
        <v>50939732.441448905</v>
      </c>
      <c r="AA560" s="357">
        <f>+Bono!J560</f>
        <v>643166.0059076756</v>
      </c>
      <c r="AC560" s="378">
        <f t="shared" si="163"/>
        <v>44.75</v>
      </c>
      <c r="AD560" s="356">
        <f t="shared" si="164"/>
        <v>53010109.24580468</v>
      </c>
    </row>
    <row r="561" spans="2:30" x14ac:dyDescent="0.25">
      <c r="B561" s="356">
        <f t="shared" si="165"/>
        <v>538</v>
      </c>
      <c r="C561" s="357">
        <f t="shared" si="170"/>
        <v>44</v>
      </c>
      <c r="D561" s="357">
        <f t="shared" si="171"/>
        <v>10</v>
      </c>
      <c r="E561" s="357">
        <f t="shared" si="172"/>
        <v>73</v>
      </c>
      <c r="F561" s="356">
        <f t="shared" si="166"/>
        <v>1427210.798448098</v>
      </c>
      <c r="H561" s="356">
        <f t="shared" si="159"/>
        <v>11380.779328473</v>
      </c>
      <c r="I561" s="356">
        <v>0</v>
      </c>
      <c r="J561" s="356">
        <v>0</v>
      </c>
      <c r="K561" s="356">
        <f t="shared" si="167"/>
        <v>-1438.5915777765708</v>
      </c>
      <c r="L561" s="356">
        <f t="shared" si="160"/>
        <v>1437152.9861987943</v>
      </c>
      <c r="N561" s="356">
        <f t="shared" si="168"/>
        <v>538</v>
      </c>
      <c r="O561" s="357">
        <f t="shared" si="173"/>
        <v>44</v>
      </c>
      <c r="P561" s="357">
        <f t="shared" si="174"/>
        <v>10</v>
      </c>
      <c r="Q561" s="357">
        <f t="shared" si="175"/>
        <v>44</v>
      </c>
      <c r="R561" s="356">
        <f t="shared" si="169"/>
        <v>50939732.441448905</v>
      </c>
      <c r="S561" s="356">
        <f>IF($G$4="mensual",S552,IF($G$4="trimestral",S552,0))</f>
        <v>10000</v>
      </c>
      <c r="U561" s="356">
        <f t="shared" si="176"/>
        <v>406280.3213031874</v>
      </c>
      <c r="V561" s="356">
        <f t="shared" si="158"/>
        <v>-427.9784489686147</v>
      </c>
      <c r="X561" s="356">
        <f t="shared" si="161"/>
        <v>-51356.01276275209</v>
      </c>
      <c r="Y561" s="356">
        <f t="shared" si="162"/>
        <v>51304228.771540366</v>
      </c>
      <c r="AA561" s="357">
        <f>+Bono!J561</f>
        <v>647153.7097469423</v>
      </c>
      <c r="AC561" s="378">
        <f t="shared" si="163"/>
        <v>44.833333333333336</v>
      </c>
      <c r="AD561" s="356">
        <f t="shared" si="164"/>
        <v>53388535.467486106</v>
      </c>
    </row>
    <row r="562" spans="2:30" x14ac:dyDescent="0.25">
      <c r="B562" s="356">
        <f t="shared" si="165"/>
        <v>539</v>
      </c>
      <c r="C562" s="357">
        <f t="shared" si="170"/>
        <v>44</v>
      </c>
      <c r="D562" s="357">
        <f t="shared" si="171"/>
        <v>11</v>
      </c>
      <c r="E562" s="357">
        <f t="shared" si="172"/>
        <v>73</v>
      </c>
      <c r="F562" s="356">
        <f t="shared" si="166"/>
        <v>1437152.9861987943</v>
      </c>
      <c r="H562" s="356">
        <f t="shared" si="159"/>
        <v>11460.05972976758</v>
      </c>
      <c r="I562" s="356">
        <v>0</v>
      </c>
      <c r="J562" s="356">
        <v>0</v>
      </c>
      <c r="K562" s="356">
        <f t="shared" si="167"/>
        <v>-1448.6130459285619</v>
      </c>
      <c r="L562" s="356">
        <f t="shared" si="160"/>
        <v>1447164.4328826333</v>
      </c>
      <c r="N562" s="356">
        <f t="shared" si="168"/>
        <v>539</v>
      </c>
      <c r="O562" s="357">
        <f t="shared" si="173"/>
        <v>44</v>
      </c>
      <c r="P562" s="357">
        <f t="shared" si="174"/>
        <v>11</v>
      </c>
      <c r="Q562" s="357">
        <f t="shared" si="175"/>
        <v>44</v>
      </c>
      <c r="R562" s="356">
        <f t="shared" si="169"/>
        <v>51304228.771540366</v>
      </c>
      <c r="S562" s="356">
        <f>IF($G$17="si",S550*(1+$G$20),S550)</f>
        <v>10000</v>
      </c>
      <c r="U562" s="356">
        <f t="shared" si="176"/>
        <v>409186.86622515676</v>
      </c>
      <c r="V562" s="356">
        <f t="shared" si="158"/>
        <v>-427.9784489686147</v>
      </c>
      <c r="X562" s="356">
        <f t="shared" si="161"/>
        <v>-51723.41563776552</v>
      </c>
      <c r="Y562" s="356">
        <f t="shared" si="162"/>
        <v>51671264.24367878</v>
      </c>
      <c r="AA562" s="357">
        <f>+Bono!J562</f>
        <v>651166.1378125575</v>
      </c>
      <c r="AC562" s="378">
        <f t="shared" si="163"/>
        <v>44.916666666666664</v>
      </c>
      <c r="AD562" s="356">
        <f t="shared" si="164"/>
        <v>53769594.81437397</v>
      </c>
    </row>
    <row r="563" spans="2:30" x14ac:dyDescent="0.25">
      <c r="B563" s="356">
        <f t="shared" si="165"/>
        <v>540</v>
      </c>
      <c r="C563" s="357">
        <f t="shared" si="170"/>
        <v>44</v>
      </c>
      <c r="D563" s="357">
        <f t="shared" si="171"/>
        <v>12</v>
      </c>
      <c r="E563" s="357">
        <f t="shared" si="172"/>
        <v>73</v>
      </c>
      <c r="F563" s="356">
        <f t="shared" si="166"/>
        <v>1447164.4328826333</v>
      </c>
      <c r="H563" s="356">
        <f t="shared" si="159"/>
        <v>11539.892411520994</v>
      </c>
      <c r="I563" s="356">
        <v>0</v>
      </c>
      <c r="J563" s="360">
        <f>-SUM(F563:H563)*$J$21</f>
        <v>-13128.33892764739</v>
      </c>
      <c r="K563" s="356">
        <f t="shared" si="167"/>
        <v>-1445.5759863665069</v>
      </c>
      <c r="L563" s="356">
        <f t="shared" si="160"/>
        <v>1444130.4103801404</v>
      </c>
      <c r="N563" s="356">
        <f t="shared" si="168"/>
        <v>540</v>
      </c>
      <c r="O563" s="357">
        <f t="shared" si="173"/>
        <v>44</v>
      </c>
      <c r="P563" s="357">
        <f t="shared" si="174"/>
        <v>12</v>
      </c>
      <c r="Q563" s="357">
        <f t="shared" si="175"/>
        <v>44</v>
      </c>
      <c r="R563" s="356">
        <f t="shared" si="169"/>
        <v>51671264.24367878</v>
      </c>
      <c r="S563" s="356">
        <f>IF($G$4="mensual",S562,0)</f>
        <v>10000</v>
      </c>
      <c r="U563" s="356">
        <f t="shared" si="176"/>
        <v>412113.6586223775</v>
      </c>
      <c r="V563" s="356">
        <f t="shared" si="158"/>
        <v>-427.9784489686147</v>
      </c>
      <c r="X563" s="356">
        <f t="shared" si="161"/>
        <v>-52093.37790230116</v>
      </c>
      <c r="Y563" s="356">
        <f t="shared" si="162"/>
        <v>52040856.545949884</v>
      </c>
      <c r="AA563" s="357">
        <f>+Bono!J563</f>
        <v>649300.7096732898</v>
      </c>
      <c r="AC563" s="378">
        <f t="shared" si="163"/>
        <v>45</v>
      </c>
      <c r="AD563" s="356">
        <f t="shared" si="164"/>
        <v>54134287.66600332</v>
      </c>
    </row>
    <row r="564" spans="2:30" x14ac:dyDescent="0.25">
      <c r="B564" s="356">
        <f t="shared" si="165"/>
        <v>541</v>
      </c>
      <c r="C564" s="357">
        <f t="shared" si="170"/>
        <v>45</v>
      </c>
      <c r="D564" s="357">
        <f t="shared" si="171"/>
        <v>1</v>
      </c>
      <c r="E564" s="357">
        <f t="shared" si="172"/>
        <v>74</v>
      </c>
      <c r="F564" s="356">
        <f t="shared" si="166"/>
        <v>1444130.4103801404</v>
      </c>
      <c r="H564" s="356">
        <f t="shared" si="159"/>
        <v>11515.698690021662</v>
      </c>
      <c r="I564" s="356">
        <v>0</v>
      </c>
      <c r="J564" s="356">
        <v>0</v>
      </c>
      <c r="K564" s="356">
        <f t="shared" si="167"/>
        <v>-1455.646109070162</v>
      </c>
      <c r="L564" s="356">
        <f t="shared" si="160"/>
        <v>1454190.462961092</v>
      </c>
      <c r="N564" s="356">
        <f t="shared" si="168"/>
        <v>541</v>
      </c>
      <c r="O564" s="357">
        <f t="shared" si="173"/>
        <v>45</v>
      </c>
      <c r="P564" s="357">
        <f t="shared" si="174"/>
        <v>1</v>
      </c>
      <c r="Q564" s="357">
        <f t="shared" si="175"/>
        <v>45</v>
      </c>
      <c r="R564" s="356">
        <f t="shared" si="169"/>
        <v>52040856.545949884</v>
      </c>
      <c r="S564" s="356">
        <f>IF($G$17="si",S552*(1+$G$20),S552)</f>
        <v>10000</v>
      </c>
      <c r="U564" s="356">
        <f t="shared" si="176"/>
        <v>415060.83954212914</v>
      </c>
      <c r="V564" s="356">
        <f>V563*(1+$G$18)</f>
        <v>-445.0975869273593</v>
      </c>
      <c r="X564" s="356">
        <f t="shared" si="161"/>
        <v>-52465.917385492015</v>
      </c>
      <c r="Y564" s="356">
        <f t="shared" si="162"/>
        <v>52413006.37051959</v>
      </c>
      <c r="AA564" s="357">
        <f>+Bono!J564</f>
        <v>653326.4493874848</v>
      </c>
      <c r="AC564" s="378">
        <f t="shared" si="163"/>
        <v>45.083333333333336</v>
      </c>
      <c r="AD564" s="356">
        <f t="shared" si="164"/>
        <v>54520523.28286817</v>
      </c>
    </row>
    <row r="565" spans="2:30" x14ac:dyDescent="0.25">
      <c r="B565" s="356">
        <f t="shared" si="165"/>
        <v>542</v>
      </c>
      <c r="C565" s="357">
        <f t="shared" si="170"/>
        <v>45</v>
      </c>
      <c r="D565" s="357">
        <f t="shared" si="171"/>
        <v>2</v>
      </c>
      <c r="E565" s="357">
        <f t="shared" si="172"/>
        <v>74</v>
      </c>
      <c r="F565" s="356">
        <f t="shared" si="166"/>
        <v>1454190.462961092</v>
      </c>
      <c r="H565" s="356">
        <f t="shared" si="159"/>
        <v>11595.918962024325</v>
      </c>
      <c r="I565" s="356">
        <v>0</v>
      </c>
      <c r="J565" s="356">
        <v>0</v>
      </c>
      <c r="K565" s="356">
        <f t="shared" si="167"/>
        <v>-1465.7863819231163</v>
      </c>
      <c r="L565" s="356">
        <f t="shared" si="160"/>
        <v>1464320.5955411931</v>
      </c>
      <c r="N565" s="356">
        <f t="shared" si="168"/>
        <v>542</v>
      </c>
      <c r="O565" s="357">
        <f t="shared" si="173"/>
        <v>45</v>
      </c>
      <c r="P565" s="357">
        <f t="shared" si="174"/>
        <v>2</v>
      </c>
      <c r="Q565" s="357">
        <f t="shared" si="175"/>
        <v>45</v>
      </c>
      <c r="R565" s="356">
        <f t="shared" si="169"/>
        <v>52413006.37051959</v>
      </c>
      <c r="S565" s="356">
        <f>IF($G$4="mensual",S564,0)</f>
        <v>10000</v>
      </c>
      <c r="U565" s="356">
        <f t="shared" si="176"/>
        <v>418028.41450383986</v>
      </c>
      <c r="V565" s="356">
        <f>V564</f>
        <v>-445.0975869273593</v>
      </c>
      <c r="X565" s="356">
        <f t="shared" si="161"/>
        <v>-52841.03478502344</v>
      </c>
      <c r="Y565" s="356">
        <f t="shared" si="162"/>
        <v>52787748.65265148</v>
      </c>
      <c r="AA565" s="357">
        <f>+Bono!J565</f>
        <v>657377.1491548648</v>
      </c>
      <c r="AC565" s="378">
        <f t="shared" si="163"/>
        <v>45.166666666666664</v>
      </c>
      <c r="AD565" s="356">
        <f t="shared" si="164"/>
        <v>54909446.39734754</v>
      </c>
    </row>
    <row r="566" spans="2:30" x14ac:dyDescent="0.25">
      <c r="B566" s="356">
        <f t="shared" si="165"/>
        <v>543</v>
      </c>
      <c r="C566" s="357">
        <f t="shared" si="170"/>
        <v>45</v>
      </c>
      <c r="D566" s="357">
        <f t="shared" si="171"/>
        <v>3</v>
      </c>
      <c r="E566" s="357">
        <f t="shared" si="172"/>
        <v>74</v>
      </c>
      <c r="F566" s="356">
        <f t="shared" si="166"/>
        <v>1464320.5955411931</v>
      </c>
      <c r="H566" s="356">
        <f t="shared" si="159"/>
        <v>11676.698061781466</v>
      </c>
      <c r="I566" s="356">
        <v>0</v>
      </c>
      <c r="J566" s="360">
        <f>-SUM(F566:H566)*$J$21</f>
        <v>-13283.975642426773</v>
      </c>
      <c r="K566" s="356">
        <f t="shared" si="167"/>
        <v>-1462.7133179605478</v>
      </c>
      <c r="L566" s="356">
        <f t="shared" si="160"/>
        <v>1461250.6046425872</v>
      </c>
      <c r="N566" s="356">
        <f t="shared" si="168"/>
        <v>543</v>
      </c>
      <c r="O566" s="357">
        <f t="shared" si="173"/>
        <v>45</v>
      </c>
      <c r="P566" s="357">
        <f t="shared" si="174"/>
        <v>3</v>
      </c>
      <c r="Q566" s="357">
        <f t="shared" si="175"/>
        <v>45</v>
      </c>
      <c r="R566" s="356">
        <f t="shared" si="169"/>
        <v>52787748.65265148</v>
      </c>
      <c r="S566" s="356">
        <f>IF($G$4="mensual",S565,0)</f>
        <v>10000</v>
      </c>
      <c r="U566" s="356">
        <f t="shared" si="176"/>
        <v>421016.6620862074</v>
      </c>
      <c r="V566" s="356">
        <f t="shared" si="158"/>
        <v>-445.0975869273593</v>
      </c>
      <c r="X566" s="356">
        <f t="shared" si="161"/>
        <v>-53218.76531473769</v>
      </c>
      <c r="Y566" s="356">
        <f t="shared" si="162"/>
        <v>53165101.45183603</v>
      </c>
      <c r="AA566" s="357">
        <f>+Bono!J566</f>
        <v>655493.9280213695</v>
      </c>
      <c r="AC566" s="378">
        <f t="shared" si="163"/>
        <v>45.25</v>
      </c>
      <c r="AD566" s="356">
        <f t="shared" si="164"/>
        <v>55281845.98449998</v>
      </c>
    </row>
    <row r="567" spans="2:30" x14ac:dyDescent="0.25">
      <c r="B567" s="356">
        <f t="shared" si="165"/>
        <v>544</v>
      </c>
      <c r="C567" s="357">
        <f t="shared" si="170"/>
        <v>45</v>
      </c>
      <c r="D567" s="357">
        <f t="shared" si="171"/>
        <v>4</v>
      </c>
      <c r="E567" s="357">
        <f t="shared" si="172"/>
        <v>74</v>
      </c>
      <c r="F567" s="356">
        <f t="shared" si="166"/>
        <v>1461250.6046425872</v>
      </c>
      <c r="H567" s="356">
        <f t="shared" si="159"/>
        <v>11652.217523240526</v>
      </c>
      <c r="I567" s="356">
        <v>0</v>
      </c>
      <c r="J567" s="356">
        <v>0</v>
      </c>
      <c r="K567" s="356">
        <f t="shared" si="167"/>
        <v>-1472.9028221658277</v>
      </c>
      <c r="L567" s="356">
        <f t="shared" si="160"/>
        <v>1471429.919343662</v>
      </c>
      <c r="N567" s="356">
        <f t="shared" si="168"/>
        <v>544</v>
      </c>
      <c r="O567" s="357">
        <f t="shared" si="173"/>
        <v>45</v>
      </c>
      <c r="P567" s="357">
        <f t="shared" si="174"/>
        <v>4</v>
      </c>
      <c r="Q567" s="357">
        <f t="shared" si="175"/>
        <v>45</v>
      </c>
      <c r="R567" s="356">
        <f t="shared" si="169"/>
        <v>53165101.45183603</v>
      </c>
      <c r="S567" s="356">
        <f>IF($G$4="mensual",S564,IF($G$4="trimestral",S564,0))</f>
        <v>10000</v>
      </c>
      <c r="U567" s="356">
        <f t="shared" si="176"/>
        <v>424025.7262981449</v>
      </c>
      <c r="V567" s="356">
        <f t="shared" si="158"/>
        <v>-445.0975869273593</v>
      </c>
      <c r="X567" s="356">
        <f t="shared" si="161"/>
        <v>-53599.12717813417</v>
      </c>
      <c r="Y567" s="356">
        <f t="shared" si="162"/>
        <v>53545082.95336911</v>
      </c>
      <c r="AA567" s="357">
        <f>+Bono!J567</f>
        <v>659558.0664076916</v>
      </c>
      <c r="AC567" s="378">
        <f t="shared" si="163"/>
        <v>45.333333333333336</v>
      </c>
      <c r="AD567" s="356">
        <f t="shared" si="164"/>
        <v>55676070.939120464</v>
      </c>
    </row>
    <row r="568" spans="2:30" x14ac:dyDescent="0.25">
      <c r="B568" s="356">
        <f t="shared" si="165"/>
        <v>545</v>
      </c>
      <c r="C568" s="357">
        <f t="shared" si="170"/>
        <v>45</v>
      </c>
      <c r="D568" s="357">
        <f t="shared" si="171"/>
        <v>5</v>
      </c>
      <c r="E568" s="357">
        <f t="shared" si="172"/>
        <v>74</v>
      </c>
      <c r="F568" s="356">
        <f t="shared" si="166"/>
        <v>1471429.919343662</v>
      </c>
      <c r="H568" s="356">
        <f t="shared" si="159"/>
        <v>11733.3888081369</v>
      </c>
      <c r="I568" s="356">
        <v>0</v>
      </c>
      <c r="J568" s="356">
        <v>0</v>
      </c>
      <c r="K568" s="356">
        <f t="shared" si="167"/>
        <v>-1483.163308151799</v>
      </c>
      <c r="L568" s="356">
        <f t="shared" si="160"/>
        <v>1481680.144843647</v>
      </c>
      <c r="N568" s="356">
        <f t="shared" si="168"/>
        <v>545</v>
      </c>
      <c r="O568" s="357">
        <f t="shared" si="173"/>
        <v>45</v>
      </c>
      <c r="P568" s="357">
        <f t="shared" si="174"/>
        <v>5</v>
      </c>
      <c r="Q568" s="357">
        <f t="shared" si="175"/>
        <v>45</v>
      </c>
      <c r="R568" s="356">
        <f t="shared" si="169"/>
        <v>53545082.95336911</v>
      </c>
      <c r="S568" s="356">
        <f>IF($G$4="mensual",S567,0)</f>
        <v>10000</v>
      </c>
      <c r="U568" s="356">
        <f t="shared" si="176"/>
        <v>427055.75215175544</v>
      </c>
      <c r="V568" s="356">
        <f t="shared" si="158"/>
        <v>-445.0975869273593</v>
      </c>
      <c r="X568" s="356">
        <f t="shared" si="161"/>
        <v>-53982.13870552087</v>
      </c>
      <c r="Y568" s="356">
        <f t="shared" si="162"/>
        <v>53927711.46922842</v>
      </c>
      <c r="AA568" s="357">
        <f>+Bono!J568</f>
        <v>663647.4029234197</v>
      </c>
      <c r="AC568" s="378">
        <f t="shared" si="163"/>
        <v>45.416666666666664</v>
      </c>
      <c r="AD568" s="356">
        <f t="shared" si="164"/>
        <v>56073039.01699548</v>
      </c>
    </row>
    <row r="569" spans="2:30" x14ac:dyDescent="0.25">
      <c r="B569" s="356">
        <f t="shared" si="165"/>
        <v>546</v>
      </c>
      <c r="C569" s="357">
        <f t="shared" si="170"/>
        <v>45</v>
      </c>
      <c r="D569" s="357">
        <f t="shared" si="171"/>
        <v>6</v>
      </c>
      <c r="E569" s="357">
        <f t="shared" si="172"/>
        <v>74</v>
      </c>
      <c r="F569" s="356">
        <f t="shared" si="166"/>
        <v>1481680.144843647</v>
      </c>
      <c r="H569" s="356">
        <f t="shared" si="159"/>
        <v>11815.12554570171</v>
      </c>
      <c r="I569" s="356">
        <v>0</v>
      </c>
      <c r="J569" s="360">
        <f>-SUM(F569:H569)*$J$21</f>
        <v>-13441.45743350414</v>
      </c>
      <c r="K569" s="356">
        <f t="shared" si="167"/>
        <v>-1480.0538129558447</v>
      </c>
      <c r="L569" s="356">
        <f t="shared" si="160"/>
        <v>1478573.759142889</v>
      </c>
      <c r="N569" s="356">
        <f t="shared" si="168"/>
        <v>546</v>
      </c>
      <c r="O569" s="357">
        <f t="shared" si="173"/>
        <v>45</v>
      </c>
      <c r="P569" s="357">
        <f t="shared" si="174"/>
        <v>6</v>
      </c>
      <c r="Q569" s="357">
        <f t="shared" si="175"/>
        <v>45</v>
      </c>
      <c r="R569" s="356">
        <f t="shared" si="169"/>
        <v>53927711.46922842</v>
      </c>
      <c r="S569" s="356">
        <f>IF($G$4="mensual",S568,0)</f>
        <v>10000</v>
      </c>
      <c r="U569" s="356">
        <f t="shared" si="176"/>
        <v>430106.8856693206</v>
      </c>
      <c r="V569" s="356">
        <f t="shared" si="158"/>
        <v>-445.0975869273593</v>
      </c>
      <c r="X569" s="356">
        <f t="shared" si="161"/>
        <v>-54367.81835489774</v>
      </c>
      <c r="Y569" s="356">
        <f t="shared" si="162"/>
        <v>54313005.43895591</v>
      </c>
      <c r="AA569" s="357">
        <f>+Bono!J569</f>
        <v>661746.2190809612</v>
      </c>
      <c r="AC569" s="378">
        <f t="shared" si="163"/>
        <v>45.5</v>
      </c>
      <c r="AD569" s="356">
        <f t="shared" si="164"/>
        <v>56453325.41717976</v>
      </c>
    </row>
    <row r="570" spans="2:30" x14ac:dyDescent="0.25">
      <c r="B570" s="356">
        <f t="shared" si="165"/>
        <v>547</v>
      </c>
      <c r="C570" s="357">
        <f t="shared" si="170"/>
        <v>45</v>
      </c>
      <c r="D570" s="357">
        <f t="shared" si="171"/>
        <v>7</v>
      </c>
      <c r="E570" s="357">
        <f t="shared" si="172"/>
        <v>74</v>
      </c>
      <c r="F570" s="356">
        <f t="shared" si="166"/>
        <v>1478573.759142889</v>
      </c>
      <c r="H570" s="356">
        <f t="shared" si="159"/>
        <v>11790.354789897527</v>
      </c>
      <c r="I570" s="356">
        <v>0</v>
      </c>
      <c r="J570" s="356">
        <v>0</v>
      </c>
      <c r="K570" s="356">
        <f t="shared" si="167"/>
        <v>-1490.3641139327865</v>
      </c>
      <c r="L570" s="356">
        <f t="shared" si="160"/>
        <v>1488873.7498188538</v>
      </c>
      <c r="N570" s="356">
        <f t="shared" si="168"/>
        <v>547</v>
      </c>
      <c r="O570" s="357">
        <f t="shared" si="173"/>
        <v>45</v>
      </c>
      <c r="P570" s="357">
        <f t="shared" si="174"/>
        <v>7</v>
      </c>
      <c r="Q570" s="357">
        <f t="shared" si="175"/>
        <v>45</v>
      </c>
      <c r="R570" s="356">
        <f t="shared" si="169"/>
        <v>54313005.43895591</v>
      </c>
      <c r="S570" s="356">
        <f>+IF($G$4="mensual",S564,IF($G$4="trimestral",S564,IF($G$4="semestral",S564,0)))</f>
        <v>10000</v>
      </c>
      <c r="U570" s="356">
        <f t="shared" si="176"/>
        <v>433179.2738903374</v>
      </c>
      <c r="V570" s="356">
        <f t="shared" si="158"/>
        <v>-445.0975869273593</v>
      </c>
      <c r="X570" s="356">
        <f t="shared" si="161"/>
        <v>-54756.184712846254</v>
      </c>
      <c r="Y570" s="356">
        <f t="shared" si="162"/>
        <v>54700983.43054647</v>
      </c>
      <c r="AA570" s="357">
        <f>+Bono!J570</f>
        <v>665849.1223970735</v>
      </c>
      <c r="AC570" s="378">
        <f t="shared" si="163"/>
        <v>45.583333333333336</v>
      </c>
      <c r="AD570" s="356">
        <f t="shared" si="164"/>
        <v>56855706.3027624</v>
      </c>
    </row>
    <row r="571" spans="2:30" x14ac:dyDescent="0.25">
      <c r="B571" s="356">
        <f t="shared" si="165"/>
        <v>548</v>
      </c>
      <c r="C571" s="357">
        <f t="shared" si="170"/>
        <v>45</v>
      </c>
      <c r="D571" s="357">
        <f t="shared" si="171"/>
        <v>8</v>
      </c>
      <c r="E571" s="357">
        <f t="shared" si="172"/>
        <v>74</v>
      </c>
      <c r="F571" s="356">
        <f t="shared" si="166"/>
        <v>1488873.7498188538</v>
      </c>
      <c r="H571" s="356">
        <f t="shared" si="159"/>
        <v>11872.488361964071</v>
      </c>
      <c r="I571" s="356">
        <v>0</v>
      </c>
      <c r="J571" s="356">
        <v>0</v>
      </c>
      <c r="K571" s="356">
        <f t="shared" si="167"/>
        <v>-1500.7462381808177</v>
      </c>
      <c r="L571" s="356">
        <f t="shared" si="160"/>
        <v>1499245.491942637</v>
      </c>
      <c r="N571" s="356">
        <f t="shared" si="168"/>
        <v>548</v>
      </c>
      <c r="O571" s="357">
        <f t="shared" si="173"/>
        <v>45</v>
      </c>
      <c r="P571" s="357">
        <f t="shared" si="174"/>
        <v>8</v>
      </c>
      <c r="Q571" s="357">
        <f t="shared" si="175"/>
        <v>45</v>
      </c>
      <c r="R571" s="356">
        <f t="shared" si="169"/>
        <v>54700983.43054647</v>
      </c>
      <c r="S571" s="356">
        <f>IF($G$4="mensual",S570,0)</f>
        <v>10000</v>
      </c>
      <c r="U571" s="356">
        <f t="shared" si="176"/>
        <v>436273.06487860455</v>
      </c>
      <c r="V571" s="356">
        <f t="shared" si="158"/>
        <v>-445.0975869273593</v>
      </c>
      <c r="X571" s="356">
        <f t="shared" si="161"/>
        <v>-55147.25649542508</v>
      </c>
      <c r="Y571" s="356">
        <f t="shared" si="162"/>
        <v>55091664.14134272</v>
      </c>
      <c r="AA571" s="357">
        <f>+Bono!J571</f>
        <v>669977.4641896532</v>
      </c>
      <c r="AC571" s="378">
        <f t="shared" si="163"/>
        <v>45.666666666666664</v>
      </c>
      <c r="AD571" s="356">
        <f t="shared" si="164"/>
        <v>57260887.097475015</v>
      </c>
    </row>
    <row r="572" spans="2:30" x14ac:dyDescent="0.25">
      <c r="B572" s="356">
        <f t="shared" si="165"/>
        <v>549</v>
      </c>
      <c r="C572" s="357">
        <f t="shared" si="170"/>
        <v>45</v>
      </c>
      <c r="D572" s="357">
        <f t="shared" si="171"/>
        <v>9</v>
      </c>
      <c r="E572" s="357">
        <f t="shared" si="172"/>
        <v>74</v>
      </c>
      <c r="F572" s="356">
        <f t="shared" si="166"/>
        <v>1499245.491942637</v>
      </c>
      <c r="H572" s="356">
        <f t="shared" si="159"/>
        <v>11955.194090151494</v>
      </c>
      <c r="I572" s="356">
        <v>0</v>
      </c>
      <c r="J572" s="360">
        <f>-SUM(F572:H572)*$J$21</f>
        <v>-13600.806174295098</v>
      </c>
      <c r="K572" s="356">
        <f t="shared" si="167"/>
        <v>-1497.5998798584933</v>
      </c>
      <c r="L572" s="356">
        <f t="shared" si="160"/>
        <v>1496102.2799786348</v>
      </c>
      <c r="N572" s="356">
        <f t="shared" si="168"/>
        <v>549</v>
      </c>
      <c r="O572" s="357">
        <f t="shared" si="173"/>
        <v>45</v>
      </c>
      <c r="P572" s="357">
        <f t="shared" si="174"/>
        <v>9</v>
      </c>
      <c r="Q572" s="357">
        <f t="shared" si="175"/>
        <v>45</v>
      </c>
      <c r="R572" s="356">
        <f t="shared" si="169"/>
        <v>55091664.14134272</v>
      </c>
      <c r="S572" s="356">
        <f>IF($G$4="mensual",S571,0)</f>
        <v>10000</v>
      </c>
      <c r="U572" s="356">
        <f t="shared" si="176"/>
        <v>439388.40772935783</v>
      </c>
      <c r="V572" s="356">
        <f t="shared" si="158"/>
        <v>-445.0975869273593</v>
      </c>
      <c r="X572" s="356">
        <f t="shared" si="161"/>
        <v>-55541.05254907208</v>
      </c>
      <c r="Y572" s="356">
        <f t="shared" si="162"/>
        <v>55485066.39893608</v>
      </c>
      <c r="AA572" s="357">
        <f>+Bono!J572</f>
        <v>668058.1463047074</v>
      </c>
      <c r="AC572" s="378">
        <f t="shared" si="163"/>
        <v>45.75</v>
      </c>
      <c r="AD572" s="356">
        <f t="shared" si="164"/>
        <v>57649226.825219415</v>
      </c>
    </row>
    <row r="573" spans="2:30" x14ac:dyDescent="0.25">
      <c r="B573" s="356">
        <f t="shared" si="165"/>
        <v>550</v>
      </c>
      <c r="C573" s="357">
        <f t="shared" si="170"/>
        <v>45</v>
      </c>
      <c r="D573" s="357">
        <f t="shared" si="171"/>
        <v>10</v>
      </c>
      <c r="E573" s="357">
        <f t="shared" si="172"/>
        <v>74</v>
      </c>
      <c r="F573" s="356">
        <f t="shared" si="166"/>
        <v>1496102.2799786348</v>
      </c>
      <c r="H573" s="356">
        <f t="shared" si="159"/>
        <v>11930.129676552731</v>
      </c>
      <c r="I573" s="356">
        <v>0</v>
      </c>
      <c r="J573" s="356">
        <v>0</v>
      </c>
      <c r="K573" s="356">
        <f t="shared" si="167"/>
        <v>-1508.0324096551876</v>
      </c>
      <c r="L573" s="356">
        <f t="shared" si="160"/>
        <v>1506524.3772455323</v>
      </c>
      <c r="N573" s="356">
        <f t="shared" si="168"/>
        <v>550</v>
      </c>
      <c r="O573" s="357">
        <f t="shared" si="173"/>
        <v>45</v>
      </c>
      <c r="P573" s="357">
        <f t="shared" si="174"/>
        <v>10</v>
      </c>
      <c r="Q573" s="357">
        <f t="shared" si="175"/>
        <v>45</v>
      </c>
      <c r="R573" s="356">
        <f t="shared" si="169"/>
        <v>55485066.39893608</v>
      </c>
      <c r="S573" s="356">
        <f>IF($G$4="mensual",S564,IF($G$4="trimestral",S564,0))</f>
        <v>10000</v>
      </c>
      <c r="U573" s="356">
        <f t="shared" si="176"/>
        <v>442525.452576455</v>
      </c>
      <c r="V573" s="356">
        <f t="shared" ref="V573:V635" si="177">V572</f>
        <v>-445.0975869273593</v>
      </c>
      <c r="X573" s="356">
        <f t="shared" si="161"/>
        <v>-55937.59185151254</v>
      </c>
      <c r="Y573" s="356">
        <f t="shared" si="162"/>
        <v>55881209.1620741</v>
      </c>
      <c r="AA573" s="357">
        <f>+Bono!J573</f>
        <v>672200.1843017453</v>
      </c>
      <c r="AC573" s="378">
        <f t="shared" si="163"/>
        <v>45.833333333333336</v>
      </c>
      <c r="AD573" s="356">
        <f t="shared" si="164"/>
        <v>58059933.723621376</v>
      </c>
    </row>
    <row r="574" spans="2:30" x14ac:dyDescent="0.25">
      <c r="B574" s="356">
        <f t="shared" si="165"/>
        <v>551</v>
      </c>
      <c r="C574" s="357">
        <f t="shared" si="170"/>
        <v>45</v>
      </c>
      <c r="D574" s="357">
        <f t="shared" si="171"/>
        <v>11</v>
      </c>
      <c r="E574" s="357">
        <f t="shared" si="172"/>
        <v>74</v>
      </c>
      <c r="F574" s="356">
        <f t="shared" si="166"/>
        <v>1506524.3772455323</v>
      </c>
      <c r="H574" s="356">
        <f t="shared" si="159"/>
        <v>12013.236943722666</v>
      </c>
      <c r="I574" s="356">
        <v>0</v>
      </c>
      <c r="J574" s="356">
        <v>0</v>
      </c>
      <c r="K574" s="356">
        <f t="shared" si="167"/>
        <v>-1518.537614189255</v>
      </c>
      <c r="L574" s="356">
        <f t="shared" si="160"/>
        <v>1517019.0765750657</v>
      </c>
      <c r="N574" s="356">
        <f t="shared" si="168"/>
        <v>551</v>
      </c>
      <c r="O574" s="357">
        <f t="shared" si="173"/>
        <v>45</v>
      </c>
      <c r="P574" s="357">
        <f t="shared" si="174"/>
        <v>11</v>
      </c>
      <c r="Q574" s="357">
        <f t="shared" si="175"/>
        <v>45</v>
      </c>
      <c r="R574" s="356">
        <f t="shared" si="169"/>
        <v>55881209.1620741</v>
      </c>
      <c r="S574" s="356">
        <f>IF($G$17="si",S562*(1+$G$20),S562)</f>
        <v>10000</v>
      </c>
      <c r="U574" s="356">
        <f t="shared" si="176"/>
        <v>445684.3505996115</v>
      </c>
      <c r="V574" s="356">
        <f t="shared" si="177"/>
        <v>-445.0975869273593</v>
      </c>
      <c r="X574" s="356">
        <f t="shared" si="161"/>
        <v>-56336.893512673705</v>
      </c>
      <c r="Y574" s="356">
        <f t="shared" si="162"/>
        <v>56280111.5215741</v>
      </c>
      <c r="AA574" s="357">
        <f>+Bono!J574</f>
        <v>676367.9034148115</v>
      </c>
      <c r="AC574" s="378">
        <f t="shared" si="163"/>
        <v>45.916666666666664</v>
      </c>
      <c r="AD574" s="356">
        <f t="shared" si="164"/>
        <v>58473498.50156397</v>
      </c>
    </row>
    <row r="575" spans="2:30" x14ac:dyDescent="0.25">
      <c r="B575" s="356">
        <f t="shared" si="165"/>
        <v>552</v>
      </c>
      <c r="C575" s="357">
        <f t="shared" si="170"/>
        <v>45</v>
      </c>
      <c r="D575" s="357">
        <f t="shared" si="171"/>
        <v>12</v>
      </c>
      <c r="E575" s="357">
        <f t="shared" si="172"/>
        <v>74</v>
      </c>
      <c r="F575" s="356">
        <f t="shared" si="166"/>
        <v>1517019.0765750657</v>
      </c>
      <c r="H575" s="356">
        <f t="shared" si="159"/>
        <v>12096.923149935486</v>
      </c>
      <c r="I575" s="356">
        <v>0</v>
      </c>
      <c r="J575" s="360">
        <f>-SUM(F575:H575)*$J$21</f>
        <v>-13762.043997525012</v>
      </c>
      <c r="K575" s="356">
        <f t="shared" si="167"/>
        <v>-1515.3539557274762</v>
      </c>
      <c r="L575" s="356">
        <f t="shared" si="160"/>
        <v>1513838.6017717486</v>
      </c>
      <c r="N575" s="356">
        <f t="shared" si="168"/>
        <v>552</v>
      </c>
      <c r="O575" s="357">
        <f t="shared" si="173"/>
        <v>45</v>
      </c>
      <c r="P575" s="357">
        <f t="shared" si="174"/>
        <v>12</v>
      </c>
      <c r="Q575" s="357">
        <f t="shared" si="175"/>
        <v>45</v>
      </c>
      <c r="R575" s="356">
        <f t="shared" si="169"/>
        <v>56280111.5215741</v>
      </c>
      <c r="S575" s="356">
        <f>IF($G$4="mensual",S574,0)</f>
        <v>10000</v>
      </c>
      <c r="U575" s="356">
        <f t="shared" si="176"/>
        <v>448865.25403168565</v>
      </c>
      <c r="V575" s="356">
        <f t="shared" si="177"/>
        <v>-445.0975869273593</v>
      </c>
      <c r="X575" s="356">
        <f t="shared" si="161"/>
        <v>-56738.97677560579</v>
      </c>
      <c r="Y575" s="356">
        <f t="shared" si="162"/>
        <v>56681792.70124325</v>
      </c>
      <c r="AA575" s="357">
        <f>+Bono!J575</f>
        <v>674430.2785196257</v>
      </c>
      <c r="AC575" s="378">
        <f t="shared" si="163"/>
        <v>46</v>
      </c>
      <c r="AD575" s="356">
        <f t="shared" si="164"/>
        <v>58870061.581534624</v>
      </c>
    </row>
    <row r="576" spans="2:30" x14ac:dyDescent="0.25">
      <c r="B576" s="356">
        <f t="shared" si="165"/>
        <v>553</v>
      </c>
      <c r="C576" s="357">
        <f t="shared" si="170"/>
        <v>46</v>
      </c>
      <c r="D576" s="357">
        <f t="shared" si="171"/>
        <v>1</v>
      </c>
      <c r="E576" s="357">
        <f t="shared" si="172"/>
        <v>75</v>
      </c>
      <c r="F576" s="356">
        <f t="shared" si="166"/>
        <v>1513838.6017717486</v>
      </c>
      <c r="H576" s="356">
        <f t="shared" si="159"/>
        <v>12071.561597223246</v>
      </c>
      <c r="I576" s="356">
        <v>0</v>
      </c>
      <c r="J576" s="356">
        <v>0</v>
      </c>
      <c r="K576" s="356">
        <f t="shared" si="167"/>
        <v>-1525.9101633689718</v>
      </c>
      <c r="L576" s="356">
        <f t="shared" si="160"/>
        <v>1524384.2532056028</v>
      </c>
      <c r="N576" s="356">
        <f t="shared" si="168"/>
        <v>553</v>
      </c>
      <c r="O576" s="357">
        <f t="shared" si="173"/>
        <v>46</v>
      </c>
      <c r="P576" s="357">
        <f t="shared" si="174"/>
        <v>1</v>
      </c>
      <c r="Q576" s="357">
        <f t="shared" si="175"/>
        <v>46</v>
      </c>
      <c r="R576" s="356">
        <f t="shared" si="169"/>
        <v>56681792.70124325</v>
      </c>
      <c r="S576" s="356">
        <f>IF($G$17="si",S564*(1+$G$20),S564)</f>
        <v>10000</v>
      </c>
      <c r="U576" s="356">
        <f t="shared" si="176"/>
        <v>452068.31616601517</v>
      </c>
      <c r="V576" s="356">
        <f>V575*(1+$G$18)</f>
        <v>-462.9014904044537</v>
      </c>
      <c r="X576" s="356">
        <f t="shared" si="161"/>
        <v>-57143.86101740927</v>
      </c>
      <c r="Y576" s="356">
        <f t="shared" si="162"/>
        <v>57086254.254901454</v>
      </c>
      <c r="AA576" s="357">
        <f>+Bono!J576</f>
        <v>678611.8244755176</v>
      </c>
      <c r="AC576" s="378">
        <f t="shared" si="163"/>
        <v>46.083333333333336</v>
      </c>
      <c r="AD576" s="356">
        <f t="shared" si="164"/>
        <v>59289250.33258258</v>
      </c>
    </row>
    <row r="577" spans="2:30" x14ac:dyDescent="0.25">
      <c r="B577" s="356">
        <f t="shared" si="165"/>
        <v>554</v>
      </c>
      <c r="C577" s="357">
        <f t="shared" si="170"/>
        <v>46</v>
      </c>
      <c r="D577" s="357">
        <f t="shared" si="171"/>
        <v>2</v>
      </c>
      <c r="E577" s="357">
        <f t="shared" si="172"/>
        <v>75</v>
      </c>
      <c r="F577" s="356">
        <f t="shared" si="166"/>
        <v>1524384.2532056028</v>
      </c>
      <c r="H577" s="356">
        <f t="shared" si="159"/>
        <v>12155.65410267107</v>
      </c>
      <c r="I577" s="356">
        <v>0</v>
      </c>
      <c r="J577" s="356">
        <v>0</v>
      </c>
      <c r="K577" s="356">
        <f t="shared" si="167"/>
        <v>-1536.5399073082738</v>
      </c>
      <c r="L577" s="356">
        <f t="shared" si="160"/>
        <v>1535003.3674009654</v>
      </c>
      <c r="N577" s="356">
        <f t="shared" si="168"/>
        <v>554</v>
      </c>
      <c r="O577" s="357">
        <f t="shared" si="173"/>
        <v>46</v>
      </c>
      <c r="P577" s="357">
        <f t="shared" si="174"/>
        <v>2</v>
      </c>
      <c r="Q577" s="357">
        <f t="shared" si="175"/>
        <v>46</v>
      </c>
      <c r="R577" s="356">
        <f t="shared" si="169"/>
        <v>57086254.254901454</v>
      </c>
      <c r="S577" s="356">
        <f>IF($G$4="mensual",S576,0)</f>
        <v>10000</v>
      </c>
      <c r="U577" s="356">
        <f t="shared" si="176"/>
        <v>455293.54939297825</v>
      </c>
      <c r="V577" s="356">
        <f>V576</f>
        <v>-462.9014904044537</v>
      </c>
      <c r="X577" s="356">
        <f t="shared" si="161"/>
        <v>-57551.54780429443</v>
      </c>
      <c r="Y577" s="356">
        <f t="shared" si="162"/>
        <v>57493533.35499973</v>
      </c>
      <c r="AA577" s="357">
        <f>+Bono!J577</f>
        <v>682819.2965013654</v>
      </c>
      <c r="AC577" s="378">
        <f t="shared" si="163"/>
        <v>46.166666666666664</v>
      </c>
      <c r="AD577" s="356">
        <f t="shared" si="164"/>
        <v>59711356.01890206</v>
      </c>
    </row>
    <row r="578" spans="2:30" x14ac:dyDescent="0.25">
      <c r="B578" s="356">
        <f t="shared" si="165"/>
        <v>555</v>
      </c>
      <c r="C578" s="357">
        <f t="shared" si="170"/>
        <v>46</v>
      </c>
      <c r="D578" s="357">
        <f t="shared" si="171"/>
        <v>3</v>
      </c>
      <c r="E578" s="357">
        <f t="shared" si="172"/>
        <v>75</v>
      </c>
      <c r="F578" s="356">
        <f t="shared" si="166"/>
        <v>1535003.3674009654</v>
      </c>
      <c r="H578" s="356">
        <f t="shared" si="159"/>
        <v>12240.332410495457</v>
      </c>
      <c r="I578" s="356">
        <v>0</v>
      </c>
      <c r="J578" s="360">
        <f>-SUM(F578:H578)*$J$21</f>
        <v>-13925.19329830315</v>
      </c>
      <c r="K578" s="356">
        <f t="shared" si="167"/>
        <v>-1533.318506513158</v>
      </c>
      <c r="L578" s="356">
        <f t="shared" si="160"/>
        <v>1531785.1880066446</v>
      </c>
      <c r="N578" s="356">
        <f t="shared" si="168"/>
        <v>555</v>
      </c>
      <c r="O578" s="357">
        <f t="shared" si="173"/>
        <v>46</v>
      </c>
      <c r="P578" s="357">
        <f t="shared" si="174"/>
        <v>3</v>
      </c>
      <c r="Q578" s="357">
        <f t="shared" si="175"/>
        <v>46</v>
      </c>
      <c r="R578" s="356">
        <f t="shared" si="169"/>
        <v>57493533.35499973</v>
      </c>
      <c r="S578" s="356">
        <f>IF($G$4="mensual",S577,0)</f>
        <v>10000</v>
      </c>
      <c r="U578" s="356">
        <f t="shared" si="176"/>
        <v>458541.25013091945</v>
      </c>
      <c r="V578" s="356">
        <f t="shared" si="177"/>
        <v>-462.9014904044537</v>
      </c>
      <c r="X578" s="356">
        <f t="shared" si="161"/>
        <v>-57962.07460513065</v>
      </c>
      <c r="Y578" s="356">
        <f t="shared" si="162"/>
        <v>57903649.629035115</v>
      </c>
      <c r="AA578" s="357">
        <f>+Bono!J578</f>
        <v>680863.1899783703</v>
      </c>
      <c r="AC578" s="378">
        <f t="shared" si="163"/>
        <v>46.25</v>
      </c>
      <c r="AD578" s="356">
        <f t="shared" si="164"/>
        <v>60116298.00702013</v>
      </c>
    </row>
    <row r="579" spans="2:30" x14ac:dyDescent="0.25">
      <c r="B579" s="356">
        <f t="shared" si="165"/>
        <v>556</v>
      </c>
      <c r="C579" s="357">
        <f t="shared" si="170"/>
        <v>46</v>
      </c>
      <c r="D579" s="357">
        <f t="shared" si="171"/>
        <v>4</v>
      </c>
      <c r="E579" s="357">
        <f t="shared" si="172"/>
        <v>75</v>
      </c>
      <c r="F579" s="356">
        <f t="shared" si="166"/>
        <v>1531785.1880066446</v>
      </c>
      <c r="H579" s="356">
        <f t="shared" si="159"/>
        <v>12214.670196079738</v>
      </c>
      <c r="I579" s="356">
        <v>0</v>
      </c>
      <c r="J579" s="356">
        <v>0</v>
      </c>
      <c r="K579" s="356">
        <f t="shared" si="167"/>
        <v>-1543.9998582027242</v>
      </c>
      <c r="L579" s="356">
        <f t="shared" si="160"/>
        <v>1542455.8583445216</v>
      </c>
      <c r="N579" s="356">
        <f t="shared" si="168"/>
        <v>556</v>
      </c>
      <c r="O579" s="357">
        <f t="shared" si="173"/>
        <v>46</v>
      </c>
      <c r="P579" s="357">
        <f t="shared" si="174"/>
        <v>4</v>
      </c>
      <c r="Q579" s="357">
        <f t="shared" si="175"/>
        <v>46</v>
      </c>
      <c r="R579" s="356">
        <f t="shared" si="169"/>
        <v>57903649.629035115</v>
      </c>
      <c r="S579" s="356">
        <f>IF($G$4="mensual",S576,IF($G$4="trimestral",S576,0))</f>
        <v>10000</v>
      </c>
      <c r="U579" s="356">
        <f t="shared" si="176"/>
        <v>461811.5748922564</v>
      </c>
      <c r="V579" s="356">
        <f t="shared" si="177"/>
        <v>-462.9014904044537</v>
      </c>
      <c r="X579" s="356">
        <f t="shared" si="161"/>
        <v>-58375.46120392737</v>
      </c>
      <c r="Y579" s="356">
        <f t="shared" si="162"/>
        <v>58316622.84123304</v>
      </c>
      <c r="AA579" s="357">
        <f>+Bono!J579</f>
        <v>685084.6207314781</v>
      </c>
      <c r="AC579" s="378">
        <f t="shared" si="163"/>
        <v>46.333333333333336</v>
      </c>
      <c r="AD579" s="356">
        <f t="shared" si="164"/>
        <v>60544163.32030904</v>
      </c>
    </row>
    <row r="580" spans="2:30" x14ac:dyDescent="0.25">
      <c r="B580" s="356">
        <f t="shared" si="165"/>
        <v>557</v>
      </c>
      <c r="C580" s="357">
        <f t="shared" si="170"/>
        <v>46</v>
      </c>
      <c r="D580" s="357">
        <f t="shared" si="171"/>
        <v>5</v>
      </c>
      <c r="E580" s="357">
        <f t="shared" si="172"/>
        <v>75</v>
      </c>
      <c r="F580" s="356">
        <f t="shared" si="166"/>
        <v>1542455.8583445216</v>
      </c>
      <c r="H580" s="356">
        <f t="shared" si="159"/>
        <v>12299.759619824508</v>
      </c>
      <c r="I580" s="356">
        <v>0</v>
      </c>
      <c r="J580" s="356">
        <v>0</v>
      </c>
      <c r="K580" s="356">
        <f t="shared" si="167"/>
        <v>-1554.7556179643461</v>
      </c>
      <c r="L580" s="356">
        <f t="shared" si="160"/>
        <v>1553200.8623463819</v>
      </c>
      <c r="N580" s="356">
        <f t="shared" si="168"/>
        <v>557</v>
      </c>
      <c r="O580" s="357">
        <f t="shared" si="173"/>
        <v>46</v>
      </c>
      <c r="P580" s="357">
        <f t="shared" si="174"/>
        <v>5</v>
      </c>
      <c r="Q580" s="357">
        <f t="shared" si="175"/>
        <v>46</v>
      </c>
      <c r="R580" s="356">
        <f t="shared" si="169"/>
        <v>58316622.84123304</v>
      </c>
      <c r="S580" s="356">
        <f>IF($G$4="mensual",S579,0)</f>
        <v>10000</v>
      </c>
      <c r="U580" s="356">
        <f t="shared" si="176"/>
        <v>465104.6812796981</v>
      </c>
      <c r="V580" s="356">
        <f t="shared" si="177"/>
        <v>-462.9014904044537</v>
      </c>
      <c r="X580" s="356">
        <f t="shared" si="161"/>
        <v>-58791.72752251274</v>
      </c>
      <c r="Y580" s="356">
        <f t="shared" si="162"/>
        <v>58732472.893499814</v>
      </c>
      <c r="AA580" s="357">
        <f>+Bono!J580</f>
        <v>689332.2248449108</v>
      </c>
      <c r="AC580" s="378">
        <f t="shared" si="163"/>
        <v>46.416666666666664</v>
      </c>
      <c r="AD580" s="356">
        <f t="shared" si="164"/>
        <v>60975005.980691105</v>
      </c>
    </row>
    <row r="581" spans="2:30" x14ac:dyDescent="0.25">
      <c r="B581" s="356">
        <f t="shared" si="165"/>
        <v>558</v>
      </c>
      <c r="C581" s="357">
        <f t="shared" si="170"/>
        <v>46</v>
      </c>
      <c r="D581" s="357">
        <f t="shared" si="171"/>
        <v>6</v>
      </c>
      <c r="E581" s="357">
        <f t="shared" si="172"/>
        <v>75</v>
      </c>
      <c r="F581" s="356">
        <f t="shared" si="166"/>
        <v>1553200.8623463819</v>
      </c>
      <c r="H581" s="356">
        <f t="shared" si="159"/>
        <v>12385.441790644474</v>
      </c>
      <c r="I581" s="356">
        <v>0</v>
      </c>
      <c r="J581" s="360">
        <f>-SUM(F581:H581)*$J$21</f>
        <v>-14090.27673723324</v>
      </c>
      <c r="K581" s="356">
        <f t="shared" si="167"/>
        <v>-1551.4960273997933</v>
      </c>
      <c r="L581" s="356">
        <f t="shared" si="160"/>
        <v>1549944.5313723935</v>
      </c>
      <c r="N581" s="356">
        <f t="shared" si="168"/>
        <v>558</v>
      </c>
      <c r="O581" s="357">
        <f t="shared" si="173"/>
        <v>46</v>
      </c>
      <c r="P581" s="357">
        <f t="shared" si="174"/>
        <v>6</v>
      </c>
      <c r="Q581" s="357">
        <f t="shared" si="175"/>
        <v>46</v>
      </c>
      <c r="R581" s="356">
        <f t="shared" si="169"/>
        <v>58732472.893499814</v>
      </c>
      <c r="S581" s="356">
        <f>IF($G$4="mensual",S580,0)</f>
        <v>10000</v>
      </c>
      <c r="U581" s="356">
        <f t="shared" si="176"/>
        <v>468420.72799384035</v>
      </c>
      <c r="V581" s="356">
        <f t="shared" si="177"/>
        <v>-462.9014904044537</v>
      </c>
      <c r="X581" s="356">
        <f t="shared" si="161"/>
        <v>-59210.893621493655</v>
      </c>
      <c r="Y581" s="356">
        <f t="shared" si="162"/>
        <v>59151219.82638175</v>
      </c>
      <c r="AA581" s="357">
        <f>+Bono!J581</f>
        <v>687357.4604109839</v>
      </c>
      <c r="AC581" s="378">
        <f t="shared" si="163"/>
        <v>46.5</v>
      </c>
      <c r="AD581" s="356">
        <f t="shared" si="164"/>
        <v>61388521.81816512</v>
      </c>
    </row>
    <row r="582" spans="2:30" x14ac:dyDescent="0.25">
      <c r="B582" s="356">
        <f t="shared" si="165"/>
        <v>559</v>
      </c>
      <c r="C582" s="357">
        <f t="shared" si="170"/>
        <v>46</v>
      </c>
      <c r="D582" s="357">
        <f t="shared" si="171"/>
        <v>7</v>
      </c>
      <c r="E582" s="357">
        <f t="shared" si="172"/>
        <v>75</v>
      </c>
      <c r="F582" s="356">
        <f t="shared" si="166"/>
        <v>1549944.5313723935</v>
      </c>
      <c r="H582" s="356">
        <f t="shared" si="159"/>
        <v>12359.475350174902</v>
      </c>
      <c r="I582" s="356">
        <v>0</v>
      </c>
      <c r="J582" s="356">
        <v>0</v>
      </c>
      <c r="K582" s="356">
        <f t="shared" si="167"/>
        <v>-1562.3040067225684</v>
      </c>
      <c r="L582" s="356">
        <f t="shared" si="160"/>
        <v>1560741.7027158458</v>
      </c>
      <c r="N582" s="356">
        <f t="shared" si="168"/>
        <v>559</v>
      </c>
      <c r="O582" s="357">
        <f t="shared" si="173"/>
        <v>46</v>
      </c>
      <c r="P582" s="357">
        <f t="shared" si="174"/>
        <v>7</v>
      </c>
      <c r="Q582" s="357">
        <f t="shared" si="175"/>
        <v>46</v>
      </c>
      <c r="R582" s="356">
        <f t="shared" si="169"/>
        <v>59151219.82638175</v>
      </c>
      <c r="S582" s="356">
        <f>+IF($G$4="mensual",S576,IF($G$4="trimestral",S576,IF($G$4="semestral",S576,0)))</f>
        <v>10000</v>
      </c>
      <c r="U582" s="356">
        <f t="shared" si="176"/>
        <v>471759.87484081363</v>
      </c>
      <c r="V582" s="356">
        <f t="shared" si="177"/>
        <v>-462.9014904044537</v>
      </c>
      <c r="X582" s="356">
        <f t="shared" si="161"/>
        <v>-59632.97970122256</v>
      </c>
      <c r="Y582" s="356">
        <f t="shared" si="162"/>
        <v>59572883.820030935</v>
      </c>
      <c r="AA582" s="357">
        <f>+Bono!J582</f>
        <v>691619.1563940626</v>
      </c>
      <c r="AC582" s="378">
        <f t="shared" si="163"/>
        <v>46.583333333333336</v>
      </c>
      <c r="AD582" s="356">
        <f t="shared" si="164"/>
        <v>61825244.67914084</v>
      </c>
    </row>
    <row r="583" spans="2:30" x14ac:dyDescent="0.25">
      <c r="B583" s="356">
        <f t="shared" si="165"/>
        <v>560</v>
      </c>
      <c r="C583" s="357">
        <f t="shared" si="170"/>
        <v>46</v>
      </c>
      <c r="D583" s="357">
        <f t="shared" si="171"/>
        <v>8</v>
      </c>
      <c r="E583" s="357">
        <f t="shared" si="172"/>
        <v>75</v>
      </c>
      <c r="F583" s="356">
        <f t="shared" si="166"/>
        <v>1560741.7027158458</v>
      </c>
      <c r="H583" s="356">
        <f t="shared" si="159"/>
        <v>12445.573510702527</v>
      </c>
      <c r="I583" s="356">
        <v>0</v>
      </c>
      <c r="J583" s="356">
        <v>0</v>
      </c>
      <c r="K583" s="356">
        <f t="shared" si="167"/>
        <v>-1573.1872762265482</v>
      </c>
      <c r="L583" s="356">
        <f t="shared" si="160"/>
        <v>1571614.0889503218</v>
      </c>
      <c r="N583" s="356">
        <f t="shared" si="168"/>
        <v>560</v>
      </c>
      <c r="O583" s="357">
        <f t="shared" si="173"/>
        <v>46</v>
      </c>
      <c r="P583" s="357">
        <f t="shared" si="174"/>
        <v>8</v>
      </c>
      <c r="Q583" s="357">
        <f t="shared" si="175"/>
        <v>46</v>
      </c>
      <c r="R583" s="356">
        <f t="shared" si="169"/>
        <v>59572883.820030935</v>
      </c>
      <c r="S583" s="356">
        <f>IF($G$4="mensual",S582,0)</f>
        <v>10000</v>
      </c>
      <c r="U583" s="356">
        <f t="shared" si="176"/>
        <v>475122.2827399846</v>
      </c>
      <c r="V583" s="356">
        <f t="shared" si="177"/>
        <v>-462.9014904044537</v>
      </c>
      <c r="X583" s="356">
        <f t="shared" si="161"/>
        <v>-60058.006102770916</v>
      </c>
      <c r="Y583" s="356">
        <f t="shared" si="162"/>
        <v>59997485.19517774</v>
      </c>
      <c r="AA583" s="357">
        <f>+Bono!J583</f>
        <v>695907.2753865625</v>
      </c>
      <c r="AC583" s="378">
        <f t="shared" si="163"/>
        <v>46.666666666666664</v>
      </c>
      <c r="AD583" s="356">
        <f t="shared" si="164"/>
        <v>62265006.55951463</v>
      </c>
    </row>
    <row r="584" spans="2:30" x14ac:dyDescent="0.25">
      <c r="B584" s="356">
        <f t="shared" si="165"/>
        <v>561</v>
      </c>
      <c r="C584" s="357">
        <f t="shared" si="170"/>
        <v>46</v>
      </c>
      <c r="D584" s="357">
        <f t="shared" si="171"/>
        <v>9</v>
      </c>
      <c r="E584" s="357">
        <f t="shared" si="172"/>
        <v>75</v>
      </c>
      <c r="F584" s="356">
        <f t="shared" si="166"/>
        <v>1571614.0889503218</v>
      </c>
      <c r="H584" s="356">
        <f t="shared" si="159"/>
        <v>12532.271445333517</v>
      </c>
      <c r="I584" s="356">
        <v>0</v>
      </c>
      <c r="J584" s="360">
        <f>-SUM(F584:H584)*$J$21</f>
        <v>-14257.3172435609</v>
      </c>
      <c r="K584" s="356">
        <f t="shared" si="167"/>
        <v>-1569.8890431520945</v>
      </c>
      <c r="L584" s="356">
        <f t="shared" si="160"/>
        <v>1568319.1541089423</v>
      </c>
      <c r="N584" s="356">
        <f t="shared" si="168"/>
        <v>561</v>
      </c>
      <c r="O584" s="357">
        <f t="shared" si="173"/>
        <v>46</v>
      </c>
      <c r="P584" s="357">
        <f t="shared" si="174"/>
        <v>9</v>
      </c>
      <c r="Q584" s="357">
        <f t="shared" si="175"/>
        <v>46</v>
      </c>
      <c r="R584" s="356">
        <f t="shared" si="169"/>
        <v>59997485.19517774</v>
      </c>
      <c r="S584" s="356">
        <f>IF($G$4="mensual",S583,0)</f>
        <v>10000</v>
      </c>
      <c r="U584" s="356">
        <f t="shared" si="176"/>
        <v>478508.11373171094</v>
      </c>
      <c r="V584" s="356">
        <f t="shared" si="177"/>
        <v>-462.9014904044537</v>
      </c>
      <c r="X584" s="356">
        <f t="shared" si="161"/>
        <v>-60485.993308909456</v>
      </c>
      <c r="Y584" s="356">
        <f t="shared" si="162"/>
        <v>60425044.41411014</v>
      </c>
      <c r="AA584" s="357">
        <f>+Bono!J584</f>
        <v>693913.675077142</v>
      </c>
      <c r="AC584" s="378">
        <f t="shared" si="163"/>
        <v>46.75</v>
      </c>
      <c r="AD584" s="356">
        <f t="shared" si="164"/>
        <v>62687277.24329622</v>
      </c>
    </row>
    <row r="585" spans="2:30" x14ac:dyDescent="0.25">
      <c r="B585" s="356">
        <f t="shared" si="165"/>
        <v>562</v>
      </c>
      <c r="C585" s="357">
        <f t="shared" si="170"/>
        <v>46</v>
      </c>
      <c r="D585" s="357">
        <f t="shared" si="171"/>
        <v>10</v>
      </c>
      <c r="E585" s="357">
        <f t="shared" si="172"/>
        <v>75</v>
      </c>
      <c r="F585" s="356">
        <f t="shared" si="166"/>
        <v>1568319.1541089423</v>
      </c>
      <c r="H585" s="356">
        <f t="shared" si="159"/>
        <v>12505.99717220427</v>
      </c>
      <c r="I585" s="356">
        <v>0</v>
      </c>
      <c r="J585" s="356">
        <v>0</v>
      </c>
      <c r="K585" s="356">
        <f t="shared" si="167"/>
        <v>-1580.8251512811466</v>
      </c>
      <c r="L585" s="356">
        <f t="shared" si="160"/>
        <v>1579244.3261298654</v>
      </c>
      <c r="N585" s="356">
        <f t="shared" si="168"/>
        <v>562</v>
      </c>
      <c r="O585" s="357">
        <f t="shared" si="173"/>
        <v>46</v>
      </c>
      <c r="P585" s="357">
        <f t="shared" si="174"/>
        <v>10</v>
      </c>
      <c r="Q585" s="357">
        <f t="shared" si="175"/>
        <v>46</v>
      </c>
      <c r="R585" s="356">
        <f t="shared" si="169"/>
        <v>60425044.41411014</v>
      </c>
      <c r="S585" s="356">
        <f>IF($G$4="mensual",S576,IF($G$4="trimestral",S576,0))</f>
        <v>10000</v>
      </c>
      <c r="U585" s="356">
        <f t="shared" si="176"/>
        <v>481917.53098515025</v>
      </c>
      <c r="V585" s="356">
        <f t="shared" si="177"/>
        <v>-462.9014904044537</v>
      </c>
      <c r="X585" s="356">
        <f t="shared" si="161"/>
        <v>-60916.96194509529</v>
      </c>
      <c r="Y585" s="356">
        <f t="shared" si="162"/>
        <v>60855582.08165979</v>
      </c>
      <c r="AA585" s="357">
        <f>+Bono!J585</f>
        <v>698216.0203516247</v>
      </c>
      <c r="AC585" s="378">
        <f t="shared" si="163"/>
        <v>46.833333333333336</v>
      </c>
      <c r="AD585" s="356">
        <f t="shared" si="164"/>
        <v>63133042.42814128</v>
      </c>
    </row>
    <row r="586" spans="2:30" x14ac:dyDescent="0.25">
      <c r="B586" s="356">
        <f t="shared" si="165"/>
        <v>563</v>
      </c>
      <c r="C586" s="357">
        <f t="shared" si="170"/>
        <v>46</v>
      </c>
      <c r="D586" s="357">
        <f t="shared" si="171"/>
        <v>11</v>
      </c>
      <c r="E586" s="357">
        <f t="shared" si="172"/>
        <v>75</v>
      </c>
      <c r="F586" s="356">
        <f t="shared" si="166"/>
        <v>1579244.3261298654</v>
      </c>
      <c r="H586" s="356">
        <f t="shared" si="159"/>
        <v>12593.116028109042</v>
      </c>
      <c r="I586" s="356">
        <v>0</v>
      </c>
      <c r="J586" s="356">
        <v>0</v>
      </c>
      <c r="K586" s="356">
        <f t="shared" si="167"/>
        <v>-1591.8374421579745</v>
      </c>
      <c r="L586" s="356">
        <f t="shared" si="160"/>
        <v>1590245.6047158164</v>
      </c>
      <c r="N586" s="356">
        <f t="shared" si="168"/>
        <v>563</v>
      </c>
      <c r="O586" s="357">
        <f t="shared" si="173"/>
        <v>46</v>
      </c>
      <c r="P586" s="357">
        <f t="shared" si="174"/>
        <v>11</v>
      </c>
      <c r="Q586" s="357">
        <f t="shared" si="175"/>
        <v>46</v>
      </c>
      <c r="R586" s="356">
        <f t="shared" si="169"/>
        <v>60855582.08165979</v>
      </c>
      <c r="S586" s="356">
        <f>IF($G$17="si",S574*(1+$G$20),S574)</f>
        <v>10000</v>
      </c>
      <c r="U586" s="356">
        <f t="shared" si="176"/>
        <v>485350.69880612387</v>
      </c>
      <c r="V586" s="356">
        <f t="shared" si="177"/>
        <v>-462.9014904044537</v>
      </c>
      <c r="X586" s="356">
        <f t="shared" si="161"/>
        <v>-61350.93278046591</v>
      </c>
      <c r="Y586" s="356">
        <f t="shared" si="162"/>
        <v>61289118.946195036</v>
      </c>
      <c r="AA586" s="357">
        <f>+Bono!J586</f>
        <v>702545.0406658503</v>
      </c>
      <c r="AC586" s="378">
        <f t="shared" si="163"/>
        <v>46.916666666666664</v>
      </c>
      <c r="AD586" s="356">
        <f t="shared" si="164"/>
        <v>63581909.5915767</v>
      </c>
    </row>
    <row r="587" spans="2:30" x14ac:dyDescent="0.25">
      <c r="B587" s="356">
        <f t="shared" si="165"/>
        <v>564</v>
      </c>
      <c r="C587" s="357">
        <f t="shared" si="170"/>
        <v>46</v>
      </c>
      <c r="D587" s="357">
        <f t="shared" si="171"/>
        <v>12</v>
      </c>
      <c r="E587" s="357">
        <f t="shared" si="172"/>
        <v>75</v>
      </c>
      <c r="F587" s="356">
        <f t="shared" si="166"/>
        <v>1590245.6047158164</v>
      </c>
      <c r="H587" s="356">
        <f t="shared" si="159"/>
        <v>12680.841768450906</v>
      </c>
      <c r="I587" s="356">
        <v>0</v>
      </c>
      <c r="J587" s="360">
        <f>-SUM(F587:H587)*$J$21</f>
        <v>-14426.338018358407</v>
      </c>
      <c r="K587" s="356">
        <f t="shared" si="167"/>
        <v>-1588.5001084659089</v>
      </c>
      <c r="L587" s="356">
        <f t="shared" si="160"/>
        <v>1586911.6083574428</v>
      </c>
      <c r="N587" s="356">
        <f t="shared" si="168"/>
        <v>564</v>
      </c>
      <c r="O587" s="357">
        <f t="shared" si="173"/>
        <v>46</v>
      </c>
      <c r="P587" s="357">
        <f t="shared" si="174"/>
        <v>12</v>
      </c>
      <c r="Q587" s="357">
        <f t="shared" si="175"/>
        <v>46</v>
      </c>
      <c r="R587" s="356">
        <f t="shared" si="169"/>
        <v>61289118.946195036</v>
      </c>
      <c r="S587" s="356">
        <f>IF($G$4="mensual",S586,0)</f>
        <v>10000</v>
      </c>
      <c r="U587" s="356">
        <f t="shared" si="176"/>
        <v>488807.78264503455</v>
      </c>
      <c r="V587" s="356">
        <f t="shared" si="177"/>
        <v>-462.9014904044537</v>
      </c>
      <c r="X587" s="356">
        <f t="shared" si="161"/>
        <v>-61787.926728840066</v>
      </c>
      <c r="Y587" s="356">
        <f t="shared" si="162"/>
        <v>61725675.900620826</v>
      </c>
      <c r="AA587" s="357">
        <f>+Bono!J587</f>
        <v>700532.4248188967</v>
      </c>
      <c r="AC587" s="378">
        <f t="shared" si="163"/>
        <v>47</v>
      </c>
      <c r="AD587" s="356">
        <f t="shared" si="164"/>
        <v>64013119.933797166</v>
      </c>
    </row>
    <row r="588" spans="2:30" x14ac:dyDescent="0.25">
      <c r="B588" s="356">
        <f t="shared" si="165"/>
        <v>565</v>
      </c>
      <c r="C588" s="357">
        <f t="shared" si="170"/>
        <v>47</v>
      </c>
      <c r="D588" s="357">
        <f t="shared" si="171"/>
        <v>1</v>
      </c>
      <c r="E588" s="357">
        <f t="shared" si="172"/>
        <v>76</v>
      </c>
      <c r="F588" s="356">
        <f t="shared" si="166"/>
        <v>1586911.6083574428</v>
      </c>
      <c r="H588" s="356">
        <f t="shared" si="159"/>
        <v>12654.25601329978</v>
      </c>
      <c r="I588" s="356">
        <v>0</v>
      </c>
      <c r="J588" s="356">
        <v>0</v>
      </c>
      <c r="K588" s="356">
        <f t="shared" si="167"/>
        <v>-1599.5658643707427</v>
      </c>
      <c r="L588" s="356">
        <f t="shared" si="160"/>
        <v>1597966.298506372</v>
      </c>
      <c r="N588" s="356">
        <f t="shared" si="168"/>
        <v>565</v>
      </c>
      <c r="O588" s="357">
        <f t="shared" si="173"/>
        <v>47</v>
      </c>
      <c r="P588" s="357">
        <f t="shared" si="174"/>
        <v>1</v>
      </c>
      <c r="Q588" s="357">
        <f t="shared" si="175"/>
        <v>47</v>
      </c>
      <c r="R588" s="356">
        <f t="shared" si="169"/>
        <v>61725675.900620826</v>
      </c>
      <c r="S588" s="356">
        <f>IF($G$17="si",S576*(1+$G$20),S576)</f>
        <v>10000</v>
      </c>
      <c r="U588" s="356">
        <f t="shared" si="176"/>
        <v>492288.94910484034</v>
      </c>
      <c r="V588" s="356">
        <f>V587*(1+$G$18)</f>
        <v>-481.41755002063184</v>
      </c>
      <c r="X588" s="356">
        <f t="shared" si="161"/>
        <v>-62227.964849725664</v>
      </c>
      <c r="Y588" s="356">
        <f t="shared" si="162"/>
        <v>62165255.46732592</v>
      </c>
      <c r="AA588" s="357">
        <f>+Bono!J588</f>
        <v>704875.8071095058</v>
      </c>
      <c r="AC588" s="378">
        <f t="shared" si="163"/>
        <v>47.083333333333336</v>
      </c>
      <c r="AD588" s="356">
        <f t="shared" si="164"/>
        <v>64468097.572941795</v>
      </c>
    </row>
    <row r="589" spans="2:30" x14ac:dyDescent="0.25">
      <c r="B589" s="356">
        <f t="shared" si="165"/>
        <v>566</v>
      </c>
      <c r="C589" s="357">
        <f t="shared" si="170"/>
        <v>47</v>
      </c>
      <c r="D589" s="357">
        <f t="shared" si="171"/>
        <v>2</v>
      </c>
      <c r="E589" s="357">
        <f t="shared" si="172"/>
        <v>76</v>
      </c>
      <c r="F589" s="356">
        <f t="shared" si="166"/>
        <v>1597966.298506372</v>
      </c>
      <c r="H589" s="356">
        <f t="shared" si="159"/>
        <v>12742.407664945362</v>
      </c>
      <c r="I589" s="356">
        <v>0</v>
      </c>
      <c r="J589" s="356">
        <v>0</v>
      </c>
      <c r="K589" s="356">
        <f t="shared" si="167"/>
        <v>-1610.7087061713173</v>
      </c>
      <c r="L589" s="356">
        <f t="shared" si="160"/>
        <v>1609097.997465146</v>
      </c>
      <c r="N589" s="356">
        <f t="shared" si="168"/>
        <v>566</v>
      </c>
      <c r="O589" s="357">
        <f t="shared" si="173"/>
        <v>47</v>
      </c>
      <c r="P589" s="357">
        <f t="shared" si="174"/>
        <v>2</v>
      </c>
      <c r="Q589" s="357">
        <f t="shared" si="175"/>
        <v>47</v>
      </c>
      <c r="R589" s="356">
        <f t="shared" si="169"/>
        <v>62165255.46732592</v>
      </c>
      <c r="S589" s="356">
        <f>IF($G$4="mensual",S588,0)</f>
        <v>10000</v>
      </c>
      <c r="U589" s="356">
        <f t="shared" si="176"/>
        <v>495794.2182994234</v>
      </c>
      <c r="V589" s="356">
        <f>V588</f>
        <v>-481.41755002063184</v>
      </c>
      <c r="X589" s="356">
        <f t="shared" si="161"/>
        <v>-62671.049685625345</v>
      </c>
      <c r="Y589" s="356">
        <f t="shared" si="162"/>
        <v>62607897.2183897</v>
      </c>
      <c r="AA589" s="357">
        <f>+Bono!J589</f>
        <v>709246.1188741176</v>
      </c>
      <c r="AC589" s="378">
        <f t="shared" si="163"/>
        <v>47.166666666666664</v>
      </c>
      <c r="AD589" s="356">
        <f t="shared" si="164"/>
        <v>64926241.33472896</v>
      </c>
    </row>
    <row r="590" spans="2:30" x14ac:dyDescent="0.25">
      <c r="B590" s="356">
        <f t="shared" si="165"/>
        <v>567</v>
      </c>
      <c r="C590" s="357">
        <f t="shared" si="170"/>
        <v>47</v>
      </c>
      <c r="D590" s="357">
        <f t="shared" si="171"/>
        <v>3</v>
      </c>
      <c r="E590" s="357">
        <f t="shared" si="172"/>
        <v>76</v>
      </c>
      <c r="F590" s="356">
        <f t="shared" si="166"/>
        <v>1609097.997465146</v>
      </c>
      <c r="H590" s="356">
        <f t="shared" si="159"/>
        <v>12831.173395654907</v>
      </c>
      <c r="I590" s="356">
        <v>0</v>
      </c>
      <c r="J590" s="360">
        <f>-SUM(F590:H590)*$J$21</f>
        <v>-14597.362537747209</v>
      </c>
      <c r="K590" s="356">
        <f t="shared" si="167"/>
        <v>-1607.3318083230536</v>
      </c>
      <c r="L590" s="356">
        <f t="shared" si="160"/>
        <v>1605724.4765147306</v>
      </c>
      <c r="N590" s="356">
        <f t="shared" si="168"/>
        <v>567</v>
      </c>
      <c r="O590" s="357">
        <f t="shared" si="173"/>
        <v>47</v>
      </c>
      <c r="P590" s="357">
        <f t="shared" si="174"/>
        <v>3</v>
      </c>
      <c r="Q590" s="357">
        <f t="shared" si="175"/>
        <v>47</v>
      </c>
      <c r="R590" s="356">
        <f t="shared" si="169"/>
        <v>62607897.2183897</v>
      </c>
      <c r="S590" s="356">
        <f>IF($G$4="mensual",S589,0)</f>
        <v>10000</v>
      </c>
      <c r="U590" s="356">
        <f t="shared" si="176"/>
        <v>499323.90578210185</v>
      </c>
      <c r="V590" s="356">
        <f t="shared" si="177"/>
        <v>-481.41755002063184</v>
      </c>
      <c r="X590" s="356">
        <f t="shared" si="161"/>
        <v>-63117.2211241718</v>
      </c>
      <c r="Y590" s="356">
        <f t="shared" si="162"/>
        <v>63053622.48549761</v>
      </c>
      <c r="AA590" s="357">
        <f>+Bono!J590</f>
        <v>707214.306113923</v>
      </c>
      <c r="AC590" s="378">
        <f t="shared" si="163"/>
        <v>47.25</v>
      </c>
      <c r="AD590" s="356">
        <f t="shared" si="164"/>
        <v>65366561.268126264</v>
      </c>
    </row>
    <row r="591" spans="2:30" x14ac:dyDescent="0.25">
      <c r="B591" s="356">
        <f t="shared" si="165"/>
        <v>568</v>
      </c>
      <c r="C591" s="357">
        <f t="shared" si="170"/>
        <v>47</v>
      </c>
      <c r="D591" s="357">
        <f t="shared" si="171"/>
        <v>4</v>
      </c>
      <c r="E591" s="357">
        <f t="shared" si="172"/>
        <v>76</v>
      </c>
      <c r="F591" s="356">
        <f t="shared" si="166"/>
        <v>1605724.4765147306</v>
      </c>
      <c r="H591" s="356">
        <f t="shared" si="159"/>
        <v>12804.272465856446</v>
      </c>
      <c r="I591" s="356">
        <v>0</v>
      </c>
      <c r="J591" s="356">
        <v>0</v>
      </c>
      <c r="K591" s="356">
        <f t="shared" si="167"/>
        <v>-1618.5287489805871</v>
      </c>
      <c r="L591" s="356">
        <f t="shared" si="160"/>
        <v>1616910.2202316066</v>
      </c>
      <c r="N591" s="356">
        <f t="shared" si="168"/>
        <v>568</v>
      </c>
      <c r="O591" s="357">
        <f t="shared" si="173"/>
        <v>47</v>
      </c>
      <c r="P591" s="357">
        <f t="shared" si="174"/>
        <v>4</v>
      </c>
      <c r="Q591" s="357">
        <f t="shared" si="175"/>
        <v>47</v>
      </c>
      <c r="R591" s="356">
        <f t="shared" si="169"/>
        <v>63053622.48549761</v>
      </c>
      <c r="S591" s="356">
        <f>IF($G$4="mensual",S588,IF($G$4="trimestral",S588,0))</f>
        <v>10000</v>
      </c>
      <c r="U591" s="356">
        <f t="shared" si="176"/>
        <v>502878.181654731</v>
      </c>
      <c r="V591" s="356">
        <f t="shared" si="177"/>
        <v>-481.41755002063184</v>
      </c>
      <c r="X591" s="356">
        <f t="shared" si="161"/>
        <v>-63566.50066715234</v>
      </c>
      <c r="Y591" s="356">
        <f t="shared" si="162"/>
        <v>63502452.74893516</v>
      </c>
      <c r="AA591" s="357">
        <f>+Bono!J591</f>
        <v>711599.1168436114</v>
      </c>
      <c r="AC591" s="378">
        <f t="shared" si="163"/>
        <v>47.333333333333336</v>
      </c>
      <c r="AD591" s="356">
        <f t="shared" si="164"/>
        <v>65830962.08601038</v>
      </c>
    </row>
    <row r="592" spans="2:30" x14ac:dyDescent="0.25">
      <c r="B592" s="356">
        <f t="shared" si="165"/>
        <v>569</v>
      </c>
      <c r="C592" s="357">
        <f t="shared" si="170"/>
        <v>47</v>
      </c>
      <c r="D592" s="357">
        <f t="shared" si="171"/>
        <v>5</v>
      </c>
      <c r="E592" s="357">
        <f t="shared" si="172"/>
        <v>76</v>
      </c>
      <c r="F592" s="356">
        <f t="shared" si="166"/>
        <v>1616910.2202316066</v>
      </c>
      <c r="H592" s="356">
        <f t="shared" si="159"/>
        <v>12893.469157056543</v>
      </c>
      <c r="I592" s="356">
        <v>0</v>
      </c>
      <c r="J592" s="356">
        <v>0</v>
      </c>
      <c r="K592" s="356">
        <f t="shared" si="167"/>
        <v>-1629.8036893886633</v>
      </c>
      <c r="L592" s="356">
        <f t="shared" si="160"/>
        <v>1628173.8856992747</v>
      </c>
      <c r="N592" s="356">
        <f t="shared" si="168"/>
        <v>569</v>
      </c>
      <c r="O592" s="357">
        <f t="shared" si="173"/>
        <v>47</v>
      </c>
      <c r="P592" s="357">
        <f t="shared" si="174"/>
        <v>5</v>
      </c>
      <c r="Q592" s="357">
        <f t="shared" si="175"/>
        <v>47</v>
      </c>
      <c r="R592" s="356">
        <f t="shared" si="169"/>
        <v>63502452.74893516</v>
      </c>
      <c r="S592" s="356">
        <f>IF($G$4="mensual",S591,0)</f>
        <v>10000</v>
      </c>
      <c r="U592" s="356">
        <f t="shared" si="176"/>
        <v>506457.2172041239</v>
      </c>
      <c r="V592" s="356">
        <f t="shared" si="177"/>
        <v>-481.41755002063184</v>
      </c>
      <c r="X592" s="356">
        <f t="shared" si="161"/>
        <v>-64018.90996613929</v>
      </c>
      <c r="Y592" s="356">
        <f t="shared" si="162"/>
        <v>63954409.638623126</v>
      </c>
      <c r="AA592" s="357">
        <f>+Bono!J592</f>
        <v>716011.1139084304</v>
      </c>
      <c r="AC592" s="378">
        <f t="shared" si="163"/>
        <v>47.416666666666664</v>
      </c>
      <c r="AD592" s="356">
        <f t="shared" si="164"/>
        <v>66298594.63823083</v>
      </c>
    </row>
    <row r="593" spans="2:30" x14ac:dyDescent="0.25">
      <c r="B593" s="356">
        <f t="shared" si="165"/>
        <v>570</v>
      </c>
      <c r="C593" s="357">
        <f t="shared" si="170"/>
        <v>47</v>
      </c>
      <c r="D593" s="357">
        <f t="shared" si="171"/>
        <v>6</v>
      </c>
      <c r="E593" s="357">
        <f t="shared" si="172"/>
        <v>76</v>
      </c>
      <c r="F593" s="356">
        <f t="shared" si="166"/>
        <v>1628173.8856992747</v>
      </c>
      <c r="H593" s="356">
        <f t="shared" si="159"/>
        <v>12983.287207239922</v>
      </c>
      <c r="I593" s="356">
        <v>0</v>
      </c>
      <c r="J593" s="360">
        <f>-SUM(F593:H593)*$J$21</f>
        <v>-14770.414556158634</v>
      </c>
      <c r="K593" s="356">
        <f t="shared" si="167"/>
        <v>-1626.386758350356</v>
      </c>
      <c r="L593" s="356">
        <f t="shared" si="160"/>
        <v>1624760.3715920057</v>
      </c>
      <c r="N593" s="356">
        <f t="shared" si="168"/>
        <v>570</v>
      </c>
      <c r="O593" s="357">
        <f t="shared" si="173"/>
        <v>47</v>
      </c>
      <c r="P593" s="357">
        <f t="shared" si="174"/>
        <v>6</v>
      </c>
      <c r="Q593" s="357">
        <f t="shared" si="175"/>
        <v>47</v>
      </c>
      <c r="R593" s="356">
        <f t="shared" si="169"/>
        <v>63954409.638623126</v>
      </c>
      <c r="S593" s="356">
        <f>IF($G$4="mensual",S592,0)</f>
        <v>10000</v>
      </c>
      <c r="U593" s="356">
        <f t="shared" si="176"/>
        <v>510061.1849103063</v>
      </c>
      <c r="V593" s="356">
        <f t="shared" si="177"/>
        <v>-481.41755002063184</v>
      </c>
      <c r="X593" s="356">
        <f t="shared" si="161"/>
        <v>-64474.47082353343</v>
      </c>
      <c r="Y593" s="356">
        <f t="shared" si="162"/>
        <v>64409514.93515988</v>
      </c>
      <c r="AA593" s="357">
        <f>+Bono!J593</f>
        <v>713959.9211292726</v>
      </c>
      <c r="AC593" s="378">
        <f t="shared" si="163"/>
        <v>47.5</v>
      </c>
      <c r="AD593" s="356">
        <f t="shared" si="164"/>
        <v>66748235.227881156</v>
      </c>
    </row>
    <row r="594" spans="2:30" x14ac:dyDescent="0.25">
      <c r="B594" s="356">
        <f t="shared" si="165"/>
        <v>571</v>
      </c>
      <c r="C594" s="357">
        <f t="shared" si="170"/>
        <v>47</v>
      </c>
      <c r="D594" s="357">
        <f t="shared" si="171"/>
        <v>7</v>
      </c>
      <c r="E594" s="357">
        <f t="shared" si="172"/>
        <v>76</v>
      </c>
      <c r="F594" s="356">
        <f t="shared" si="166"/>
        <v>1624760.3715920057</v>
      </c>
      <c r="H594" s="356">
        <f t="shared" si="159"/>
        <v>12956.067366392515</v>
      </c>
      <c r="I594" s="356">
        <v>0</v>
      </c>
      <c r="J594" s="356">
        <v>0</v>
      </c>
      <c r="K594" s="356">
        <f t="shared" si="167"/>
        <v>-1637.7164389583984</v>
      </c>
      <c r="L594" s="356">
        <f t="shared" si="160"/>
        <v>1636078.7225194399</v>
      </c>
      <c r="N594" s="356">
        <f t="shared" si="168"/>
        <v>571</v>
      </c>
      <c r="O594" s="357">
        <f t="shared" si="173"/>
        <v>47</v>
      </c>
      <c r="P594" s="357">
        <f t="shared" si="174"/>
        <v>7</v>
      </c>
      <c r="Q594" s="357">
        <f t="shared" si="175"/>
        <v>47</v>
      </c>
      <c r="R594" s="356">
        <f t="shared" si="169"/>
        <v>64409514.93515988</v>
      </c>
      <c r="S594" s="356">
        <f>+IF($G$4="mensual",S588,IF($G$4="trimestral",S588,IF($G$4="semestral",S588,0)))</f>
        <v>10000</v>
      </c>
      <c r="U594" s="356">
        <f t="shared" si="176"/>
        <v>513690.25845482823</v>
      </c>
      <c r="V594" s="356">
        <f t="shared" si="177"/>
        <v>-481.41755002063184</v>
      </c>
      <c r="X594" s="356">
        <f t="shared" si="161"/>
        <v>-64933.20519361471</v>
      </c>
      <c r="Y594" s="356">
        <f t="shared" si="162"/>
        <v>64867790.57087107</v>
      </c>
      <c r="AA594" s="357">
        <f>+Bono!J594</f>
        <v>718386.5554544991</v>
      </c>
      <c r="AC594" s="378">
        <f t="shared" si="163"/>
        <v>47.583333333333336</v>
      </c>
      <c r="AD594" s="356">
        <f t="shared" si="164"/>
        <v>67222255.848845</v>
      </c>
    </row>
    <row r="595" spans="2:30" x14ac:dyDescent="0.25">
      <c r="B595" s="356">
        <f t="shared" si="165"/>
        <v>572</v>
      </c>
      <c r="C595" s="357">
        <f t="shared" si="170"/>
        <v>47</v>
      </c>
      <c r="D595" s="357">
        <f t="shared" si="171"/>
        <v>8</v>
      </c>
      <c r="E595" s="357">
        <f t="shared" si="172"/>
        <v>76</v>
      </c>
      <c r="F595" s="356">
        <f t="shared" si="166"/>
        <v>1636078.7225194399</v>
      </c>
      <c r="H595" s="356">
        <f t="shared" si="159"/>
        <v>13046.321486111488</v>
      </c>
      <c r="I595" s="356">
        <v>0</v>
      </c>
      <c r="J595" s="356">
        <v>0</v>
      </c>
      <c r="K595" s="356">
        <f t="shared" si="167"/>
        <v>-1649.1250440055514</v>
      </c>
      <c r="L595" s="356">
        <f t="shared" si="160"/>
        <v>1647475.918961546</v>
      </c>
      <c r="N595" s="356">
        <f t="shared" si="168"/>
        <v>572</v>
      </c>
      <c r="O595" s="357">
        <f t="shared" si="173"/>
        <v>47</v>
      </c>
      <c r="P595" s="357">
        <f t="shared" si="174"/>
        <v>8</v>
      </c>
      <c r="Q595" s="357">
        <f t="shared" si="175"/>
        <v>47</v>
      </c>
      <c r="R595" s="356">
        <f t="shared" si="169"/>
        <v>64867790.57087107</v>
      </c>
      <c r="S595" s="356">
        <f>IF($G$4="mensual",S594,0)</f>
        <v>10000</v>
      </c>
      <c r="U595" s="356">
        <f t="shared" si="176"/>
        <v>517344.61272913445</v>
      </c>
      <c r="V595" s="356">
        <f t="shared" si="177"/>
        <v>-481.41755002063184</v>
      </c>
      <c r="X595" s="356">
        <f t="shared" si="161"/>
        <v>-65395.13518360021</v>
      </c>
      <c r="Y595" s="356">
        <f t="shared" si="162"/>
        <v>65329258.63086658</v>
      </c>
      <c r="AA595" s="357">
        <f>+Bono!J595</f>
        <v>722840.6354259998</v>
      </c>
      <c r="AC595" s="378">
        <f t="shared" si="163"/>
        <v>47.666666666666664</v>
      </c>
      <c r="AD595" s="356">
        <f t="shared" si="164"/>
        <v>67699575.18525413</v>
      </c>
    </row>
    <row r="596" spans="2:30" x14ac:dyDescent="0.25">
      <c r="B596" s="356">
        <f t="shared" si="165"/>
        <v>573</v>
      </c>
      <c r="C596" s="357">
        <f t="shared" si="170"/>
        <v>47</v>
      </c>
      <c r="D596" s="357">
        <f t="shared" si="171"/>
        <v>9</v>
      </c>
      <c r="E596" s="357">
        <f t="shared" si="172"/>
        <v>76</v>
      </c>
      <c r="F596" s="356">
        <f t="shared" si="166"/>
        <v>1647475.918961546</v>
      </c>
      <c r="H596" s="356">
        <f t="shared" si="159"/>
        <v>13137.204331036644</v>
      </c>
      <c r="I596" s="356">
        <v>0</v>
      </c>
      <c r="J596" s="360">
        <f>-SUM(F596:H596)*$J$21</f>
        <v>-14945.518109633245</v>
      </c>
      <c r="K596" s="356">
        <f t="shared" si="167"/>
        <v>-1645.6676051829493</v>
      </c>
      <c r="L596" s="356">
        <f t="shared" si="160"/>
        <v>1644021.9375777664</v>
      </c>
      <c r="N596" s="356">
        <f t="shared" si="168"/>
        <v>573</v>
      </c>
      <c r="O596" s="357">
        <f t="shared" si="173"/>
        <v>47</v>
      </c>
      <c r="P596" s="357">
        <f t="shared" si="174"/>
        <v>9</v>
      </c>
      <c r="Q596" s="357">
        <f t="shared" si="175"/>
        <v>47</v>
      </c>
      <c r="R596" s="356">
        <f t="shared" si="169"/>
        <v>65329258.63086658</v>
      </c>
      <c r="S596" s="356">
        <f>IF($G$4="mensual",S595,0)</f>
        <v>10000</v>
      </c>
      <c r="U596" s="356">
        <f t="shared" si="176"/>
        <v>521024.4238429924</v>
      </c>
      <c r="V596" s="356">
        <f t="shared" si="177"/>
        <v>-481.41755002063184</v>
      </c>
      <c r="X596" s="356">
        <f t="shared" si="161"/>
        <v>-65860.28305470957</v>
      </c>
      <c r="Y596" s="356">
        <f t="shared" si="162"/>
        <v>65793941.35410484</v>
      </c>
      <c r="AA596" s="357">
        <f>+Bono!J596</f>
        <v>720769.877775641</v>
      </c>
      <c r="AC596" s="378">
        <f t="shared" si="163"/>
        <v>47.75</v>
      </c>
      <c r="AD596" s="356">
        <f t="shared" si="164"/>
        <v>68158733.16945824</v>
      </c>
    </row>
    <row r="597" spans="2:30" x14ac:dyDescent="0.25">
      <c r="B597" s="356">
        <f t="shared" si="165"/>
        <v>574</v>
      </c>
      <c r="C597" s="357">
        <f t="shared" si="170"/>
        <v>47</v>
      </c>
      <c r="D597" s="357">
        <f t="shared" si="171"/>
        <v>10</v>
      </c>
      <c r="E597" s="357">
        <f t="shared" si="172"/>
        <v>76</v>
      </c>
      <c r="F597" s="356">
        <f t="shared" si="166"/>
        <v>1644021.9375777664</v>
      </c>
      <c r="H597" s="356">
        <f t="shared" si="159"/>
        <v>13109.661798443567</v>
      </c>
      <c r="I597" s="356">
        <v>0</v>
      </c>
      <c r="J597" s="356">
        <v>0</v>
      </c>
      <c r="K597" s="356">
        <f t="shared" si="167"/>
        <v>-1657.13159937621</v>
      </c>
      <c r="L597" s="356">
        <f t="shared" si="160"/>
        <v>1655474.4677768338</v>
      </c>
      <c r="N597" s="356">
        <f t="shared" si="168"/>
        <v>574</v>
      </c>
      <c r="O597" s="357">
        <f t="shared" si="173"/>
        <v>47</v>
      </c>
      <c r="P597" s="357">
        <f t="shared" si="174"/>
        <v>10</v>
      </c>
      <c r="Q597" s="357">
        <f t="shared" si="175"/>
        <v>47</v>
      </c>
      <c r="R597" s="356">
        <f t="shared" si="169"/>
        <v>65793941.35410484</v>
      </c>
      <c r="S597" s="356">
        <f>IF($G$4="mensual",S588,IF($G$4="trimestral",S588,0))</f>
        <v>10000</v>
      </c>
      <c r="U597" s="356">
        <f t="shared" si="176"/>
        <v>524729.8691329798</v>
      </c>
      <c r="V597" s="356">
        <f t="shared" si="177"/>
        <v>-481.41755002063184</v>
      </c>
      <c r="X597" s="356">
        <f t="shared" si="161"/>
        <v>-66328.67122323782</v>
      </c>
      <c r="Y597" s="356">
        <f t="shared" si="162"/>
        <v>66261861.13446456</v>
      </c>
      <c r="AA597" s="357">
        <f>+Bono!J597</f>
        <v>725238.7346219812</v>
      </c>
      <c r="AC597" s="378">
        <f t="shared" si="163"/>
        <v>47.833333333333336</v>
      </c>
      <c r="AD597" s="356">
        <f t="shared" si="164"/>
        <v>68642574.33686337</v>
      </c>
    </row>
    <row r="598" spans="2:30" x14ac:dyDescent="0.25">
      <c r="B598" s="356">
        <f t="shared" si="165"/>
        <v>575</v>
      </c>
      <c r="C598" s="357">
        <f t="shared" si="170"/>
        <v>47</v>
      </c>
      <c r="D598" s="357">
        <f t="shared" si="171"/>
        <v>11</v>
      </c>
      <c r="E598" s="357">
        <f t="shared" si="172"/>
        <v>76</v>
      </c>
      <c r="F598" s="356">
        <f t="shared" si="166"/>
        <v>1655474.4677768338</v>
      </c>
      <c r="H598" s="356">
        <f t="shared" si="159"/>
        <v>13200.985882517192</v>
      </c>
      <c r="I598" s="356">
        <v>0</v>
      </c>
      <c r="J598" s="356">
        <v>0</v>
      </c>
      <c r="K598" s="356">
        <f t="shared" si="167"/>
        <v>-1668.675453659351</v>
      </c>
      <c r="L598" s="356">
        <f t="shared" si="160"/>
        <v>1667006.7782056916</v>
      </c>
      <c r="N598" s="356">
        <f t="shared" si="168"/>
        <v>575</v>
      </c>
      <c r="O598" s="357">
        <f t="shared" si="173"/>
        <v>47</v>
      </c>
      <c r="P598" s="357">
        <f t="shared" si="174"/>
        <v>11</v>
      </c>
      <c r="Q598" s="357">
        <f t="shared" si="175"/>
        <v>47</v>
      </c>
      <c r="R598" s="356">
        <f t="shared" si="169"/>
        <v>66261861.13446456</v>
      </c>
      <c r="S598" s="356">
        <f>IF($G$17="si",S586*(1+$G$20),S586)</f>
        <v>10000</v>
      </c>
      <c r="U598" s="356">
        <f t="shared" si="176"/>
        <v>528461.1271710299</v>
      </c>
      <c r="V598" s="356">
        <f t="shared" si="177"/>
        <v>-481.41755002063184</v>
      </c>
      <c r="X598" s="356">
        <f t="shared" si="161"/>
        <v>-66800.32226163559</v>
      </c>
      <c r="Y598" s="356">
        <f t="shared" si="162"/>
        <v>66733040.521823935</v>
      </c>
      <c r="AA598" s="357">
        <f>+Bono!J598</f>
        <v>729735.2988991239</v>
      </c>
      <c r="AC598" s="378">
        <f t="shared" si="163"/>
        <v>47.916666666666664</v>
      </c>
      <c r="AD598" s="356">
        <f t="shared" si="164"/>
        <v>69129782.59892875</v>
      </c>
    </row>
    <row r="599" spans="2:30" x14ac:dyDescent="0.25">
      <c r="B599" s="356">
        <f t="shared" si="165"/>
        <v>576</v>
      </c>
      <c r="C599" s="357">
        <f t="shared" si="170"/>
        <v>47</v>
      </c>
      <c r="D599" s="357">
        <f t="shared" si="171"/>
        <v>12</v>
      </c>
      <c r="E599" s="357">
        <f t="shared" si="172"/>
        <v>76</v>
      </c>
      <c r="F599" s="356">
        <f t="shared" si="166"/>
        <v>1667006.7782056916</v>
      </c>
      <c r="H599" s="356">
        <f t="shared" si="159"/>
        <v>13292.946145346616</v>
      </c>
      <c r="I599" s="356">
        <v>0</v>
      </c>
      <c r="J599" s="360">
        <f>-SUM(F599:H599)*$J$21</f>
        <v>-15122.697519159346</v>
      </c>
      <c r="K599" s="356">
        <f t="shared" si="167"/>
        <v>-1665.177026831879</v>
      </c>
      <c r="L599" s="356">
        <f t="shared" si="160"/>
        <v>1663511.849805047</v>
      </c>
      <c r="N599" s="356">
        <f t="shared" si="168"/>
        <v>576</v>
      </c>
      <c r="O599" s="357">
        <f t="shared" si="173"/>
        <v>47</v>
      </c>
      <c r="P599" s="357">
        <f t="shared" si="174"/>
        <v>12</v>
      </c>
      <c r="Q599" s="357">
        <f t="shared" si="175"/>
        <v>47</v>
      </c>
      <c r="R599" s="356">
        <f t="shared" si="169"/>
        <v>66733040.521823935</v>
      </c>
      <c r="S599" s="356">
        <f>IF($G$4="mensual",S598,0)</f>
        <v>10000</v>
      </c>
      <c r="U599" s="356">
        <f t="shared" si="176"/>
        <v>532218.3777730385</v>
      </c>
      <c r="V599" s="356">
        <f t="shared" si="177"/>
        <v>-481.41755002063184</v>
      </c>
      <c r="X599" s="356">
        <f t="shared" si="161"/>
        <v>-67275.25889959697</v>
      </c>
      <c r="Y599" s="356">
        <f t="shared" si="162"/>
        <v>67207502.22314735</v>
      </c>
      <c r="AA599" s="357">
        <f>+Bono!J599</f>
        <v>727644.7897621527</v>
      </c>
      <c r="AC599" s="378">
        <f t="shared" si="163"/>
        <v>48</v>
      </c>
      <c r="AD599" s="356">
        <f t="shared" si="164"/>
        <v>69598658.86271454</v>
      </c>
    </row>
    <row r="600" spans="2:30" x14ac:dyDescent="0.25">
      <c r="B600" s="356">
        <f t="shared" si="165"/>
        <v>577</v>
      </c>
      <c r="C600" s="357">
        <f t="shared" si="170"/>
        <v>48</v>
      </c>
      <c r="D600" s="357">
        <f t="shared" si="171"/>
        <v>1</v>
      </c>
      <c r="E600" s="357">
        <f t="shared" si="172"/>
        <v>77</v>
      </c>
      <c r="F600" s="356">
        <f t="shared" si="166"/>
        <v>1663511.849805047</v>
      </c>
      <c r="H600" s="356">
        <f t="shared" ref="H600:H663" si="178">SUM(F600:G600)*$G$8</f>
        <v>13265.077095490911</v>
      </c>
      <c r="I600" s="356">
        <v>0</v>
      </c>
      <c r="J600" s="356">
        <v>0</v>
      </c>
      <c r="K600" s="356">
        <f t="shared" si="167"/>
        <v>-1676.776926900538</v>
      </c>
      <c r="L600" s="356">
        <f t="shared" ref="L600:L663" si="179">SUM(F600:K600)</f>
        <v>1675100.1499736374</v>
      </c>
      <c r="N600" s="356">
        <f t="shared" si="168"/>
        <v>577</v>
      </c>
      <c r="O600" s="357">
        <f t="shared" si="173"/>
        <v>48</v>
      </c>
      <c r="P600" s="357">
        <f t="shared" si="174"/>
        <v>1</v>
      </c>
      <c r="Q600" s="357">
        <f t="shared" si="175"/>
        <v>48</v>
      </c>
      <c r="R600" s="356">
        <f t="shared" si="169"/>
        <v>67207502.22314735</v>
      </c>
      <c r="S600" s="356">
        <f>IF($G$17="si",S588*(1+$G$20),S588)</f>
        <v>10000</v>
      </c>
      <c r="U600" s="356">
        <f t="shared" si="176"/>
        <v>536001.8020075279</v>
      </c>
      <c r="V600" s="356">
        <f>V599*(1+$G$18)</f>
        <v>-500.6742520214571</v>
      </c>
      <c r="X600" s="356">
        <f t="shared" ref="X600:X663" si="180">-SUM(R600:U600)*0.1%</f>
        <v>-67753.50402515488</v>
      </c>
      <c r="Y600" s="356">
        <f t="shared" ref="Y600:Y663" si="181">SUM(R600:X600)</f>
        <v>67685249.8468777</v>
      </c>
      <c r="AA600" s="357">
        <f>+Bono!J600</f>
        <v>732156.2718602497</v>
      </c>
      <c r="AC600" s="378">
        <f t="shared" ref="AC600:AC663" si="182">+B600/12</f>
        <v>48.083333333333336</v>
      </c>
      <c r="AD600" s="356">
        <f t="shared" ref="AD600:AD663" si="183">+AA600+Y600+L600</f>
        <v>70092506.26871158</v>
      </c>
    </row>
    <row r="601" spans="2:30" x14ac:dyDescent="0.25">
      <c r="B601" s="356">
        <f t="shared" ref="B601:B664" si="184">+B600+1</f>
        <v>578</v>
      </c>
      <c r="C601" s="357">
        <f t="shared" si="170"/>
        <v>48</v>
      </c>
      <c r="D601" s="357">
        <f t="shared" si="171"/>
        <v>2</v>
      </c>
      <c r="E601" s="357">
        <f t="shared" si="172"/>
        <v>77</v>
      </c>
      <c r="F601" s="356">
        <f t="shared" ref="F601:F664" si="185">L600</f>
        <v>1675100.1499736374</v>
      </c>
      <c r="H601" s="356">
        <f t="shared" si="178"/>
        <v>13357.483828367542</v>
      </c>
      <c r="I601" s="356">
        <v>0</v>
      </c>
      <c r="J601" s="356">
        <v>0</v>
      </c>
      <c r="K601" s="356">
        <f t="shared" ref="K601:K664" si="186">-SUM(F601:J601)*0.1%</f>
        <v>-1688.457633802005</v>
      </c>
      <c r="L601" s="356">
        <f t="shared" si="179"/>
        <v>1686769.176168203</v>
      </c>
      <c r="N601" s="356">
        <f t="shared" ref="N601:N664" si="187">+N600+1</f>
        <v>578</v>
      </c>
      <c r="O601" s="357">
        <f t="shared" si="173"/>
        <v>48</v>
      </c>
      <c r="P601" s="357">
        <f t="shared" si="174"/>
        <v>2</v>
      </c>
      <c r="Q601" s="357">
        <f t="shared" si="175"/>
        <v>48</v>
      </c>
      <c r="R601" s="356">
        <f t="shared" ref="R601:R664" si="188">Y600</f>
        <v>67685249.8468777</v>
      </c>
      <c r="S601" s="356">
        <f>IF($G$4="mensual",S600,0)</f>
        <v>10000</v>
      </c>
      <c r="U601" s="356">
        <f t="shared" si="176"/>
        <v>539811.4286487288</v>
      </c>
      <c r="V601" s="356">
        <f>V600</f>
        <v>-500.6742520214571</v>
      </c>
      <c r="X601" s="356">
        <f t="shared" si="180"/>
        <v>-68235.06127552642</v>
      </c>
      <c r="Y601" s="356">
        <f t="shared" si="181"/>
        <v>68166325.53999887</v>
      </c>
      <c r="AA601" s="357">
        <f>+Bono!J601</f>
        <v>736695.7256706543</v>
      </c>
      <c r="AC601" s="378">
        <f t="shared" si="182"/>
        <v>48.166666666666664</v>
      </c>
      <c r="AD601" s="356">
        <f t="shared" si="183"/>
        <v>70589790.44183773</v>
      </c>
    </row>
    <row r="602" spans="2:30" x14ac:dyDescent="0.25">
      <c r="B602" s="356">
        <f t="shared" si="184"/>
        <v>579</v>
      </c>
      <c r="C602" s="357">
        <f t="shared" si="170"/>
        <v>48</v>
      </c>
      <c r="D602" s="357">
        <f t="shared" si="171"/>
        <v>3</v>
      </c>
      <c r="E602" s="357">
        <f t="shared" si="172"/>
        <v>77</v>
      </c>
      <c r="F602" s="356">
        <f t="shared" si="185"/>
        <v>1686769.176168203</v>
      </c>
      <c r="H602" s="356">
        <f t="shared" si="178"/>
        <v>13450.534281911563</v>
      </c>
      <c r="I602" s="356">
        <v>0</v>
      </c>
      <c r="J602" s="360">
        <f>-SUM(F602:H602)*$J$21</f>
        <v>-15301.977394051031</v>
      </c>
      <c r="K602" s="356">
        <f t="shared" si="186"/>
        <v>-1684.9177330560635</v>
      </c>
      <c r="L602" s="356">
        <f t="shared" si="179"/>
        <v>1683232.8153230075</v>
      </c>
      <c r="N602" s="356">
        <f t="shared" si="187"/>
        <v>579</v>
      </c>
      <c r="O602" s="357">
        <f t="shared" si="173"/>
        <v>48</v>
      </c>
      <c r="P602" s="357">
        <f t="shared" si="174"/>
        <v>3</v>
      </c>
      <c r="Q602" s="357">
        <f t="shared" si="175"/>
        <v>48</v>
      </c>
      <c r="R602" s="356">
        <f t="shared" si="188"/>
        <v>68166325.53999887</v>
      </c>
      <c r="S602" s="356">
        <f>IF($G$4="mensual",S601,0)</f>
        <v>10000</v>
      </c>
      <c r="U602" s="356">
        <f t="shared" si="176"/>
        <v>543647.5937826093</v>
      </c>
      <c r="V602" s="356">
        <f t="shared" si="177"/>
        <v>-500.6742520214571</v>
      </c>
      <c r="X602" s="356">
        <f t="shared" si="180"/>
        <v>-68719.97313378147</v>
      </c>
      <c r="Y602" s="356">
        <f t="shared" si="181"/>
        <v>68650752.48639567</v>
      </c>
      <c r="AA602" s="357">
        <f>+Bono!J602</f>
        <v>734585.276651667</v>
      </c>
      <c r="AC602" s="378">
        <f t="shared" si="182"/>
        <v>48.25</v>
      </c>
      <c r="AD602" s="356">
        <f t="shared" si="183"/>
        <v>71068570.57837035</v>
      </c>
    </row>
    <row r="603" spans="2:30" x14ac:dyDescent="0.25">
      <c r="B603" s="356">
        <f t="shared" si="184"/>
        <v>580</v>
      </c>
      <c r="C603" s="357">
        <f t="shared" si="170"/>
        <v>48</v>
      </c>
      <c r="D603" s="357">
        <f t="shared" si="171"/>
        <v>4</v>
      </c>
      <c r="E603" s="357">
        <f t="shared" si="172"/>
        <v>77</v>
      </c>
      <c r="F603" s="356">
        <f t="shared" si="185"/>
        <v>1683232.8153230075</v>
      </c>
      <c r="H603" s="356">
        <f t="shared" si="178"/>
        <v>13422.334843924698</v>
      </c>
      <c r="I603" s="356">
        <v>0</v>
      </c>
      <c r="J603" s="356">
        <v>0</v>
      </c>
      <c r="K603" s="356">
        <f t="shared" si="186"/>
        <v>-1696.6551501669323</v>
      </c>
      <c r="L603" s="356">
        <f t="shared" si="179"/>
        <v>1694958.4950167653</v>
      </c>
      <c r="N603" s="356">
        <f t="shared" si="187"/>
        <v>580</v>
      </c>
      <c r="O603" s="357">
        <f t="shared" si="173"/>
        <v>48</v>
      </c>
      <c r="P603" s="357">
        <f t="shared" si="174"/>
        <v>4</v>
      </c>
      <c r="Q603" s="357">
        <f t="shared" si="175"/>
        <v>48</v>
      </c>
      <c r="R603" s="356">
        <f t="shared" si="188"/>
        <v>68650752.48639567</v>
      </c>
      <c r="S603" s="356">
        <f>IF($G$4="mensual",S600,IF($G$4="trimestral",S600,0))</f>
        <v>10000</v>
      </c>
      <c r="U603" s="356">
        <f t="shared" si="176"/>
        <v>547510.4822807224</v>
      </c>
      <c r="V603" s="356">
        <f t="shared" si="177"/>
        <v>-500.6742520214571</v>
      </c>
      <c r="X603" s="356">
        <f t="shared" si="180"/>
        <v>-69208.26296867638</v>
      </c>
      <c r="Y603" s="356">
        <f t="shared" si="181"/>
        <v>69138554.0314557</v>
      </c>
      <c r="AA603" s="357">
        <f>+Bono!J603</f>
        <v>739139.7905735255</v>
      </c>
      <c r="AC603" s="378">
        <f t="shared" si="182"/>
        <v>48.333333333333336</v>
      </c>
      <c r="AD603" s="356">
        <f t="shared" si="183"/>
        <v>71572652.31704599</v>
      </c>
    </row>
    <row r="604" spans="2:30" x14ac:dyDescent="0.25">
      <c r="B604" s="356">
        <f t="shared" si="184"/>
        <v>581</v>
      </c>
      <c r="C604" s="357">
        <f t="shared" si="170"/>
        <v>48</v>
      </c>
      <c r="D604" s="357">
        <f t="shared" si="171"/>
        <v>5</v>
      </c>
      <c r="E604" s="357">
        <f t="shared" si="172"/>
        <v>77</v>
      </c>
      <c r="F604" s="356">
        <f t="shared" si="185"/>
        <v>1694958.4950167653</v>
      </c>
      <c r="H604" s="356">
        <f t="shared" si="178"/>
        <v>13515.837060427068</v>
      </c>
      <c r="I604" s="356">
        <v>0</v>
      </c>
      <c r="J604" s="356">
        <v>0</v>
      </c>
      <c r="K604" s="356">
        <f t="shared" si="186"/>
        <v>-1708.4743320771925</v>
      </c>
      <c r="L604" s="356">
        <f t="shared" si="179"/>
        <v>1706765.8577451152</v>
      </c>
      <c r="N604" s="356">
        <f t="shared" si="187"/>
        <v>581</v>
      </c>
      <c r="O604" s="357">
        <f t="shared" si="173"/>
        <v>48</v>
      </c>
      <c r="P604" s="357">
        <f t="shared" si="174"/>
        <v>5</v>
      </c>
      <c r="Q604" s="357">
        <f t="shared" si="175"/>
        <v>48</v>
      </c>
      <c r="R604" s="356">
        <f t="shared" si="188"/>
        <v>69138554.0314557</v>
      </c>
      <c r="S604" s="356">
        <f>IF($G$4="mensual",S603,0)</f>
        <v>10000</v>
      </c>
      <c r="U604" s="356">
        <f t="shared" si="176"/>
        <v>551400.2803024673</v>
      </c>
      <c r="V604" s="356">
        <f t="shared" si="177"/>
        <v>-500.6742520214571</v>
      </c>
      <c r="X604" s="356">
        <f t="shared" si="180"/>
        <v>-69699.95431175816</v>
      </c>
      <c r="Y604" s="356">
        <f t="shared" si="181"/>
        <v>69629753.68319438</v>
      </c>
      <c r="AA604" s="357">
        <f>+Bono!J604</f>
        <v>743722.5430099904</v>
      </c>
      <c r="AC604" s="378">
        <f t="shared" si="182"/>
        <v>48.416666666666664</v>
      </c>
      <c r="AD604" s="356">
        <f t="shared" si="183"/>
        <v>72080242.08394949</v>
      </c>
    </row>
    <row r="605" spans="2:30" x14ac:dyDescent="0.25">
      <c r="B605" s="356">
        <f t="shared" si="184"/>
        <v>582</v>
      </c>
      <c r="C605" s="357">
        <f t="shared" si="170"/>
        <v>48</v>
      </c>
      <c r="D605" s="357">
        <f t="shared" si="171"/>
        <v>6</v>
      </c>
      <c r="E605" s="357">
        <f t="shared" si="172"/>
        <v>77</v>
      </c>
      <c r="F605" s="356">
        <f t="shared" si="185"/>
        <v>1706765.8577451152</v>
      </c>
      <c r="H605" s="356">
        <f t="shared" si="178"/>
        <v>13609.990628917934</v>
      </c>
      <c r="I605" s="356">
        <v>0</v>
      </c>
      <c r="J605" s="360">
        <f>-SUM(F605:H605)*$J$21</f>
        <v>-15483.3826353663</v>
      </c>
      <c r="K605" s="356">
        <f t="shared" si="186"/>
        <v>-1704.8924657386667</v>
      </c>
      <c r="L605" s="356">
        <f t="shared" si="179"/>
        <v>1703187.5732729281</v>
      </c>
      <c r="N605" s="356">
        <f t="shared" si="187"/>
        <v>582</v>
      </c>
      <c r="O605" s="357">
        <f t="shared" si="173"/>
        <v>48</v>
      </c>
      <c r="P605" s="357">
        <f t="shared" si="174"/>
        <v>6</v>
      </c>
      <c r="Q605" s="357">
        <f t="shared" si="175"/>
        <v>48</v>
      </c>
      <c r="R605" s="356">
        <f t="shared" si="188"/>
        <v>69629753.68319438</v>
      </c>
      <c r="S605" s="356">
        <f>IF($G$4="mensual",S604,0)</f>
        <v>10000</v>
      </c>
      <c r="U605" s="356">
        <f t="shared" si="176"/>
        <v>555317.1753040602</v>
      </c>
      <c r="V605" s="356">
        <f t="shared" si="177"/>
        <v>-500.6742520214571</v>
      </c>
      <c r="X605" s="356">
        <f t="shared" si="180"/>
        <v>-70195.07085849844</v>
      </c>
      <c r="Y605" s="356">
        <f t="shared" si="181"/>
        <v>70124375.11338793</v>
      </c>
      <c r="AA605" s="357">
        <f>+Bono!J605</f>
        <v>741591.9639166131</v>
      </c>
      <c r="AC605" s="378">
        <f t="shared" si="182"/>
        <v>48.5</v>
      </c>
      <c r="AD605" s="356">
        <f t="shared" si="183"/>
        <v>72569154.65057747</v>
      </c>
    </row>
    <row r="606" spans="2:30" x14ac:dyDescent="0.25">
      <c r="B606" s="356">
        <f t="shared" si="184"/>
        <v>583</v>
      </c>
      <c r="C606" s="357">
        <f t="shared" si="170"/>
        <v>48</v>
      </c>
      <c r="D606" s="357">
        <f t="shared" si="171"/>
        <v>7</v>
      </c>
      <c r="E606" s="357">
        <f t="shared" si="172"/>
        <v>77</v>
      </c>
      <c r="F606" s="356">
        <f t="shared" si="185"/>
        <v>1703187.5732729281</v>
      </c>
      <c r="H606" s="356">
        <f t="shared" si="178"/>
        <v>13581.456886042148</v>
      </c>
      <c r="I606" s="356">
        <v>0</v>
      </c>
      <c r="J606" s="356">
        <v>0</v>
      </c>
      <c r="K606" s="356">
        <f t="shared" si="186"/>
        <v>-1716.7690301589703</v>
      </c>
      <c r="L606" s="356">
        <f t="shared" si="179"/>
        <v>1715052.2611288114</v>
      </c>
      <c r="N606" s="356">
        <f t="shared" si="187"/>
        <v>583</v>
      </c>
      <c r="O606" s="357">
        <f t="shared" si="173"/>
        <v>48</v>
      </c>
      <c r="P606" s="357">
        <f t="shared" si="174"/>
        <v>7</v>
      </c>
      <c r="Q606" s="357">
        <f t="shared" si="175"/>
        <v>48</v>
      </c>
      <c r="R606" s="356">
        <f t="shared" si="188"/>
        <v>70124375.11338793</v>
      </c>
      <c r="S606" s="356">
        <f>+IF($G$4="mensual",S600,IF($G$4="trimestral",S600,IF($G$4="semestral",S600,0)))</f>
        <v>10000</v>
      </c>
      <c r="U606" s="356">
        <f t="shared" si="176"/>
        <v>559261.3560475687</v>
      </c>
      <c r="V606" s="356">
        <f t="shared" si="177"/>
        <v>-500.6742520214571</v>
      </c>
      <c r="X606" s="356">
        <f t="shared" si="180"/>
        <v>-70693.6364694355</v>
      </c>
      <c r="Y606" s="356">
        <f t="shared" si="181"/>
        <v>70622442.15871404</v>
      </c>
      <c r="AA606" s="357">
        <f>+Bono!J606</f>
        <v>746189.9201122397</v>
      </c>
      <c r="AC606" s="378">
        <f t="shared" si="182"/>
        <v>48.583333333333336</v>
      </c>
      <c r="AD606" s="356">
        <f t="shared" si="183"/>
        <v>73083684.33995509</v>
      </c>
    </row>
    <row r="607" spans="2:30" x14ac:dyDescent="0.25">
      <c r="B607" s="356">
        <f t="shared" si="184"/>
        <v>584</v>
      </c>
      <c r="C607" s="357">
        <f t="shared" si="170"/>
        <v>48</v>
      </c>
      <c r="D607" s="357">
        <f t="shared" si="171"/>
        <v>8</v>
      </c>
      <c r="E607" s="357">
        <f t="shared" si="172"/>
        <v>77</v>
      </c>
      <c r="F607" s="356">
        <f t="shared" si="185"/>
        <v>1715052.2611288114</v>
      </c>
      <c r="H607" s="356">
        <f t="shared" si="178"/>
        <v>13676.06757315007</v>
      </c>
      <c r="I607" s="356">
        <v>0</v>
      </c>
      <c r="J607" s="356">
        <v>0</v>
      </c>
      <c r="K607" s="356">
        <f t="shared" si="186"/>
        <v>-1728.7283287019616</v>
      </c>
      <c r="L607" s="356">
        <f t="shared" si="179"/>
        <v>1726999.6003732595</v>
      </c>
      <c r="N607" s="356">
        <f t="shared" si="187"/>
        <v>584</v>
      </c>
      <c r="O607" s="357">
        <f t="shared" si="173"/>
        <v>48</v>
      </c>
      <c r="P607" s="357">
        <f t="shared" si="174"/>
        <v>8</v>
      </c>
      <c r="Q607" s="357">
        <f t="shared" si="175"/>
        <v>48</v>
      </c>
      <c r="R607" s="356">
        <f t="shared" si="188"/>
        <v>70622442.15871404</v>
      </c>
      <c r="S607" s="356">
        <f>IF($G$4="mensual",S606,0)</f>
        <v>10000</v>
      </c>
      <c r="U607" s="356">
        <f t="shared" si="176"/>
        <v>563233.0126100084</v>
      </c>
      <c r="V607" s="356">
        <f t="shared" si="177"/>
        <v>-500.6742520214571</v>
      </c>
      <c r="X607" s="356">
        <f t="shared" si="180"/>
        <v>-71195.67517132405</v>
      </c>
      <c r="Y607" s="356">
        <f t="shared" si="181"/>
        <v>71123978.8219007</v>
      </c>
      <c r="AA607" s="357">
        <f>+Bono!J607</f>
        <v>750816.384169609</v>
      </c>
      <c r="AC607" s="378">
        <f t="shared" si="182"/>
        <v>48.666666666666664</v>
      </c>
      <c r="AD607" s="356">
        <f t="shared" si="183"/>
        <v>73601794.80644356</v>
      </c>
    </row>
    <row r="608" spans="2:30" x14ac:dyDescent="0.25">
      <c r="B608" s="356">
        <f t="shared" si="184"/>
        <v>585</v>
      </c>
      <c r="C608" s="357">
        <f t="shared" si="170"/>
        <v>48</v>
      </c>
      <c r="D608" s="357">
        <f t="shared" si="171"/>
        <v>9</v>
      </c>
      <c r="E608" s="357">
        <f t="shared" si="172"/>
        <v>77</v>
      </c>
      <c r="F608" s="356">
        <f t="shared" si="185"/>
        <v>1726999.6003732595</v>
      </c>
      <c r="H608" s="356">
        <f t="shared" si="178"/>
        <v>13771.337334037053</v>
      </c>
      <c r="I608" s="356">
        <v>0</v>
      </c>
      <c r="J608" s="360">
        <f>-SUM(F608:H608)*$J$21</f>
        <v>-15666.938439365671</v>
      </c>
      <c r="K608" s="356">
        <f t="shared" si="186"/>
        <v>-1725.103999267931</v>
      </c>
      <c r="L608" s="356">
        <f t="shared" si="179"/>
        <v>1723378.8952686628</v>
      </c>
      <c r="N608" s="356">
        <f t="shared" si="187"/>
        <v>585</v>
      </c>
      <c r="O608" s="357">
        <f t="shared" si="173"/>
        <v>48</v>
      </c>
      <c r="P608" s="357">
        <f t="shared" si="174"/>
        <v>9</v>
      </c>
      <c r="Q608" s="357">
        <f t="shared" si="175"/>
        <v>48</v>
      </c>
      <c r="R608" s="356">
        <f t="shared" si="188"/>
        <v>71123978.8219007</v>
      </c>
      <c r="S608" s="356">
        <f>IF($G$4="mensual",S607,0)</f>
        <v>10000</v>
      </c>
      <c r="U608" s="356">
        <f t="shared" si="176"/>
        <v>567232.3363925025</v>
      </c>
      <c r="V608" s="356">
        <f t="shared" si="177"/>
        <v>-500.6742520214571</v>
      </c>
      <c r="X608" s="356">
        <f t="shared" si="180"/>
        <v>-71701.2111582932</v>
      </c>
      <c r="Y608" s="356">
        <f t="shared" si="181"/>
        <v>71629009.2728829</v>
      </c>
      <c r="AA608" s="357">
        <f>+Bono!J608</f>
        <v>748665.4829953584</v>
      </c>
      <c r="AC608" s="378">
        <f t="shared" si="182"/>
        <v>48.75</v>
      </c>
      <c r="AD608" s="356">
        <f t="shared" si="183"/>
        <v>74101053.65114692</v>
      </c>
    </row>
    <row r="609" spans="2:30" x14ac:dyDescent="0.25">
      <c r="B609" s="356">
        <f t="shared" si="184"/>
        <v>586</v>
      </c>
      <c r="C609" s="357">
        <f t="shared" si="170"/>
        <v>48</v>
      </c>
      <c r="D609" s="357">
        <f t="shared" si="171"/>
        <v>10</v>
      </c>
      <c r="E609" s="357">
        <f t="shared" si="172"/>
        <v>77</v>
      </c>
      <c r="F609" s="356">
        <f t="shared" si="185"/>
        <v>1723378.8952686628</v>
      </c>
      <c r="H609" s="356">
        <f t="shared" si="178"/>
        <v>13742.465323081351</v>
      </c>
      <c r="I609" s="356">
        <v>0</v>
      </c>
      <c r="J609" s="356">
        <v>0</v>
      </c>
      <c r="K609" s="356">
        <f t="shared" si="186"/>
        <v>-1737.1213605917442</v>
      </c>
      <c r="L609" s="356">
        <f t="shared" si="179"/>
        <v>1735384.2392311522</v>
      </c>
      <c r="N609" s="356">
        <f t="shared" si="187"/>
        <v>586</v>
      </c>
      <c r="O609" s="357">
        <f t="shared" si="173"/>
        <v>48</v>
      </c>
      <c r="P609" s="357">
        <f t="shared" si="174"/>
        <v>10</v>
      </c>
      <c r="Q609" s="357">
        <f t="shared" si="175"/>
        <v>48</v>
      </c>
      <c r="R609" s="356">
        <f t="shared" si="188"/>
        <v>71629009.2728829</v>
      </c>
      <c r="S609" s="356">
        <f>IF($G$4="mensual",S600,IF($G$4="trimestral",S600,0))</f>
        <v>10000</v>
      </c>
      <c r="U609" s="356">
        <f t="shared" si="176"/>
        <v>571259.5201295072</v>
      </c>
      <c r="V609" s="356">
        <f t="shared" si="177"/>
        <v>-500.6742520214571</v>
      </c>
      <c r="X609" s="356">
        <f t="shared" si="180"/>
        <v>-72210.2687930124</v>
      </c>
      <c r="Y609" s="356">
        <f t="shared" si="181"/>
        <v>72137557.84996736</v>
      </c>
      <c r="AA609" s="357">
        <f>+Bono!J609</f>
        <v>753307.2958297506</v>
      </c>
      <c r="AC609" s="378">
        <f t="shared" si="182"/>
        <v>48.833333333333336</v>
      </c>
      <c r="AD609" s="356">
        <f t="shared" si="183"/>
        <v>74626249.38502826</v>
      </c>
    </row>
    <row r="610" spans="2:30" x14ac:dyDescent="0.25">
      <c r="B610" s="356">
        <f t="shared" si="184"/>
        <v>587</v>
      </c>
      <c r="C610" s="357">
        <f t="shared" si="170"/>
        <v>48</v>
      </c>
      <c r="D610" s="357">
        <f t="shared" si="171"/>
        <v>11</v>
      </c>
      <c r="E610" s="357">
        <f t="shared" si="172"/>
        <v>77</v>
      </c>
      <c r="F610" s="356">
        <f t="shared" si="185"/>
        <v>1735384.2392311522</v>
      </c>
      <c r="H610" s="356">
        <f t="shared" si="178"/>
        <v>13838.197621735533</v>
      </c>
      <c r="I610" s="356">
        <v>0</v>
      </c>
      <c r="J610" s="356">
        <v>0</v>
      </c>
      <c r="K610" s="356">
        <f t="shared" si="186"/>
        <v>-1749.2224368528878</v>
      </c>
      <c r="L610" s="356">
        <f t="shared" si="179"/>
        <v>1747473.2144160348</v>
      </c>
      <c r="N610" s="356">
        <f t="shared" si="187"/>
        <v>587</v>
      </c>
      <c r="O610" s="357">
        <f t="shared" si="173"/>
        <v>48</v>
      </c>
      <c r="P610" s="357">
        <f t="shared" si="174"/>
        <v>11</v>
      </c>
      <c r="Q610" s="357">
        <f t="shared" si="175"/>
        <v>48</v>
      </c>
      <c r="R610" s="356">
        <f t="shared" si="188"/>
        <v>72137557.84996736</v>
      </c>
      <c r="S610" s="356">
        <f>IF($G$17="si",S598*(1+$G$20),S598)</f>
        <v>10000</v>
      </c>
      <c r="U610" s="356">
        <f t="shared" si="176"/>
        <v>575314.7578980979</v>
      </c>
      <c r="V610" s="356">
        <f t="shared" si="177"/>
        <v>-500.6742520214571</v>
      </c>
      <c r="X610" s="356">
        <f t="shared" si="180"/>
        <v>-72722.87260786546</v>
      </c>
      <c r="Y610" s="356">
        <f t="shared" si="181"/>
        <v>72649649.06100556</v>
      </c>
      <c r="AA610" s="357">
        <f>+Bono!J610</f>
        <v>757977.8884421331</v>
      </c>
      <c r="AC610" s="378">
        <f t="shared" si="182"/>
        <v>48.916666666666664</v>
      </c>
      <c r="AD610" s="356">
        <f t="shared" si="183"/>
        <v>75155100.16386373</v>
      </c>
    </row>
    <row r="611" spans="2:30" x14ac:dyDescent="0.25">
      <c r="B611" s="356">
        <f t="shared" si="184"/>
        <v>588</v>
      </c>
      <c r="C611" s="357">
        <f t="shared" si="170"/>
        <v>48</v>
      </c>
      <c r="D611" s="357">
        <f t="shared" si="171"/>
        <v>12</v>
      </c>
      <c r="E611" s="357">
        <f t="shared" si="172"/>
        <v>77</v>
      </c>
      <c r="F611" s="356">
        <f t="shared" si="185"/>
        <v>1747473.2144160348</v>
      </c>
      <c r="H611" s="356">
        <f t="shared" si="178"/>
        <v>13934.596807501319</v>
      </c>
      <c r="I611" s="356">
        <v>0</v>
      </c>
      <c r="J611" s="360">
        <f>-SUM(F611:H611)*$J$21</f>
        <v>-15852.670301011825</v>
      </c>
      <c r="K611" s="356">
        <f t="shared" si="186"/>
        <v>-1745.5551409225243</v>
      </c>
      <c r="L611" s="356">
        <f t="shared" si="179"/>
        <v>1743809.5857816017</v>
      </c>
      <c r="N611" s="356">
        <f t="shared" si="187"/>
        <v>588</v>
      </c>
      <c r="O611" s="357">
        <f t="shared" si="173"/>
        <v>48</v>
      </c>
      <c r="P611" s="357">
        <f t="shared" si="174"/>
        <v>12</v>
      </c>
      <c r="Q611" s="357">
        <f t="shared" si="175"/>
        <v>48</v>
      </c>
      <c r="R611" s="356">
        <f t="shared" si="188"/>
        <v>72649649.06100556</v>
      </c>
      <c r="S611" s="356">
        <f>IF($G$4="mensual",S610,0)</f>
        <v>10000</v>
      </c>
      <c r="U611" s="356">
        <f t="shared" si="176"/>
        <v>579398.2451273239</v>
      </c>
      <c r="V611" s="356">
        <f t="shared" si="177"/>
        <v>-500.6742520214571</v>
      </c>
      <c r="X611" s="356">
        <f t="shared" si="180"/>
        <v>-73239.04730613288</v>
      </c>
      <c r="Y611" s="356">
        <f t="shared" si="181"/>
        <v>73165307.58457473</v>
      </c>
      <c r="AA611" s="357">
        <f>+Bono!J611</f>
        <v>755806.471349112</v>
      </c>
      <c r="AC611" s="378">
        <f t="shared" si="182"/>
        <v>49</v>
      </c>
      <c r="AD611" s="356">
        <f t="shared" si="183"/>
        <v>75664923.64170544</v>
      </c>
    </row>
    <row r="612" spans="2:30" x14ac:dyDescent="0.25">
      <c r="B612" s="356">
        <f t="shared" si="184"/>
        <v>589</v>
      </c>
      <c r="C612" s="357">
        <f t="shared" ref="C612:C675" si="189">C600+1</f>
        <v>49</v>
      </c>
      <c r="D612" s="357">
        <f t="shared" ref="D612:D675" si="190">D600</f>
        <v>1</v>
      </c>
      <c r="E612" s="357">
        <f t="shared" ref="E612:E675" si="191">E600+1</f>
        <v>78</v>
      </c>
      <c r="F612" s="356">
        <f t="shared" si="185"/>
        <v>1743809.5857816017</v>
      </c>
      <c r="H612" s="356">
        <f t="shared" si="178"/>
        <v>13905.382518290997</v>
      </c>
      <c r="I612" s="356">
        <v>0</v>
      </c>
      <c r="J612" s="356">
        <v>0</v>
      </c>
      <c r="K612" s="356">
        <f t="shared" si="186"/>
        <v>-1757.7149682998927</v>
      </c>
      <c r="L612" s="356">
        <f t="shared" si="179"/>
        <v>1755957.2533315928</v>
      </c>
      <c r="N612" s="356">
        <f t="shared" si="187"/>
        <v>589</v>
      </c>
      <c r="O612" s="357">
        <f t="shared" ref="O612:O675" si="192">O600+1</f>
        <v>49</v>
      </c>
      <c r="P612" s="357">
        <f t="shared" ref="P612:P675" si="193">P600</f>
        <v>1</v>
      </c>
      <c r="Q612" s="357">
        <f t="shared" ref="Q612:Q675" si="194">Q600+1</f>
        <v>49</v>
      </c>
      <c r="R612" s="356">
        <f t="shared" si="188"/>
        <v>73165307.58457473</v>
      </c>
      <c r="S612" s="356">
        <f>IF($G$17="si",S600*(1+$G$20),S600)</f>
        <v>10000</v>
      </c>
      <c r="U612" s="356">
        <f t="shared" ref="U612:U675" si="195">SUM(R612:T612)*$G$8</f>
        <v>583510.1786076257</v>
      </c>
      <c r="V612" s="356">
        <f>V611*(1+$G$18)</f>
        <v>-520.7012221023155</v>
      </c>
      <c r="X612" s="356">
        <f t="shared" si="180"/>
        <v>-73758.81776318236</v>
      </c>
      <c r="Y612" s="356">
        <f t="shared" si="181"/>
        <v>73684538.24419707</v>
      </c>
      <c r="AA612" s="357">
        <f>+Bono!J612</f>
        <v>760492.559139601</v>
      </c>
      <c r="AC612" s="378">
        <f t="shared" si="182"/>
        <v>49.083333333333336</v>
      </c>
      <c r="AD612" s="356">
        <f t="shared" si="183"/>
        <v>76200988.05666825</v>
      </c>
    </row>
    <row r="613" spans="2:30" x14ac:dyDescent="0.25">
      <c r="B613" s="356">
        <f t="shared" si="184"/>
        <v>590</v>
      </c>
      <c r="C613" s="357">
        <f t="shared" si="189"/>
        <v>49</v>
      </c>
      <c r="D613" s="357">
        <f t="shared" si="190"/>
        <v>2</v>
      </c>
      <c r="E613" s="357">
        <f t="shared" si="191"/>
        <v>78</v>
      </c>
      <c r="F613" s="356">
        <f t="shared" si="185"/>
        <v>1755957.2533315928</v>
      </c>
      <c r="H613" s="356">
        <f t="shared" si="178"/>
        <v>14002.249725218264</v>
      </c>
      <c r="I613" s="356">
        <v>0</v>
      </c>
      <c r="J613" s="356">
        <v>0</v>
      </c>
      <c r="K613" s="356">
        <f t="shared" si="186"/>
        <v>-1769.959503056811</v>
      </c>
      <c r="L613" s="356">
        <f t="shared" si="179"/>
        <v>1768189.5435537542</v>
      </c>
      <c r="N613" s="356">
        <f t="shared" si="187"/>
        <v>590</v>
      </c>
      <c r="O613" s="357">
        <f t="shared" si="192"/>
        <v>49</v>
      </c>
      <c r="P613" s="357">
        <f t="shared" si="193"/>
        <v>2</v>
      </c>
      <c r="Q613" s="357">
        <f t="shared" si="194"/>
        <v>49</v>
      </c>
      <c r="R613" s="356">
        <f t="shared" si="188"/>
        <v>73684538.24419707</v>
      </c>
      <c r="S613" s="356">
        <f>IF($G$4="mensual",S612,0)</f>
        <v>10000</v>
      </c>
      <c r="U613" s="356">
        <f t="shared" si="195"/>
        <v>587650.5968024465</v>
      </c>
      <c r="V613" s="356">
        <f>V612</f>
        <v>-520.7012221023155</v>
      </c>
      <c r="X613" s="356">
        <f t="shared" si="180"/>
        <v>-74282.18884099952</v>
      </c>
      <c r="Y613" s="356">
        <f t="shared" si="181"/>
        <v>74207385.9509364</v>
      </c>
      <c r="AA613" s="357">
        <f>+Bono!J613</f>
        <v>765207.7012179435</v>
      </c>
      <c r="AC613" s="378">
        <f t="shared" si="182"/>
        <v>49.166666666666664</v>
      </c>
      <c r="AD613" s="356">
        <f t="shared" si="183"/>
        <v>76740783.19570811</v>
      </c>
    </row>
    <row r="614" spans="2:30" x14ac:dyDescent="0.25">
      <c r="B614" s="356">
        <f t="shared" si="184"/>
        <v>591</v>
      </c>
      <c r="C614" s="357">
        <f t="shared" si="189"/>
        <v>49</v>
      </c>
      <c r="D614" s="357">
        <f t="shared" si="190"/>
        <v>3</v>
      </c>
      <c r="E614" s="357">
        <f t="shared" si="191"/>
        <v>78</v>
      </c>
      <c r="F614" s="356">
        <f t="shared" si="185"/>
        <v>1768189.5435537542</v>
      </c>
      <c r="H614" s="356">
        <f t="shared" si="178"/>
        <v>14099.791725216885</v>
      </c>
      <c r="I614" s="356">
        <v>0</v>
      </c>
      <c r="J614" s="360">
        <f>-SUM(F614:H614)*$J$21</f>
        <v>-16040.604017510743</v>
      </c>
      <c r="K614" s="356">
        <f t="shared" si="186"/>
        <v>-1766.2487312614603</v>
      </c>
      <c r="L614" s="356">
        <f t="shared" si="179"/>
        <v>1764482.482530199</v>
      </c>
      <c r="N614" s="356">
        <f t="shared" si="187"/>
        <v>591</v>
      </c>
      <c r="O614" s="357">
        <f t="shared" si="192"/>
        <v>49</v>
      </c>
      <c r="P614" s="357">
        <f t="shared" si="193"/>
        <v>3</v>
      </c>
      <c r="Q614" s="357">
        <f t="shared" si="194"/>
        <v>49</v>
      </c>
      <c r="R614" s="356">
        <f t="shared" si="188"/>
        <v>74207385.9509364</v>
      </c>
      <c r="S614" s="356">
        <f>IF($G$4="mensual",S613,0)</f>
        <v>10000</v>
      </c>
      <c r="U614" s="356">
        <f t="shared" si="195"/>
        <v>591819.8578389162</v>
      </c>
      <c r="V614" s="356">
        <f t="shared" si="177"/>
        <v>-520.7012221023155</v>
      </c>
      <c r="X614" s="356">
        <f t="shared" si="180"/>
        <v>-74809.20580877532</v>
      </c>
      <c r="Y614" s="356">
        <f t="shared" si="181"/>
        <v>74733875.90174444</v>
      </c>
      <c r="AA614" s="357">
        <f>+Bono!J614</f>
        <v>763015.5725193727</v>
      </c>
      <c r="AC614" s="378">
        <f t="shared" si="182"/>
        <v>49.25</v>
      </c>
      <c r="AD614" s="356">
        <f t="shared" si="183"/>
        <v>77261373.95679402</v>
      </c>
    </row>
    <row r="615" spans="2:30" x14ac:dyDescent="0.25">
      <c r="B615" s="356">
        <f t="shared" si="184"/>
        <v>592</v>
      </c>
      <c r="C615" s="357">
        <f t="shared" si="189"/>
        <v>49</v>
      </c>
      <c r="D615" s="357">
        <f t="shared" si="190"/>
        <v>4</v>
      </c>
      <c r="E615" s="357">
        <f t="shared" si="191"/>
        <v>78</v>
      </c>
      <c r="F615" s="356">
        <f t="shared" si="185"/>
        <v>1764482.482530199</v>
      </c>
      <c r="H615" s="356">
        <f t="shared" si="178"/>
        <v>14070.231100036539</v>
      </c>
      <c r="I615" s="356">
        <v>0</v>
      </c>
      <c r="J615" s="356">
        <v>0</v>
      </c>
      <c r="K615" s="356">
        <f t="shared" si="186"/>
        <v>-1778.5527136302355</v>
      </c>
      <c r="L615" s="356">
        <f t="shared" si="179"/>
        <v>1776774.1609166053</v>
      </c>
      <c r="N615" s="356">
        <f t="shared" si="187"/>
        <v>592</v>
      </c>
      <c r="O615" s="357">
        <f t="shared" si="192"/>
        <v>49</v>
      </c>
      <c r="P615" s="357">
        <f t="shared" si="193"/>
        <v>4</v>
      </c>
      <c r="Q615" s="357">
        <f t="shared" si="194"/>
        <v>49</v>
      </c>
      <c r="R615" s="356">
        <f t="shared" si="188"/>
        <v>74733875.90174444</v>
      </c>
      <c r="S615" s="356">
        <f>IF($G$4="mensual",S612,IF($G$4="trimestral",S612,0))</f>
        <v>10000</v>
      </c>
      <c r="U615" s="356">
        <f t="shared" si="195"/>
        <v>596018.1626410661</v>
      </c>
      <c r="V615" s="356">
        <f t="shared" si="177"/>
        <v>-520.7012221023155</v>
      </c>
      <c r="X615" s="356">
        <f t="shared" si="180"/>
        <v>-75339.8940643855</v>
      </c>
      <c r="Y615" s="356">
        <f t="shared" si="181"/>
        <v>75264033.46909901</v>
      </c>
      <c r="AA615" s="357">
        <f>+Bono!J615</f>
        <v>767746.3575733212</v>
      </c>
      <c r="AC615" s="378">
        <f t="shared" si="182"/>
        <v>49.333333333333336</v>
      </c>
      <c r="AD615" s="356">
        <f t="shared" si="183"/>
        <v>77808553.98758894</v>
      </c>
    </row>
    <row r="616" spans="2:30" x14ac:dyDescent="0.25">
      <c r="B616" s="356">
        <f t="shared" si="184"/>
        <v>593</v>
      </c>
      <c r="C616" s="357">
        <f t="shared" si="189"/>
        <v>49</v>
      </c>
      <c r="D616" s="357">
        <f t="shared" si="190"/>
        <v>5</v>
      </c>
      <c r="E616" s="357">
        <f t="shared" si="191"/>
        <v>78</v>
      </c>
      <c r="F616" s="356">
        <f t="shared" si="185"/>
        <v>1776774.1609166053</v>
      </c>
      <c r="H616" s="356">
        <f t="shared" si="178"/>
        <v>14168.246669596665</v>
      </c>
      <c r="I616" s="356">
        <v>0</v>
      </c>
      <c r="J616" s="356">
        <v>0</v>
      </c>
      <c r="K616" s="356">
        <f t="shared" si="186"/>
        <v>-1790.942407586202</v>
      </c>
      <c r="L616" s="356">
        <f t="shared" si="179"/>
        <v>1789151.4651786159</v>
      </c>
      <c r="N616" s="356">
        <f t="shared" si="187"/>
        <v>593</v>
      </c>
      <c r="O616" s="357">
        <f t="shared" si="192"/>
        <v>49</v>
      </c>
      <c r="P616" s="357">
        <f t="shared" si="193"/>
        <v>5</v>
      </c>
      <c r="Q616" s="357">
        <f t="shared" si="194"/>
        <v>49</v>
      </c>
      <c r="R616" s="356">
        <f t="shared" si="188"/>
        <v>75264033.46909901</v>
      </c>
      <c r="S616" s="356">
        <f>IF($G$4="mensual",S615,0)</f>
        <v>10000</v>
      </c>
      <c r="U616" s="356">
        <f t="shared" si="195"/>
        <v>600245.7135325975</v>
      </c>
      <c r="V616" s="356">
        <f t="shared" si="177"/>
        <v>-520.7012221023155</v>
      </c>
      <c r="X616" s="356">
        <f t="shared" si="180"/>
        <v>-75874.27918263161</v>
      </c>
      <c r="Y616" s="356">
        <f t="shared" si="181"/>
        <v>75797884.20222688</v>
      </c>
      <c r="AA616" s="357">
        <f>+Bono!J616</f>
        <v>772506.4740433414</v>
      </c>
      <c r="AC616" s="378">
        <f t="shared" si="182"/>
        <v>49.416666666666664</v>
      </c>
      <c r="AD616" s="356">
        <f t="shared" si="183"/>
        <v>78359542.14144883</v>
      </c>
    </row>
    <row r="617" spans="2:30" x14ac:dyDescent="0.25">
      <c r="B617" s="356">
        <f t="shared" si="184"/>
        <v>594</v>
      </c>
      <c r="C617" s="357">
        <f t="shared" si="189"/>
        <v>49</v>
      </c>
      <c r="D617" s="357">
        <f t="shared" si="190"/>
        <v>6</v>
      </c>
      <c r="E617" s="357">
        <f t="shared" si="191"/>
        <v>78</v>
      </c>
      <c r="F617" s="356">
        <f t="shared" si="185"/>
        <v>1789151.4651786159</v>
      </c>
      <c r="H617" s="356">
        <f t="shared" si="178"/>
        <v>14266.945031913207</v>
      </c>
      <c r="I617" s="356">
        <v>0</v>
      </c>
      <c r="J617" s="360">
        <f>-SUM(F617:H617)*$J$21</f>
        <v>-16230.765691894763</v>
      </c>
      <c r="K617" s="356">
        <f t="shared" si="186"/>
        <v>-1787.1876445186344</v>
      </c>
      <c r="L617" s="356">
        <f t="shared" si="179"/>
        <v>1785400.4568741156</v>
      </c>
      <c r="N617" s="356">
        <f t="shared" si="187"/>
        <v>594</v>
      </c>
      <c r="O617" s="357">
        <f t="shared" si="192"/>
        <v>49</v>
      </c>
      <c r="P617" s="357">
        <f t="shared" si="193"/>
        <v>6</v>
      </c>
      <c r="Q617" s="357">
        <f t="shared" si="194"/>
        <v>49</v>
      </c>
      <c r="R617" s="356">
        <f t="shared" si="188"/>
        <v>75797884.20222688</v>
      </c>
      <c r="S617" s="356">
        <f>IF($G$4="mensual",S616,0)</f>
        <v>10000</v>
      </c>
      <c r="U617" s="356">
        <f t="shared" si="195"/>
        <v>604502.7142466323</v>
      </c>
      <c r="V617" s="356">
        <f t="shared" si="177"/>
        <v>-520.7012221023155</v>
      </c>
      <c r="X617" s="356">
        <f t="shared" si="180"/>
        <v>-76412.38691647351</v>
      </c>
      <c r="Y617" s="356">
        <f t="shared" si="181"/>
        <v>76335453.82833493</v>
      </c>
      <c r="AA617" s="357">
        <f>+Bono!J617</f>
        <v>770293.4361859246</v>
      </c>
      <c r="AC617" s="378">
        <f t="shared" si="182"/>
        <v>49.5</v>
      </c>
      <c r="AD617" s="356">
        <f t="shared" si="183"/>
        <v>78891147.72139497</v>
      </c>
    </row>
    <row r="618" spans="2:30" x14ac:dyDescent="0.25">
      <c r="B618" s="356">
        <f t="shared" si="184"/>
        <v>595</v>
      </c>
      <c r="C618" s="357">
        <f t="shared" si="189"/>
        <v>49</v>
      </c>
      <c r="D618" s="357">
        <f t="shared" si="190"/>
        <v>7</v>
      </c>
      <c r="E618" s="357">
        <f t="shared" si="191"/>
        <v>78</v>
      </c>
      <c r="F618" s="356">
        <f t="shared" si="185"/>
        <v>1785400.4568741156</v>
      </c>
      <c r="H618" s="356">
        <f t="shared" si="178"/>
        <v>14237.033964943137</v>
      </c>
      <c r="I618" s="356">
        <v>0</v>
      </c>
      <c r="J618" s="356">
        <v>0</v>
      </c>
      <c r="K618" s="356">
        <f t="shared" si="186"/>
        <v>-1799.6374908390587</v>
      </c>
      <c r="L618" s="356">
        <f t="shared" si="179"/>
        <v>1797837.8533482198</v>
      </c>
      <c r="N618" s="356">
        <f t="shared" si="187"/>
        <v>595</v>
      </c>
      <c r="O618" s="357">
        <f t="shared" si="192"/>
        <v>49</v>
      </c>
      <c r="P618" s="357">
        <f t="shared" si="193"/>
        <v>7</v>
      </c>
      <c r="Q618" s="357">
        <f t="shared" si="194"/>
        <v>49</v>
      </c>
      <c r="R618" s="356">
        <f t="shared" si="188"/>
        <v>76335453.82833493</v>
      </c>
      <c r="S618" s="356">
        <f>+IF($G$4="mensual",S612,IF($G$4="trimestral",S612,IF($G$4="semestral",S612,0)))</f>
        <v>10000</v>
      </c>
      <c r="U618" s="356">
        <f t="shared" si="195"/>
        <v>608789.3699355312</v>
      </c>
      <c r="V618" s="356">
        <f t="shared" si="177"/>
        <v>-520.7012221023155</v>
      </c>
      <c r="X618" s="356">
        <f t="shared" si="180"/>
        <v>-76954.24319827046</v>
      </c>
      <c r="Y618" s="356">
        <f t="shared" si="181"/>
        <v>76876768.25385007</v>
      </c>
      <c r="AA618" s="357">
        <f>+Bono!J618</f>
        <v>775069.3448387857</v>
      </c>
      <c r="AC618" s="378">
        <f t="shared" si="182"/>
        <v>49.583333333333336</v>
      </c>
      <c r="AD618" s="356">
        <f t="shared" si="183"/>
        <v>79449675.45203708</v>
      </c>
    </row>
    <row r="619" spans="2:30" x14ac:dyDescent="0.25">
      <c r="B619" s="356">
        <f t="shared" si="184"/>
        <v>596</v>
      </c>
      <c r="C619" s="357">
        <f t="shared" si="189"/>
        <v>49</v>
      </c>
      <c r="D619" s="357">
        <f t="shared" si="190"/>
        <v>8</v>
      </c>
      <c r="E619" s="357">
        <f t="shared" si="191"/>
        <v>78</v>
      </c>
      <c r="F619" s="356">
        <f t="shared" si="185"/>
        <v>1797837.8533482198</v>
      </c>
      <c r="H619" s="356">
        <f t="shared" si="178"/>
        <v>14336.211510997597</v>
      </c>
      <c r="I619" s="356">
        <v>0</v>
      </c>
      <c r="J619" s="356">
        <v>0</v>
      </c>
      <c r="K619" s="356">
        <f t="shared" si="186"/>
        <v>-1812.1740648592172</v>
      </c>
      <c r="L619" s="356">
        <f t="shared" si="179"/>
        <v>1810361.890794358</v>
      </c>
      <c r="N619" s="356">
        <f t="shared" si="187"/>
        <v>596</v>
      </c>
      <c r="O619" s="357">
        <f t="shared" si="192"/>
        <v>49</v>
      </c>
      <c r="P619" s="357">
        <f t="shared" si="193"/>
        <v>8</v>
      </c>
      <c r="Q619" s="357">
        <f t="shared" si="194"/>
        <v>49</v>
      </c>
      <c r="R619" s="356">
        <f t="shared" si="188"/>
        <v>76876768.25385007</v>
      </c>
      <c r="S619" s="356">
        <f>IF($G$4="mensual",S618,0)</f>
        <v>10000</v>
      </c>
      <c r="U619" s="356">
        <f t="shared" si="195"/>
        <v>613105.8871807803</v>
      </c>
      <c r="V619" s="356">
        <f t="shared" si="177"/>
        <v>-520.7012221023155</v>
      </c>
      <c r="X619" s="356">
        <f t="shared" si="180"/>
        <v>-77499.87414103084</v>
      </c>
      <c r="Y619" s="356">
        <f t="shared" si="181"/>
        <v>77421853.5656677</v>
      </c>
      <c r="AA619" s="357">
        <f>+Bono!J619</f>
        <v>779874.8646792657</v>
      </c>
      <c r="AC619" s="378">
        <f t="shared" si="182"/>
        <v>49.666666666666664</v>
      </c>
      <c r="AD619" s="356">
        <f t="shared" si="183"/>
        <v>80012090.32114132</v>
      </c>
    </row>
    <row r="620" spans="2:30" x14ac:dyDescent="0.25">
      <c r="B620" s="356">
        <f t="shared" si="184"/>
        <v>597</v>
      </c>
      <c r="C620" s="357">
        <f t="shared" si="189"/>
        <v>49</v>
      </c>
      <c r="D620" s="357">
        <f t="shared" si="190"/>
        <v>9</v>
      </c>
      <c r="E620" s="357">
        <f t="shared" si="191"/>
        <v>78</v>
      </c>
      <c r="F620" s="356">
        <f t="shared" si="185"/>
        <v>1810361.890794358</v>
      </c>
      <c r="H620" s="356">
        <f t="shared" si="178"/>
        <v>14436.079944329951</v>
      </c>
      <c r="I620" s="356">
        <v>0</v>
      </c>
      <c r="J620" s="360">
        <f>-SUM(F620:H620)*$J$21</f>
        <v>-16423.181736648196</v>
      </c>
      <c r="K620" s="356">
        <f t="shared" si="186"/>
        <v>-1808.37478900204</v>
      </c>
      <c r="L620" s="356">
        <f t="shared" si="179"/>
        <v>1806566.4142130378</v>
      </c>
      <c r="N620" s="356">
        <f t="shared" si="187"/>
        <v>597</v>
      </c>
      <c r="O620" s="357">
        <f t="shared" si="192"/>
        <v>49</v>
      </c>
      <c r="P620" s="357">
        <f t="shared" si="193"/>
        <v>9</v>
      </c>
      <c r="Q620" s="357">
        <f t="shared" si="194"/>
        <v>49</v>
      </c>
      <c r="R620" s="356">
        <f t="shared" si="188"/>
        <v>77421853.5656677</v>
      </c>
      <c r="S620" s="356">
        <f>IF($G$4="mensual",S619,0)</f>
        <v>10000</v>
      </c>
      <c r="U620" s="356">
        <f t="shared" si="195"/>
        <v>617452.474002947</v>
      </c>
      <c r="V620" s="356">
        <f t="shared" si="177"/>
        <v>-520.7012221023155</v>
      </c>
      <c r="X620" s="356">
        <f t="shared" si="180"/>
        <v>-78049.30603967064</v>
      </c>
      <c r="Y620" s="356">
        <f t="shared" si="181"/>
        <v>77970736.03240886</v>
      </c>
      <c r="AA620" s="357">
        <f>+Bono!J620</f>
        <v>777640.7182253861</v>
      </c>
      <c r="AC620" s="378">
        <f t="shared" si="182"/>
        <v>49.75</v>
      </c>
      <c r="AD620" s="356">
        <f t="shared" si="183"/>
        <v>80554943.16484728</v>
      </c>
    </row>
    <row r="621" spans="2:30" x14ac:dyDescent="0.25">
      <c r="B621" s="356">
        <f t="shared" si="184"/>
        <v>598</v>
      </c>
      <c r="C621" s="357">
        <f t="shared" si="189"/>
        <v>49</v>
      </c>
      <c r="D621" s="357">
        <f t="shared" si="190"/>
        <v>10</v>
      </c>
      <c r="E621" s="357">
        <f t="shared" si="191"/>
        <v>78</v>
      </c>
      <c r="F621" s="356">
        <f t="shared" si="185"/>
        <v>1806566.4142130378</v>
      </c>
      <c r="H621" s="356">
        <f t="shared" si="178"/>
        <v>14405.814281075889</v>
      </c>
      <c r="I621" s="356">
        <v>0</v>
      </c>
      <c r="J621" s="356">
        <v>0</v>
      </c>
      <c r="K621" s="356">
        <f t="shared" si="186"/>
        <v>-1820.9722284941138</v>
      </c>
      <c r="L621" s="356">
        <f t="shared" si="179"/>
        <v>1819151.2562656198</v>
      </c>
      <c r="N621" s="356">
        <f t="shared" si="187"/>
        <v>598</v>
      </c>
      <c r="O621" s="357">
        <f t="shared" si="192"/>
        <v>49</v>
      </c>
      <c r="P621" s="357">
        <f t="shared" si="193"/>
        <v>10</v>
      </c>
      <c r="Q621" s="357">
        <f t="shared" si="194"/>
        <v>49</v>
      </c>
      <c r="R621" s="356">
        <f t="shared" si="188"/>
        <v>77970736.03240886</v>
      </c>
      <c r="S621" s="356">
        <f>IF($G$4="mensual",S612,IF($G$4="trimestral",S612,0))</f>
        <v>10000</v>
      </c>
      <c r="U621" s="356">
        <f t="shared" si="195"/>
        <v>621829.339871704</v>
      </c>
      <c r="V621" s="356">
        <f t="shared" si="177"/>
        <v>-520.7012221023155</v>
      </c>
      <c r="X621" s="356">
        <f t="shared" si="180"/>
        <v>-78602.56537228057</v>
      </c>
      <c r="Y621" s="356">
        <f t="shared" si="181"/>
        <v>78523442.10568619</v>
      </c>
      <c r="AA621" s="357">
        <f>+Bono!J621</f>
        <v>782462.1808791237</v>
      </c>
      <c r="AC621" s="378">
        <f t="shared" si="182"/>
        <v>49.833333333333336</v>
      </c>
      <c r="AD621" s="356">
        <f t="shared" si="183"/>
        <v>81125055.54283094</v>
      </c>
    </row>
    <row r="622" spans="2:30" x14ac:dyDescent="0.25">
      <c r="B622" s="356">
        <f t="shared" si="184"/>
        <v>599</v>
      </c>
      <c r="C622" s="357">
        <f t="shared" si="189"/>
        <v>49</v>
      </c>
      <c r="D622" s="357">
        <f t="shared" si="190"/>
        <v>11</v>
      </c>
      <c r="E622" s="357">
        <f t="shared" si="191"/>
        <v>78</v>
      </c>
      <c r="F622" s="356">
        <f t="shared" si="185"/>
        <v>1819151.2562656198</v>
      </c>
      <c r="H622" s="356">
        <f t="shared" si="178"/>
        <v>14506.16757887875</v>
      </c>
      <c r="I622" s="356">
        <v>0</v>
      </c>
      <c r="J622" s="356">
        <v>0</v>
      </c>
      <c r="K622" s="356">
        <f t="shared" si="186"/>
        <v>-1833.6574238444987</v>
      </c>
      <c r="L622" s="356">
        <f t="shared" si="179"/>
        <v>1831823.766420654</v>
      </c>
      <c r="N622" s="356">
        <f t="shared" si="187"/>
        <v>599</v>
      </c>
      <c r="O622" s="357">
        <f t="shared" si="192"/>
        <v>49</v>
      </c>
      <c r="P622" s="357">
        <f t="shared" si="193"/>
        <v>11</v>
      </c>
      <c r="Q622" s="357">
        <f t="shared" si="194"/>
        <v>49</v>
      </c>
      <c r="R622" s="356">
        <f t="shared" si="188"/>
        <v>78523442.10568619</v>
      </c>
      <c r="S622" s="356">
        <f>IF($G$17="si",S610*(1+$G$20),S610)</f>
        <v>10000</v>
      </c>
      <c r="U622" s="356">
        <f t="shared" si="195"/>
        <v>626236.6957159254</v>
      </c>
      <c r="V622" s="356">
        <f t="shared" si="177"/>
        <v>-520.7012221023155</v>
      </c>
      <c r="X622" s="356">
        <f t="shared" si="180"/>
        <v>-79159.67880140211</v>
      </c>
      <c r="Y622" s="356">
        <f t="shared" si="181"/>
        <v>79079998.4213786</v>
      </c>
      <c r="AA622" s="357">
        <f>+Bono!J622</f>
        <v>787313.5371605696</v>
      </c>
      <c r="AC622" s="378">
        <f t="shared" si="182"/>
        <v>49.916666666666664</v>
      </c>
      <c r="AD622" s="356">
        <f t="shared" si="183"/>
        <v>81699135.72495982</v>
      </c>
    </row>
    <row r="623" spans="2:30" x14ac:dyDescent="0.25">
      <c r="B623" s="356">
        <f t="shared" si="184"/>
        <v>600</v>
      </c>
      <c r="C623" s="357">
        <f t="shared" si="189"/>
        <v>49</v>
      </c>
      <c r="D623" s="357">
        <f t="shared" si="190"/>
        <v>12</v>
      </c>
      <c r="E623" s="357">
        <f t="shared" si="191"/>
        <v>78</v>
      </c>
      <c r="F623" s="356">
        <f t="shared" si="185"/>
        <v>1831823.766420654</v>
      </c>
      <c r="H623" s="356">
        <f t="shared" si="178"/>
        <v>14607.219954441704</v>
      </c>
      <c r="I623" s="356">
        <v>0</v>
      </c>
      <c r="J623" s="360">
        <f>-SUM(F623:H623)*$J$21</f>
        <v>-16617.878877375864</v>
      </c>
      <c r="K623" s="356">
        <f t="shared" si="186"/>
        <v>-1829.8131074977198</v>
      </c>
      <c r="L623" s="356">
        <f t="shared" si="179"/>
        <v>1827983.294390222</v>
      </c>
      <c r="N623" s="356">
        <f t="shared" si="187"/>
        <v>600</v>
      </c>
      <c r="O623" s="357">
        <f t="shared" si="192"/>
        <v>49</v>
      </c>
      <c r="P623" s="357">
        <f t="shared" si="193"/>
        <v>12</v>
      </c>
      <c r="Q623" s="357">
        <f t="shared" si="194"/>
        <v>49</v>
      </c>
      <c r="R623" s="356">
        <f t="shared" si="188"/>
        <v>79079998.4213786</v>
      </c>
      <c r="S623" s="356">
        <f>IF($G$4="mensual",S622,0)</f>
        <v>10000</v>
      </c>
      <c r="U623" s="356">
        <f t="shared" si="195"/>
        <v>630674.75393385</v>
      </c>
      <c r="V623" s="356">
        <f t="shared" si="177"/>
        <v>-520.7012221023155</v>
      </c>
      <c r="X623" s="356">
        <f t="shared" si="180"/>
        <v>-79720.67317531245</v>
      </c>
      <c r="Y623" s="356">
        <f t="shared" si="181"/>
        <v>79640431.80091503</v>
      </c>
      <c r="AA623" s="357">
        <f>+Bono!J623</f>
        <v>785058.0807703164</v>
      </c>
      <c r="AC623" s="378">
        <f t="shared" si="182"/>
        <v>50</v>
      </c>
      <c r="AD623" s="356">
        <f t="shared" si="183"/>
        <v>82253473.17607556</v>
      </c>
    </row>
    <row r="624" spans="2:30" x14ac:dyDescent="0.25">
      <c r="B624" s="356">
        <f t="shared" si="184"/>
        <v>601</v>
      </c>
      <c r="C624" s="357">
        <f t="shared" si="189"/>
        <v>50</v>
      </c>
      <c r="D624" s="357">
        <f t="shared" si="190"/>
        <v>1</v>
      </c>
      <c r="E624" s="357">
        <f t="shared" si="191"/>
        <v>79</v>
      </c>
      <c r="F624" s="356">
        <f t="shared" si="185"/>
        <v>1827983.294390222</v>
      </c>
      <c r="H624" s="356">
        <f t="shared" si="178"/>
        <v>14576.595491157761</v>
      </c>
      <c r="I624" s="356">
        <v>0</v>
      </c>
      <c r="J624" s="356">
        <v>0</v>
      </c>
      <c r="K624" s="356">
        <f t="shared" si="186"/>
        <v>-1842.5598898813798</v>
      </c>
      <c r="L624" s="356">
        <f t="shared" si="179"/>
        <v>1840717.3299914985</v>
      </c>
      <c r="N624" s="356">
        <f t="shared" si="187"/>
        <v>601</v>
      </c>
      <c r="O624" s="357">
        <f t="shared" si="192"/>
        <v>50</v>
      </c>
      <c r="P624" s="357">
        <f t="shared" si="193"/>
        <v>1</v>
      </c>
      <c r="Q624" s="357">
        <f t="shared" si="194"/>
        <v>50</v>
      </c>
      <c r="R624" s="356">
        <f t="shared" si="188"/>
        <v>79640431.80091503</v>
      </c>
      <c r="S624" s="356">
        <f>IF($G$17="si",S612*(1+$G$20),S612)</f>
        <v>10000</v>
      </c>
      <c r="U624" s="356">
        <f t="shared" si="195"/>
        <v>635143.7284033187</v>
      </c>
      <c r="V624" s="356">
        <f>V623*(1+$G$18)</f>
        <v>-541.529270986408</v>
      </c>
      <c r="X624" s="356">
        <f t="shared" si="180"/>
        <v>-80285.57552931835</v>
      </c>
      <c r="Y624" s="356">
        <f t="shared" si="181"/>
        <v>80204748.42451803</v>
      </c>
      <c r="AA624" s="357">
        <f>+Bono!J624</f>
        <v>789925.5319321934</v>
      </c>
      <c r="AC624" s="378">
        <f t="shared" si="182"/>
        <v>50.083333333333336</v>
      </c>
      <c r="AD624" s="356">
        <f t="shared" si="183"/>
        <v>82835391.28644173</v>
      </c>
    </row>
    <row r="625" spans="2:30" x14ac:dyDescent="0.25">
      <c r="B625" s="356">
        <f t="shared" si="184"/>
        <v>602</v>
      </c>
      <c r="C625" s="357">
        <f t="shared" si="189"/>
        <v>50</v>
      </c>
      <c r="D625" s="357">
        <f t="shared" si="190"/>
        <v>2</v>
      </c>
      <c r="E625" s="357">
        <f t="shared" si="191"/>
        <v>79</v>
      </c>
      <c r="F625" s="356">
        <f t="shared" si="185"/>
        <v>1840717.3299914985</v>
      </c>
      <c r="H625" s="356">
        <f t="shared" si="178"/>
        <v>14678.138479269</v>
      </c>
      <c r="I625" s="356">
        <v>0</v>
      </c>
      <c r="J625" s="356">
        <v>0</v>
      </c>
      <c r="K625" s="356">
        <f t="shared" si="186"/>
        <v>-1855.3954684707676</v>
      </c>
      <c r="L625" s="356">
        <f t="shared" si="179"/>
        <v>1853540.0730022967</v>
      </c>
      <c r="N625" s="356">
        <f t="shared" si="187"/>
        <v>602</v>
      </c>
      <c r="O625" s="357">
        <f t="shared" si="192"/>
        <v>50</v>
      </c>
      <c r="P625" s="357">
        <f t="shared" si="193"/>
        <v>2</v>
      </c>
      <c r="Q625" s="357">
        <f t="shared" si="194"/>
        <v>50</v>
      </c>
      <c r="R625" s="356">
        <f t="shared" si="188"/>
        <v>80204748.42451803</v>
      </c>
      <c r="S625" s="356">
        <f>IF($G$4="mensual",S624,0)</f>
        <v>10000</v>
      </c>
      <c r="U625" s="356">
        <f t="shared" si="195"/>
        <v>639643.6684062937</v>
      </c>
      <c r="V625" s="356">
        <f>V624</f>
        <v>-541.529270986408</v>
      </c>
      <c r="X625" s="356">
        <f t="shared" si="180"/>
        <v>-80854.39209292433</v>
      </c>
      <c r="Y625" s="356">
        <f t="shared" si="181"/>
        <v>80772996.1715604</v>
      </c>
      <c r="AA625" s="357">
        <f>+Bono!J625</f>
        <v>794823.1618558635</v>
      </c>
      <c r="AC625" s="378">
        <f t="shared" si="182"/>
        <v>50.166666666666664</v>
      </c>
      <c r="AD625" s="356">
        <f t="shared" si="183"/>
        <v>83421359.40641856</v>
      </c>
    </row>
    <row r="626" spans="2:30" x14ac:dyDescent="0.25">
      <c r="B626" s="356">
        <f t="shared" si="184"/>
        <v>603</v>
      </c>
      <c r="C626" s="357">
        <f t="shared" si="189"/>
        <v>50</v>
      </c>
      <c r="D626" s="357">
        <f t="shared" si="190"/>
        <v>3</v>
      </c>
      <c r="E626" s="357">
        <f t="shared" si="191"/>
        <v>79</v>
      </c>
      <c r="F626" s="356">
        <f t="shared" si="185"/>
        <v>1853540.0730022967</v>
      </c>
      <c r="H626" s="356">
        <f t="shared" si="178"/>
        <v>14780.38883272085</v>
      </c>
      <c r="I626" s="356">
        <v>0</v>
      </c>
      <c r="J626" s="360">
        <f>-SUM(F626:H626)*$J$21</f>
        <v>-16814.88415651516</v>
      </c>
      <c r="K626" s="356">
        <f t="shared" si="186"/>
        <v>-1851.5055776785025</v>
      </c>
      <c r="L626" s="356">
        <f t="shared" si="179"/>
        <v>1849654.072100824</v>
      </c>
      <c r="N626" s="356">
        <f t="shared" si="187"/>
        <v>603</v>
      </c>
      <c r="O626" s="357">
        <f t="shared" si="192"/>
        <v>50</v>
      </c>
      <c r="P626" s="357">
        <f t="shared" si="193"/>
        <v>3</v>
      </c>
      <c r="Q626" s="357">
        <f t="shared" si="194"/>
        <v>50</v>
      </c>
      <c r="R626" s="356">
        <f t="shared" si="188"/>
        <v>80772996.1715604</v>
      </c>
      <c r="S626" s="356">
        <f>IF($G$4="mensual",S625,0)</f>
        <v>10000</v>
      </c>
      <c r="U626" s="356">
        <f t="shared" si="195"/>
        <v>644174.9557396178</v>
      </c>
      <c r="V626" s="356">
        <f t="shared" si="177"/>
        <v>-541.529270986408</v>
      </c>
      <c r="X626" s="356">
        <f t="shared" si="180"/>
        <v>-81427.17112730003</v>
      </c>
      <c r="Y626" s="356">
        <f t="shared" si="181"/>
        <v>81345202.42690173</v>
      </c>
      <c r="AA626" s="357">
        <f>+Bono!J626</f>
        <v>792546.1922688877</v>
      </c>
      <c r="AC626" s="378">
        <f t="shared" si="182"/>
        <v>50.25</v>
      </c>
      <c r="AD626" s="356">
        <f t="shared" si="183"/>
        <v>83987402.69127144</v>
      </c>
    </row>
    <row r="627" spans="2:30" x14ac:dyDescent="0.25">
      <c r="B627" s="356">
        <f t="shared" si="184"/>
        <v>604</v>
      </c>
      <c r="C627" s="357">
        <f t="shared" si="189"/>
        <v>50</v>
      </c>
      <c r="D627" s="357">
        <f t="shared" si="190"/>
        <v>4</v>
      </c>
      <c r="E627" s="357">
        <f t="shared" si="191"/>
        <v>79</v>
      </c>
      <c r="F627" s="356">
        <f t="shared" si="185"/>
        <v>1849654.072100824</v>
      </c>
      <c r="H627" s="356">
        <f t="shared" si="178"/>
        <v>14749.401315825658</v>
      </c>
      <c r="I627" s="356">
        <v>0</v>
      </c>
      <c r="J627" s="356">
        <v>0</v>
      </c>
      <c r="K627" s="356">
        <f t="shared" si="186"/>
        <v>-1864.4034734166498</v>
      </c>
      <c r="L627" s="356">
        <f t="shared" si="179"/>
        <v>1862539.0699432332</v>
      </c>
      <c r="N627" s="356">
        <f t="shared" si="187"/>
        <v>604</v>
      </c>
      <c r="O627" s="357">
        <f t="shared" si="192"/>
        <v>50</v>
      </c>
      <c r="P627" s="357">
        <f t="shared" si="193"/>
        <v>4</v>
      </c>
      <c r="Q627" s="357">
        <f t="shared" si="194"/>
        <v>50</v>
      </c>
      <c r="R627" s="356">
        <f t="shared" si="188"/>
        <v>81345202.42690173</v>
      </c>
      <c r="S627" s="356">
        <f>IF($G$4="mensual",S624,IF($G$4="trimestral",S624,0))</f>
        <v>10000</v>
      </c>
      <c r="U627" s="356">
        <f t="shared" si="195"/>
        <v>648737.8087740067</v>
      </c>
      <c r="V627" s="356">
        <f t="shared" si="177"/>
        <v>-541.529270986408</v>
      </c>
      <c r="X627" s="356">
        <f t="shared" si="180"/>
        <v>-82003.94023567573</v>
      </c>
      <c r="Y627" s="356">
        <f t="shared" si="181"/>
        <v>81921394.76616907</v>
      </c>
      <c r="AA627" s="357">
        <f>+Bono!J627</f>
        <v>797460.0705906231</v>
      </c>
      <c r="AC627" s="378">
        <f t="shared" si="182"/>
        <v>50.333333333333336</v>
      </c>
      <c r="AD627" s="356">
        <f t="shared" si="183"/>
        <v>84581393.90670294</v>
      </c>
    </row>
    <row r="628" spans="2:30" x14ac:dyDescent="0.25">
      <c r="B628" s="356">
        <f t="shared" si="184"/>
        <v>605</v>
      </c>
      <c r="C628" s="357">
        <f t="shared" si="189"/>
        <v>50</v>
      </c>
      <c r="D628" s="357">
        <f t="shared" si="190"/>
        <v>5</v>
      </c>
      <c r="E628" s="357">
        <f t="shared" si="191"/>
        <v>79</v>
      </c>
      <c r="F628" s="356">
        <f t="shared" si="185"/>
        <v>1862539.0699432332</v>
      </c>
      <c r="H628" s="356">
        <f t="shared" si="178"/>
        <v>14852.148098047152</v>
      </c>
      <c r="I628" s="356">
        <v>0</v>
      </c>
      <c r="J628" s="356">
        <v>0</v>
      </c>
      <c r="K628" s="356">
        <f t="shared" si="186"/>
        <v>-1877.3912180412804</v>
      </c>
      <c r="L628" s="356">
        <f t="shared" si="179"/>
        <v>1875513.826823239</v>
      </c>
      <c r="N628" s="356">
        <f t="shared" si="187"/>
        <v>605</v>
      </c>
      <c r="O628" s="357">
        <f t="shared" si="192"/>
        <v>50</v>
      </c>
      <c r="P628" s="357">
        <f t="shared" si="193"/>
        <v>5</v>
      </c>
      <c r="Q628" s="357">
        <f t="shared" si="194"/>
        <v>50</v>
      </c>
      <c r="R628" s="356">
        <f t="shared" si="188"/>
        <v>81921394.76616907</v>
      </c>
      <c r="S628" s="356">
        <f>IF($G$4="mensual",S627,0)</f>
        <v>10000</v>
      </c>
      <c r="U628" s="356">
        <f t="shared" si="195"/>
        <v>653332.4474013831</v>
      </c>
      <c r="V628" s="356">
        <f t="shared" si="177"/>
        <v>-541.529270986408</v>
      </c>
      <c r="X628" s="356">
        <f t="shared" si="180"/>
        <v>-82584.72721357046</v>
      </c>
      <c r="Y628" s="356">
        <f t="shared" si="181"/>
        <v>82501600.9570859</v>
      </c>
      <c r="AA628" s="357">
        <f>+Bono!J628</f>
        <v>802404.4155279278</v>
      </c>
      <c r="AC628" s="378">
        <f t="shared" si="182"/>
        <v>50.416666666666664</v>
      </c>
      <c r="AD628" s="356">
        <f t="shared" si="183"/>
        <v>85179519.19943705</v>
      </c>
    </row>
    <row r="629" spans="2:30" x14ac:dyDescent="0.25">
      <c r="B629" s="356">
        <f t="shared" si="184"/>
        <v>606</v>
      </c>
      <c r="C629" s="357">
        <f t="shared" si="189"/>
        <v>50</v>
      </c>
      <c r="D629" s="357">
        <f t="shared" si="190"/>
        <v>6</v>
      </c>
      <c r="E629" s="357">
        <f t="shared" si="191"/>
        <v>79</v>
      </c>
      <c r="F629" s="356">
        <f t="shared" si="185"/>
        <v>1875513.826823239</v>
      </c>
      <c r="H629" s="356">
        <f t="shared" si="178"/>
        <v>14955.610631439204</v>
      </c>
      <c r="I629" s="356">
        <v>0</v>
      </c>
      <c r="J629" s="360">
        <f>-SUM(F629:H629)*$J$21</f>
        <v>-17014.224937092105</v>
      </c>
      <c r="K629" s="356">
        <f t="shared" si="186"/>
        <v>-1873.455212517586</v>
      </c>
      <c r="L629" s="356">
        <f t="shared" si="179"/>
        <v>1871581.7573050684</v>
      </c>
      <c r="N629" s="356">
        <f t="shared" si="187"/>
        <v>606</v>
      </c>
      <c r="O629" s="357">
        <f t="shared" si="192"/>
        <v>50</v>
      </c>
      <c r="P629" s="357">
        <f t="shared" si="193"/>
        <v>6</v>
      </c>
      <c r="Q629" s="357">
        <f t="shared" si="194"/>
        <v>50</v>
      </c>
      <c r="R629" s="356">
        <f t="shared" si="188"/>
        <v>82501600.9570859</v>
      </c>
      <c r="S629" s="356">
        <f>IF($G$4="mensual",S628,0)</f>
        <v>10000</v>
      </c>
      <c r="U629" s="356">
        <f t="shared" si="195"/>
        <v>657959.0930454731</v>
      </c>
      <c r="V629" s="356">
        <f t="shared" si="177"/>
        <v>-541.529270986408</v>
      </c>
      <c r="X629" s="356">
        <f t="shared" si="180"/>
        <v>-83169.56005013136</v>
      </c>
      <c r="Y629" s="356">
        <f t="shared" si="181"/>
        <v>83085848.96081024</v>
      </c>
      <c r="AA629" s="357">
        <f>+Bono!J629</f>
        <v>800105.727545124</v>
      </c>
      <c r="AC629" s="378">
        <f t="shared" si="182"/>
        <v>50.5</v>
      </c>
      <c r="AD629" s="356">
        <f t="shared" si="183"/>
        <v>85757536.44566044</v>
      </c>
    </row>
    <row r="630" spans="2:30" x14ac:dyDescent="0.25">
      <c r="B630" s="356">
        <f t="shared" si="184"/>
        <v>607</v>
      </c>
      <c r="C630" s="357">
        <f t="shared" si="189"/>
        <v>50</v>
      </c>
      <c r="D630" s="357">
        <f t="shared" si="190"/>
        <v>7</v>
      </c>
      <c r="E630" s="357">
        <f t="shared" si="191"/>
        <v>79</v>
      </c>
      <c r="F630" s="356">
        <f t="shared" si="185"/>
        <v>1871581.7573050684</v>
      </c>
      <c r="H630" s="356">
        <f t="shared" si="178"/>
        <v>14924.255756925098</v>
      </c>
      <c r="I630" s="356">
        <v>0</v>
      </c>
      <c r="J630" s="356">
        <v>0</v>
      </c>
      <c r="K630" s="356">
        <f t="shared" si="186"/>
        <v>-1886.5060130619936</v>
      </c>
      <c r="L630" s="356">
        <f t="shared" si="179"/>
        <v>1884619.5070489314</v>
      </c>
      <c r="N630" s="356">
        <f t="shared" si="187"/>
        <v>607</v>
      </c>
      <c r="O630" s="357">
        <f t="shared" si="192"/>
        <v>50</v>
      </c>
      <c r="P630" s="357">
        <f t="shared" si="193"/>
        <v>7</v>
      </c>
      <c r="Q630" s="357">
        <f t="shared" si="194"/>
        <v>50</v>
      </c>
      <c r="R630" s="356">
        <f t="shared" si="188"/>
        <v>83085848.96081024</v>
      </c>
      <c r="S630" s="356">
        <f>+IF($G$4="mensual",S624,IF($G$4="trimestral",S624,IF($G$4="semestral",S624,0)))</f>
        <v>10000</v>
      </c>
      <c r="U630" s="356">
        <f t="shared" si="195"/>
        <v>662617.9686724779</v>
      </c>
      <c r="V630" s="356">
        <f t="shared" si="177"/>
        <v>-541.529270986408</v>
      </c>
      <c r="X630" s="356">
        <f t="shared" si="180"/>
        <v>-83758.46692948273</v>
      </c>
      <c r="Y630" s="356">
        <f t="shared" si="181"/>
        <v>83674166.93328226</v>
      </c>
      <c r="AA630" s="357">
        <f>+Bono!J630</f>
        <v>805066.4758624239</v>
      </c>
      <c r="AC630" s="378">
        <f t="shared" si="182"/>
        <v>50.583333333333336</v>
      </c>
      <c r="AD630" s="356">
        <f t="shared" si="183"/>
        <v>86363852.91619362</v>
      </c>
    </row>
    <row r="631" spans="2:30" x14ac:dyDescent="0.25">
      <c r="B631" s="356">
        <f t="shared" si="184"/>
        <v>608</v>
      </c>
      <c r="C631" s="357">
        <f t="shared" si="189"/>
        <v>50</v>
      </c>
      <c r="D631" s="357">
        <f t="shared" si="190"/>
        <v>8</v>
      </c>
      <c r="E631" s="357">
        <f t="shared" si="191"/>
        <v>79</v>
      </c>
      <c r="F631" s="356">
        <f t="shared" si="185"/>
        <v>1884619.5070489314</v>
      </c>
      <c r="H631" s="356">
        <f t="shared" si="178"/>
        <v>15028.220604259566</v>
      </c>
      <c r="I631" s="356">
        <v>0</v>
      </c>
      <c r="J631" s="356">
        <v>0</v>
      </c>
      <c r="K631" s="356">
        <f t="shared" si="186"/>
        <v>-1899.647727653191</v>
      </c>
      <c r="L631" s="356">
        <f t="shared" si="179"/>
        <v>1897748.0799255378</v>
      </c>
      <c r="N631" s="356">
        <f t="shared" si="187"/>
        <v>608</v>
      </c>
      <c r="O631" s="357">
        <f t="shared" si="192"/>
        <v>50</v>
      </c>
      <c r="P631" s="357">
        <f t="shared" si="193"/>
        <v>8</v>
      </c>
      <c r="Q631" s="357">
        <f t="shared" si="194"/>
        <v>50</v>
      </c>
      <c r="R631" s="356">
        <f t="shared" si="188"/>
        <v>83674166.93328226</v>
      </c>
      <c r="S631" s="356">
        <f>IF($G$4="mensual",S630,0)</f>
        <v>10000</v>
      </c>
      <c r="U631" s="356">
        <f t="shared" si="195"/>
        <v>667309.2988018176</v>
      </c>
      <c r="V631" s="356">
        <f t="shared" si="177"/>
        <v>-541.529270986408</v>
      </c>
      <c r="X631" s="356">
        <f t="shared" si="180"/>
        <v>-84351.47623208408</v>
      </c>
      <c r="Y631" s="356">
        <f t="shared" si="181"/>
        <v>84266583.226581</v>
      </c>
      <c r="AA631" s="357">
        <f>+Bono!J631</f>
        <v>810057.9813947022</v>
      </c>
      <c r="AC631" s="378">
        <f t="shared" si="182"/>
        <v>50.666666666666664</v>
      </c>
      <c r="AD631" s="356">
        <f t="shared" si="183"/>
        <v>86974389.28790125</v>
      </c>
    </row>
    <row r="632" spans="2:30" x14ac:dyDescent="0.25">
      <c r="B632" s="356">
        <f t="shared" si="184"/>
        <v>609</v>
      </c>
      <c r="C632" s="357">
        <f t="shared" si="189"/>
        <v>50</v>
      </c>
      <c r="D632" s="357">
        <f t="shared" si="190"/>
        <v>9</v>
      </c>
      <c r="E632" s="357">
        <f t="shared" si="191"/>
        <v>79</v>
      </c>
      <c r="F632" s="356">
        <f t="shared" si="185"/>
        <v>1897748.0799255378</v>
      </c>
      <c r="H632" s="356">
        <f t="shared" si="178"/>
        <v>15132.909688008724</v>
      </c>
      <c r="I632" s="356">
        <v>0</v>
      </c>
      <c r="J632" s="360">
        <f>-SUM(F632:H632)*$J$21</f>
        <v>-17215.92890652192</v>
      </c>
      <c r="K632" s="356">
        <f t="shared" si="186"/>
        <v>-1895.6650607070246</v>
      </c>
      <c r="L632" s="356">
        <f t="shared" si="179"/>
        <v>1893769.3956463174</v>
      </c>
      <c r="N632" s="356">
        <f t="shared" si="187"/>
        <v>609</v>
      </c>
      <c r="O632" s="357">
        <f t="shared" si="192"/>
        <v>50</v>
      </c>
      <c r="P632" s="357">
        <f t="shared" si="193"/>
        <v>9</v>
      </c>
      <c r="Q632" s="357">
        <f t="shared" si="194"/>
        <v>50</v>
      </c>
      <c r="R632" s="356">
        <f t="shared" si="188"/>
        <v>84266583.226581</v>
      </c>
      <c r="S632" s="356">
        <f>IF($G$4="mensual",S631,0)</f>
        <v>10000</v>
      </c>
      <c r="U632" s="356">
        <f t="shared" si="195"/>
        <v>672033.3095169525</v>
      </c>
      <c r="V632" s="356">
        <f t="shared" si="177"/>
        <v>-541.529270986408</v>
      </c>
      <c r="X632" s="356">
        <f t="shared" si="180"/>
        <v>-84948.61653609796</v>
      </c>
      <c r="Y632" s="356">
        <f t="shared" si="181"/>
        <v>84863126.39029087</v>
      </c>
      <c r="AA632" s="357">
        <f>+Bono!J632</f>
        <v>807737.3678597166</v>
      </c>
      <c r="AC632" s="378">
        <f t="shared" si="182"/>
        <v>50.75</v>
      </c>
      <c r="AD632" s="356">
        <f t="shared" si="183"/>
        <v>87564633.15379691</v>
      </c>
    </row>
    <row r="633" spans="2:30" x14ac:dyDescent="0.25">
      <c r="B633" s="356">
        <f t="shared" si="184"/>
        <v>610</v>
      </c>
      <c r="C633" s="357">
        <f t="shared" si="189"/>
        <v>50</v>
      </c>
      <c r="D633" s="357">
        <f t="shared" si="190"/>
        <v>10</v>
      </c>
      <c r="E633" s="357">
        <f t="shared" si="191"/>
        <v>79</v>
      </c>
      <c r="F633" s="356">
        <f t="shared" si="185"/>
        <v>1893769.3956463174</v>
      </c>
      <c r="H633" s="356">
        <f t="shared" si="178"/>
        <v>15101.183100843948</v>
      </c>
      <c r="I633" s="356">
        <v>0</v>
      </c>
      <c r="J633" s="356">
        <v>0</v>
      </c>
      <c r="K633" s="356">
        <f t="shared" si="186"/>
        <v>-1908.8705787471615</v>
      </c>
      <c r="L633" s="356">
        <f t="shared" si="179"/>
        <v>1906961.7081684142</v>
      </c>
      <c r="N633" s="356">
        <f t="shared" si="187"/>
        <v>610</v>
      </c>
      <c r="O633" s="357">
        <f t="shared" si="192"/>
        <v>50</v>
      </c>
      <c r="P633" s="357">
        <f t="shared" si="193"/>
        <v>10</v>
      </c>
      <c r="Q633" s="357">
        <f t="shared" si="194"/>
        <v>50</v>
      </c>
      <c r="R633" s="356">
        <f t="shared" si="188"/>
        <v>84863126.39029087</v>
      </c>
      <c r="S633" s="356">
        <f>IF($G$4="mensual",S624,IF($G$4="trimestral",S624,0))</f>
        <v>10000</v>
      </c>
      <c r="U633" s="356">
        <f t="shared" si="195"/>
        <v>676790.2284762774</v>
      </c>
      <c r="V633" s="356">
        <f t="shared" si="177"/>
        <v>-541.529270986408</v>
      </c>
      <c r="X633" s="356">
        <f t="shared" si="180"/>
        <v>-85549.91661876715</v>
      </c>
      <c r="Y633" s="356">
        <f t="shared" si="181"/>
        <v>85463825.17287739</v>
      </c>
      <c r="AA633" s="357">
        <f>+Bono!J633</f>
        <v>812745.4332321825</v>
      </c>
      <c r="AC633" s="378">
        <f t="shared" si="182"/>
        <v>50.833333333333336</v>
      </c>
      <c r="AD633" s="356">
        <f t="shared" si="183"/>
        <v>88183532.31427799</v>
      </c>
    </row>
    <row r="634" spans="2:30" x14ac:dyDescent="0.25">
      <c r="B634" s="356">
        <f t="shared" si="184"/>
        <v>611</v>
      </c>
      <c r="C634" s="357">
        <f t="shared" si="189"/>
        <v>50</v>
      </c>
      <c r="D634" s="357">
        <f t="shared" si="190"/>
        <v>11</v>
      </c>
      <c r="E634" s="357">
        <f t="shared" si="191"/>
        <v>79</v>
      </c>
      <c r="F634" s="356">
        <f t="shared" si="185"/>
        <v>1906961.7081684142</v>
      </c>
      <c r="H634" s="356">
        <f t="shared" si="178"/>
        <v>15206.380453477133</v>
      </c>
      <c r="I634" s="356">
        <v>0</v>
      </c>
      <c r="J634" s="356">
        <v>0</v>
      </c>
      <c r="K634" s="356">
        <f t="shared" si="186"/>
        <v>-1922.1680886218915</v>
      </c>
      <c r="L634" s="356">
        <f t="shared" si="179"/>
        <v>1920245.9205332694</v>
      </c>
      <c r="N634" s="356">
        <f t="shared" si="187"/>
        <v>611</v>
      </c>
      <c r="O634" s="357">
        <f t="shared" si="192"/>
        <v>50</v>
      </c>
      <c r="P634" s="357">
        <f t="shared" si="193"/>
        <v>11</v>
      </c>
      <c r="Q634" s="357">
        <f t="shared" si="194"/>
        <v>50</v>
      </c>
      <c r="R634" s="356">
        <f t="shared" si="188"/>
        <v>85463825.17287739</v>
      </c>
      <c r="S634" s="356">
        <f>IF($G$17="si",S622*(1+$G$20),S622)</f>
        <v>10000</v>
      </c>
      <c r="U634" s="356">
        <f t="shared" si="195"/>
        <v>681580.2849240939</v>
      </c>
      <c r="V634" s="356">
        <f t="shared" si="177"/>
        <v>-541.529270986408</v>
      </c>
      <c r="X634" s="356">
        <f t="shared" si="180"/>
        <v>-86155.40545780148</v>
      </c>
      <c r="Y634" s="356">
        <f t="shared" si="181"/>
        <v>86068708.52307269</v>
      </c>
      <c r="AA634" s="357">
        <f>+Bono!J634</f>
        <v>817784.5491908573</v>
      </c>
      <c r="AC634" s="378">
        <f t="shared" si="182"/>
        <v>50.916666666666664</v>
      </c>
      <c r="AD634" s="356">
        <f t="shared" si="183"/>
        <v>88806738.99279682</v>
      </c>
    </row>
    <row r="635" spans="2:30" x14ac:dyDescent="0.25">
      <c r="B635" s="356">
        <f t="shared" si="184"/>
        <v>612</v>
      </c>
      <c r="C635" s="357">
        <f t="shared" si="189"/>
        <v>50</v>
      </c>
      <c r="D635" s="357">
        <f t="shared" si="190"/>
        <v>12</v>
      </c>
      <c r="E635" s="357">
        <f t="shared" si="191"/>
        <v>79</v>
      </c>
      <c r="F635" s="356">
        <f t="shared" si="185"/>
        <v>1920245.9205332694</v>
      </c>
      <c r="H635" s="356">
        <f t="shared" si="178"/>
        <v>15312.310628361869</v>
      </c>
      <c r="I635" s="356">
        <v>0</v>
      </c>
      <c r="J635" s="360">
        <f>-SUM(F635:H635)*$J$21</f>
        <v>-17420.02408045468</v>
      </c>
      <c r="K635" s="356">
        <f t="shared" si="186"/>
        <v>-1918.1382070811767</v>
      </c>
      <c r="L635" s="356">
        <f t="shared" si="179"/>
        <v>1916220.0688740953</v>
      </c>
      <c r="N635" s="356">
        <f t="shared" si="187"/>
        <v>612</v>
      </c>
      <c r="O635" s="357">
        <f t="shared" si="192"/>
        <v>50</v>
      </c>
      <c r="P635" s="357">
        <f t="shared" si="193"/>
        <v>12</v>
      </c>
      <c r="Q635" s="357">
        <f t="shared" si="194"/>
        <v>50</v>
      </c>
      <c r="R635" s="356">
        <f t="shared" si="188"/>
        <v>86068708.52307269</v>
      </c>
      <c r="S635" s="356">
        <f>IF($G$4="mensual",S634,0)</f>
        <v>10000</v>
      </c>
      <c r="U635" s="356">
        <f t="shared" si="195"/>
        <v>686403.709701657</v>
      </c>
      <c r="V635" s="356">
        <f t="shared" si="177"/>
        <v>-541.529270986408</v>
      </c>
      <c r="X635" s="356">
        <f t="shared" si="180"/>
        <v>-86765.11223277435</v>
      </c>
      <c r="Y635" s="356">
        <f t="shared" si="181"/>
        <v>86677805.59127058</v>
      </c>
      <c r="AA635" s="357">
        <f>+Bono!J635</f>
        <v>815441.8009714189</v>
      </c>
      <c r="AC635" s="378">
        <f t="shared" si="182"/>
        <v>51</v>
      </c>
      <c r="AD635" s="356">
        <f t="shared" si="183"/>
        <v>89409467.46111609</v>
      </c>
    </row>
    <row r="636" spans="2:30" x14ac:dyDescent="0.25">
      <c r="B636" s="356">
        <f t="shared" si="184"/>
        <v>613</v>
      </c>
      <c r="C636" s="357">
        <f t="shared" si="189"/>
        <v>51</v>
      </c>
      <c r="D636" s="357">
        <f t="shared" si="190"/>
        <v>1</v>
      </c>
      <c r="E636" s="357">
        <f t="shared" si="191"/>
        <v>80</v>
      </c>
      <c r="F636" s="356">
        <f t="shared" si="185"/>
        <v>1916220.0688740953</v>
      </c>
      <c r="H636" s="356">
        <f t="shared" si="178"/>
        <v>15280.20792188568</v>
      </c>
      <c r="I636" s="356">
        <v>0</v>
      </c>
      <c r="J636" s="356">
        <v>0</v>
      </c>
      <c r="K636" s="356">
        <f t="shared" si="186"/>
        <v>-1931.500276795981</v>
      </c>
      <c r="L636" s="356">
        <f t="shared" si="179"/>
        <v>1929568.776519185</v>
      </c>
      <c r="N636" s="356">
        <f t="shared" si="187"/>
        <v>613</v>
      </c>
      <c r="O636" s="357">
        <f t="shared" si="192"/>
        <v>51</v>
      </c>
      <c r="P636" s="357">
        <f t="shared" si="193"/>
        <v>1</v>
      </c>
      <c r="Q636" s="357">
        <f t="shared" si="194"/>
        <v>51</v>
      </c>
      <c r="R636" s="356">
        <f t="shared" si="188"/>
        <v>86677805.59127058</v>
      </c>
      <c r="S636" s="356">
        <f>IF($G$17="si",S624*(1+$G$20),S624)</f>
        <v>10000</v>
      </c>
      <c r="U636" s="356">
        <f t="shared" si="195"/>
        <v>691260.7352583006</v>
      </c>
      <c r="V636" s="356">
        <f>V635*(1+$G$18)</f>
        <v>-563.1904418258644</v>
      </c>
      <c r="X636" s="356">
        <f t="shared" si="180"/>
        <v>-87379.06632652887</v>
      </c>
      <c r="Y636" s="356">
        <f t="shared" si="181"/>
        <v>87291124.06976052</v>
      </c>
      <c r="AA636" s="357">
        <f>+Bono!J636</f>
        <v>820497.6347228362</v>
      </c>
      <c r="AC636" s="378">
        <f t="shared" si="182"/>
        <v>51.083333333333336</v>
      </c>
      <c r="AD636" s="356">
        <f t="shared" si="183"/>
        <v>90041190.48100252</v>
      </c>
    </row>
    <row r="637" spans="2:30" x14ac:dyDescent="0.25">
      <c r="B637" s="356">
        <f t="shared" si="184"/>
        <v>614</v>
      </c>
      <c r="C637" s="357">
        <f t="shared" si="189"/>
        <v>51</v>
      </c>
      <c r="D637" s="357">
        <f t="shared" si="190"/>
        <v>2</v>
      </c>
      <c r="E637" s="357">
        <f t="shared" si="191"/>
        <v>80</v>
      </c>
      <c r="F637" s="356">
        <f t="shared" si="185"/>
        <v>1929568.776519185</v>
      </c>
      <c r="H637" s="356">
        <f t="shared" si="178"/>
        <v>15386.652391192005</v>
      </c>
      <c r="I637" s="356">
        <v>0</v>
      </c>
      <c r="J637" s="356">
        <v>0</v>
      </c>
      <c r="K637" s="356">
        <f t="shared" si="186"/>
        <v>-1944.9554289103771</v>
      </c>
      <c r="L637" s="356">
        <f t="shared" si="179"/>
        <v>1943010.4734814665</v>
      </c>
      <c r="N637" s="356">
        <f t="shared" si="187"/>
        <v>614</v>
      </c>
      <c r="O637" s="357">
        <f t="shared" si="192"/>
        <v>51</v>
      </c>
      <c r="P637" s="357">
        <f t="shared" si="193"/>
        <v>2</v>
      </c>
      <c r="Q637" s="357">
        <f t="shared" si="194"/>
        <v>51</v>
      </c>
      <c r="R637" s="356">
        <f t="shared" si="188"/>
        <v>87291124.06976052</v>
      </c>
      <c r="S637" s="356">
        <f>IF($G$4="mensual",S636,0)</f>
        <v>10000</v>
      </c>
      <c r="U637" s="356">
        <f t="shared" si="195"/>
        <v>696151.4229334209</v>
      </c>
      <c r="V637" s="356">
        <f t="shared" ref="V637:V700" si="196">V636</f>
        <v>-563.1904418258644</v>
      </c>
      <c r="X637" s="356">
        <f t="shared" si="180"/>
        <v>-87997.27549269394</v>
      </c>
      <c r="Y637" s="356">
        <f t="shared" si="181"/>
        <v>87908715.0267594</v>
      </c>
      <c r="AA637" s="357">
        <f>+Bono!J637</f>
        <v>825584.8152299527</v>
      </c>
      <c r="AC637" s="378">
        <f t="shared" si="182"/>
        <v>51.166666666666664</v>
      </c>
      <c r="AD637" s="356">
        <f t="shared" si="183"/>
        <v>90677310.31547081</v>
      </c>
    </row>
    <row r="638" spans="2:30" x14ac:dyDescent="0.25">
      <c r="B638" s="356">
        <f t="shared" si="184"/>
        <v>615</v>
      </c>
      <c r="C638" s="357">
        <f t="shared" si="189"/>
        <v>51</v>
      </c>
      <c r="D638" s="357">
        <f t="shared" si="190"/>
        <v>3</v>
      </c>
      <c r="E638" s="357">
        <f t="shared" si="191"/>
        <v>80</v>
      </c>
      <c r="F638" s="356">
        <f t="shared" si="185"/>
        <v>1943010.4734814665</v>
      </c>
      <c r="H638" s="356">
        <f t="shared" si="178"/>
        <v>15493.838370372008</v>
      </c>
      <c r="I638" s="356">
        <v>0</v>
      </c>
      <c r="J638" s="360">
        <f>-SUM(F638:H638)*$J$21</f>
        <v>-17626.53880666655</v>
      </c>
      <c r="K638" s="356">
        <f t="shared" si="186"/>
        <v>-1940.877773045172</v>
      </c>
      <c r="L638" s="356">
        <f t="shared" si="179"/>
        <v>1938936.895272127</v>
      </c>
      <c r="N638" s="356">
        <f t="shared" si="187"/>
        <v>615</v>
      </c>
      <c r="O638" s="357">
        <f t="shared" si="192"/>
        <v>51</v>
      </c>
      <c r="P638" s="357">
        <f t="shared" si="193"/>
        <v>3</v>
      </c>
      <c r="Q638" s="357">
        <f t="shared" si="194"/>
        <v>51</v>
      </c>
      <c r="R638" s="356">
        <f t="shared" si="188"/>
        <v>87908715.0267594</v>
      </c>
      <c r="S638" s="356">
        <f>IF($G$4="mensual",S637,0)</f>
        <v>10000</v>
      </c>
      <c r="U638" s="356">
        <f t="shared" si="195"/>
        <v>701076.179952151</v>
      </c>
      <c r="V638" s="356">
        <f t="shared" si="196"/>
        <v>-563.1904418258644</v>
      </c>
      <c r="X638" s="356">
        <f t="shared" si="180"/>
        <v>-88619.79120671155</v>
      </c>
      <c r="Y638" s="356">
        <f t="shared" si="181"/>
        <v>88530608.225063</v>
      </c>
      <c r="AA638" s="357">
        <f>+Bono!J638</f>
        <v>823219.7211990259</v>
      </c>
      <c r="AC638" s="378">
        <f t="shared" si="182"/>
        <v>51.25</v>
      </c>
      <c r="AD638" s="356">
        <f t="shared" si="183"/>
        <v>91292764.84153414</v>
      </c>
    </row>
    <row r="639" spans="2:30" x14ac:dyDescent="0.25">
      <c r="B639" s="356">
        <f t="shared" si="184"/>
        <v>616</v>
      </c>
      <c r="C639" s="357">
        <f t="shared" si="189"/>
        <v>51</v>
      </c>
      <c r="D639" s="357">
        <f t="shared" si="190"/>
        <v>4</v>
      </c>
      <c r="E639" s="357">
        <f t="shared" si="191"/>
        <v>80</v>
      </c>
      <c r="F639" s="356">
        <f t="shared" si="185"/>
        <v>1938936.895272127</v>
      </c>
      <c r="H639" s="356">
        <f t="shared" si="178"/>
        <v>15461.355085682611</v>
      </c>
      <c r="I639" s="356">
        <v>0</v>
      </c>
      <c r="J639" s="356">
        <v>0</v>
      </c>
      <c r="K639" s="356">
        <f t="shared" si="186"/>
        <v>-1954.3982503578095</v>
      </c>
      <c r="L639" s="356">
        <f t="shared" si="179"/>
        <v>1952443.8521074518</v>
      </c>
      <c r="N639" s="356">
        <f t="shared" si="187"/>
        <v>616</v>
      </c>
      <c r="O639" s="357">
        <f t="shared" si="192"/>
        <v>51</v>
      </c>
      <c r="P639" s="357">
        <f t="shared" si="193"/>
        <v>4</v>
      </c>
      <c r="Q639" s="357">
        <f t="shared" si="194"/>
        <v>51</v>
      </c>
      <c r="R639" s="356">
        <f t="shared" si="188"/>
        <v>88530608.225063</v>
      </c>
      <c r="S639" s="356">
        <f>IF($G$4="mensual",S636,IF($G$4="trimestral",S636,0))</f>
        <v>10000</v>
      </c>
      <c r="U639" s="356">
        <f t="shared" si="195"/>
        <v>706035.243647204</v>
      </c>
      <c r="V639" s="356">
        <f t="shared" si="196"/>
        <v>-563.1904418258644</v>
      </c>
      <c r="X639" s="356">
        <f t="shared" si="180"/>
        <v>-89246.6434687102</v>
      </c>
      <c r="Y639" s="356">
        <f t="shared" si="181"/>
        <v>89156833.63479966</v>
      </c>
      <c r="AA639" s="357">
        <f>+Bono!J639</f>
        <v>828323.7789580371</v>
      </c>
      <c r="AC639" s="378">
        <f t="shared" si="182"/>
        <v>51.333333333333336</v>
      </c>
      <c r="AD639" s="356">
        <f t="shared" si="183"/>
        <v>91937601.26586515</v>
      </c>
    </row>
    <row r="640" spans="2:30" x14ac:dyDescent="0.25">
      <c r="B640" s="356">
        <f t="shared" si="184"/>
        <v>617</v>
      </c>
      <c r="C640" s="357">
        <f t="shared" si="189"/>
        <v>51</v>
      </c>
      <c r="D640" s="357">
        <f t="shared" si="190"/>
        <v>5</v>
      </c>
      <c r="E640" s="357">
        <f t="shared" si="191"/>
        <v>80</v>
      </c>
      <c r="F640" s="356">
        <f t="shared" si="185"/>
        <v>1952443.8521074518</v>
      </c>
      <c r="H640" s="356">
        <f t="shared" si="178"/>
        <v>15569.061456254633</v>
      </c>
      <c r="I640" s="356">
        <v>0</v>
      </c>
      <c r="J640" s="356">
        <v>0</v>
      </c>
      <c r="K640" s="356">
        <f t="shared" si="186"/>
        <v>-1968.0129135637064</v>
      </c>
      <c r="L640" s="356">
        <f t="shared" si="179"/>
        <v>1966044.9006501427</v>
      </c>
      <c r="N640" s="356">
        <f t="shared" si="187"/>
        <v>617</v>
      </c>
      <c r="O640" s="357">
        <f t="shared" si="192"/>
        <v>51</v>
      </c>
      <c r="P640" s="357">
        <f t="shared" si="193"/>
        <v>5</v>
      </c>
      <c r="Q640" s="357">
        <f t="shared" si="194"/>
        <v>51</v>
      </c>
      <c r="R640" s="356">
        <f t="shared" si="188"/>
        <v>89156833.63479966</v>
      </c>
      <c r="S640" s="356">
        <f>IF($G$4="mensual",S639,0)</f>
        <v>10000</v>
      </c>
      <c r="U640" s="356">
        <f t="shared" si="195"/>
        <v>711028.853004592</v>
      </c>
      <c r="V640" s="356">
        <f t="shared" si="196"/>
        <v>-563.1904418258644</v>
      </c>
      <c r="X640" s="356">
        <f t="shared" si="180"/>
        <v>-89877.86248780425</v>
      </c>
      <c r="Y640" s="356">
        <f t="shared" si="181"/>
        <v>89787421.43487461</v>
      </c>
      <c r="AA640" s="357">
        <f>+Bono!J640</f>
        <v>833459.4824671884</v>
      </c>
      <c r="AC640" s="378">
        <f t="shared" si="182"/>
        <v>51.416666666666664</v>
      </c>
      <c r="AD640" s="356">
        <f t="shared" si="183"/>
        <v>92586925.81799194</v>
      </c>
    </row>
    <row r="641" spans="2:30" x14ac:dyDescent="0.25">
      <c r="B641" s="356">
        <f t="shared" si="184"/>
        <v>618</v>
      </c>
      <c r="C641" s="357">
        <f t="shared" si="189"/>
        <v>51</v>
      </c>
      <c r="D641" s="357">
        <f t="shared" si="190"/>
        <v>6</v>
      </c>
      <c r="E641" s="357">
        <f t="shared" si="191"/>
        <v>80</v>
      </c>
      <c r="F641" s="356">
        <f t="shared" si="185"/>
        <v>1966044.9006501427</v>
      </c>
      <c r="H641" s="356">
        <f t="shared" si="178"/>
        <v>15677.518127314388</v>
      </c>
      <c r="I641" s="356">
        <v>0</v>
      </c>
      <c r="J641" s="360">
        <f>-SUM(F641:H641)*$J$21</f>
        <v>-17835.501768997114</v>
      </c>
      <c r="K641" s="356">
        <f t="shared" si="186"/>
        <v>-1963.88691700846</v>
      </c>
      <c r="L641" s="356">
        <f t="shared" si="179"/>
        <v>1961923.0300914512</v>
      </c>
      <c r="N641" s="356">
        <f t="shared" si="187"/>
        <v>618</v>
      </c>
      <c r="O641" s="357">
        <f t="shared" si="192"/>
        <v>51</v>
      </c>
      <c r="P641" s="357">
        <f t="shared" si="193"/>
        <v>6</v>
      </c>
      <c r="Q641" s="357">
        <f t="shared" si="194"/>
        <v>51</v>
      </c>
      <c r="R641" s="356">
        <f t="shared" si="188"/>
        <v>89787421.43487461</v>
      </c>
      <c r="S641" s="356">
        <f>IF($G$4="mensual",S640,0)</f>
        <v>10000</v>
      </c>
      <c r="U641" s="356">
        <f t="shared" si="195"/>
        <v>716057.2486751431</v>
      </c>
      <c r="V641" s="356">
        <f t="shared" si="196"/>
        <v>-563.1904418258644</v>
      </c>
      <c r="X641" s="356">
        <f t="shared" si="180"/>
        <v>-90513.47868354975</v>
      </c>
      <c r="Y641" s="356">
        <f t="shared" si="181"/>
        <v>90422402.01442437</v>
      </c>
      <c r="AA641" s="357">
        <f>+Bono!J641</f>
        <v>831071.8294839471</v>
      </c>
      <c r="AC641" s="378">
        <f t="shared" si="182"/>
        <v>51.5</v>
      </c>
      <c r="AD641" s="356">
        <f t="shared" si="183"/>
        <v>93215396.87399976</v>
      </c>
    </row>
    <row r="642" spans="2:30" x14ac:dyDescent="0.25">
      <c r="B642" s="356">
        <f t="shared" si="184"/>
        <v>619</v>
      </c>
      <c r="C642" s="357">
        <f t="shared" si="189"/>
        <v>51</v>
      </c>
      <c r="D642" s="357">
        <f t="shared" si="190"/>
        <v>7</v>
      </c>
      <c r="E642" s="357">
        <f t="shared" si="191"/>
        <v>80</v>
      </c>
      <c r="F642" s="356">
        <f t="shared" si="185"/>
        <v>1961923.0300914512</v>
      </c>
      <c r="H642" s="356">
        <f t="shared" si="178"/>
        <v>15644.649752649619</v>
      </c>
      <c r="I642" s="356">
        <v>0</v>
      </c>
      <c r="J642" s="356">
        <v>0</v>
      </c>
      <c r="K642" s="356">
        <f t="shared" si="186"/>
        <v>-1977.567679844101</v>
      </c>
      <c r="L642" s="356">
        <f t="shared" si="179"/>
        <v>1975590.1121642569</v>
      </c>
      <c r="N642" s="356">
        <f t="shared" si="187"/>
        <v>619</v>
      </c>
      <c r="O642" s="357">
        <f t="shared" si="192"/>
        <v>51</v>
      </c>
      <c r="P642" s="357">
        <f t="shared" si="193"/>
        <v>7</v>
      </c>
      <c r="Q642" s="357">
        <f t="shared" si="194"/>
        <v>51</v>
      </c>
      <c r="R642" s="356">
        <f t="shared" si="188"/>
        <v>90422402.01442437</v>
      </c>
      <c r="S642" s="356">
        <f>+IF($G$4="mensual",S636,IF($G$4="trimestral",S636,IF($G$4="semestral",S636,0)))</f>
        <v>10000</v>
      </c>
      <c r="U642" s="356">
        <f t="shared" si="195"/>
        <v>721120.6729860996</v>
      </c>
      <c r="V642" s="356">
        <f t="shared" si="196"/>
        <v>-563.1904418258644</v>
      </c>
      <c r="X642" s="356">
        <f t="shared" si="180"/>
        <v>-91153.52268741047</v>
      </c>
      <c r="Y642" s="356">
        <f t="shared" si="181"/>
        <v>91061805.97428124</v>
      </c>
      <c r="AA642" s="357">
        <f>+Bono!J642</f>
        <v>836224.5712251131</v>
      </c>
      <c r="AC642" s="378">
        <f t="shared" si="182"/>
        <v>51.583333333333336</v>
      </c>
      <c r="AD642" s="356">
        <f t="shared" si="183"/>
        <v>93873620.6576706</v>
      </c>
    </row>
    <row r="643" spans="2:30" x14ac:dyDescent="0.25">
      <c r="B643" s="356">
        <f t="shared" si="184"/>
        <v>620</v>
      </c>
      <c r="C643" s="357">
        <f t="shared" si="189"/>
        <v>51</v>
      </c>
      <c r="D643" s="357">
        <f t="shared" si="190"/>
        <v>8</v>
      </c>
      <c r="E643" s="357">
        <f t="shared" si="191"/>
        <v>80</v>
      </c>
      <c r="F643" s="356">
        <f t="shared" si="185"/>
        <v>1975590.1121642569</v>
      </c>
      <c r="H643" s="356">
        <f t="shared" si="178"/>
        <v>15753.632984351523</v>
      </c>
      <c r="I643" s="356">
        <v>0</v>
      </c>
      <c r="J643" s="356">
        <v>0</v>
      </c>
      <c r="K643" s="356">
        <f t="shared" si="186"/>
        <v>-1991.3437451486086</v>
      </c>
      <c r="L643" s="356">
        <f t="shared" si="179"/>
        <v>1989352.40140346</v>
      </c>
      <c r="N643" s="356">
        <f t="shared" si="187"/>
        <v>620</v>
      </c>
      <c r="O643" s="357">
        <f t="shared" si="192"/>
        <v>51</v>
      </c>
      <c r="P643" s="357">
        <f t="shared" si="193"/>
        <v>8</v>
      </c>
      <c r="Q643" s="357">
        <f t="shared" si="194"/>
        <v>51</v>
      </c>
      <c r="R643" s="356">
        <f t="shared" si="188"/>
        <v>91061805.97428124</v>
      </c>
      <c r="S643" s="356">
        <f>IF($G$4="mensual",S642,0)</f>
        <v>10000</v>
      </c>
      <c r="U643" s="356">
        <f t="shared" si="195"/>
        <v>726219.3699527953</v>
      </c>
      <c r="V643" s="356">
        <f t="shared" si="196"/>
        <v>-563.1904418258644</v>
      </c>
      <c r="X643" s="356">
        <f t="shared" si="180"/>
        <v>-91798.02534423403</v>
      </c>
      <c r="Y643" s="356">
        <f t="shared" si="181"/>
        <v>91705664.12844796</v>
      </c>
      <c r="AA643" s="357">
        <f>+Bono!J643</f>
        <v>841409.2605627555</v>
      </c>
      <c r="AC643" s="378">
        <f t="shared" si="182"/>
        <v>51.666666666666664</v>
      </c>
      <c r="AD643" s="356">
        <f t="shared" si="183"/>
        <v>94536425.79041418</v>
      </c>
    </row>
    <row r="644" spans="2:30" x14ac:dyDescent="0.25">
      <c r="B644" s="356">
        <f t="shared" si="184"/>
        <v>621</v>
      </c>
      <c r="C644" s="357">
        <f t="shared" si="189"/>
        <v>51</v>
      </c>
      <c r="D644" s="357">
        <f t="shared" si="190"/>
        <v>9</v>
      </c>
      <c r="E644" s="357">
        <f t="shared" si="191"/>
        <v>80</v>
      </c>
      <c r="F644" s="356">
        <f t="shared" si="185"/>
        <v>1989352.40140346</v>
      </c>
      <c r="H644" s="356">
        <f t="shared" si="178"/>
        <v>15863.375411368119</v>
      </c>
      <c r="I644" s="356">
        <v>0</v>
      </c>
      <c r="J644" s="360">
        <f>-SUM(F644:H644)*$J$21</f>
        <v>-18046.941991333457</v>
      </c>
      <c r="K644" s="356">
        <f t="shared" si="186"/>
        <v>-1987.1688348234948</v>
      </c>
      <c r="L644" s="356">
        <f t="shared" si="179"/>
        <v>1985181.6659886714</v>
      </c>
      <c r="N644" s="356">
        <f t="shared" si="187"/>
        <v>621</v>
      </c>
      <c r="O644" s="357">
        <f t="shared" si="192"/>
        <v>51</v>
      </c>
      <c r="P644" s="357">
        <f t="shared" si="193"/>
        <v>9</v>
      </c>
      <c r="Q644" s="357">
        <f t="shared" si="194"/>
        <v>51</v>
      </c>
      <c r="R644" s="356">
        <f t="shared" si="188"/>
        <v>91705664.12844796</v>
      </c>
      <c r="S644" s="356">
        <f>IF($G$4="mensual",S643,0)</f>
        <v>10000</v>
      </c>
      <c r="U644" s="356">
        <f t="shared" si="195"/>
        <v>731353.5852904157</v>
      </c>
      <c r="V644" s="356">
        <f t="shared" si="196"/>
        <v>-563.1904418258644</v>
      </c>
      <c r="X644" s="356">
        <f t="shared" si="180"/>
        <v>-92447.01771373839</v>
      </c>
      <c r="Y644" s="356">
        <f t="shared" si="181"/>
        <v>92354007.50558281</v>
      </c>
      <c r="AA644" s="357">
        <f>+Bono!J644</f>
        <v>838998.8334533746</v>
      </c>
      <c r="AC644" s="378">
        <f t="shared" si="182"/>
        <v>51.75</v>
      </c>
      <c r="AD644" s="356">
        <f t="shared" si="183"/>
        <v>95178188.00502485</v>
      </c>
    </row>
    <row r="645" spans="2:30" x14ac:dyDescent="0.25">
      <c r="B645" s="356">
        <f t="shared" si="184"/>
        <v>622</v>
      </c>
      <c r="C645" s="357">
        <f t="shared" si="189"/>
        <v>51</v>
      </c>
      <c r="D645" s="357">
        <f t="shared" si="190"/>
        <v>10</v>
      </c>
      <c r="E645" s="357">
        <f t="shared" si="191"/>
        <v>80</v>
      </c>
      <c r="F645" s="356">
        <f t="shared" si="185"/>
        <v>1985181.6659886714</v>
      </c>
      <c r="H645" s="356">
        <f t="shared" si="178"/>
        <v>15830.117381478793</v>
      </c>
      <c r="I645" s="356">
        <v>0</v>
      </c>
      <c r="J645" s="356">
        <v>0</v>
      </c>
      <c r="K645" s="356">
        <f t="shared" si="186"/>
        <v>-2001.0117833701504</v>
      </c>
      <c r="L645" s="356">
        <f t="shared" si="179"/>
        <v>1999010.7715867802</v>
      </c>
      <c r="N645" s="356">
        <f t="shared" si="187"/>
        <v>622</v>
      </c>
      <c r="O645" s="357">
        <f t="shared" si="192"/>
        <v>51</v>
      </c>
      <c r="P645" s="357">
        <f t="shared" si="193"/>
        <v>10</v>
      </c>
      <c r="Q645" s="357">
        <f t="shared" si="194"/>
        <v>51</v>
      </c>
      <c r="R645" s="356">
        <f t="shared" si="188"/>
        <v>92354007.50558281</v>
      </c>
      <c r="S645" s="356">
        <f>IF($G$4="mensual",S636,IF($G$4="trimestral",S636,0))</f>
        <v>10000</v>
      </c>
      <c r="U645" s="356">
        <f t="shared" si="195"/>
        <v>736523.5664258386</v>
      </c>
      <c r="V645" s="356">
        <f t="shared" si="196"/>
        <v>-563.1904418258644</v>
      </c>
      <c r="X645" s="356">
        <f t="shared" si="180"/>
        <v>-93100.53107200866</v>
      </c>
      <c r="Y645" s="356">
        <f t="shared" si="181"/>
        <v>93006867.35049482</v>
      </c>
      <c r="AA645" s="357">
        <f>+Bono!J645</f>
        <v>844200.7235386267</v>
      </c>
      <c r="AC645" s="378">
        <f t="shared" si="182"/>
        <v>51.833333333333336</v>
      </c>
      <c r="AD645" s="356">
        <f t="shared" si="183"/>
        <v>95850078.84562021</v>
      </c>
    </row>
    <row r="646" spans="2:30" x14ac:dyDescent="0.25">
      <c r="B646" s="356">
        <f t="shared" si="184"/>
        <v>623</v>
      </c>
      <c r="C646" s="357">
        <f t="shared" si="189"/>
        <v>51</v>
      </c>
      <c r="D646" s="357">
        <f t="shared" si="190"/>
        <v>11</v>
      </c>
      <c r="E646" s="357">
        <f t="shared" si="191"/>
        <v>80</v>
      </c>
      <c r="F646" s="356">
        <f t="shared" si="185"/>
        <v>1999010.7715867802</v>
      </c>
      <c r="H646" s="356">
        <f t="shared" si="178"/>
        <v>15940.392611524252</v>
      </c>
      <c r="I646" s="356">
        <v>0</v>
      </c>
      <c r="J646" s="356">
        <v>0</v>
      </c>
      <c r="K646" s="356">
        <f t="shared" si="186"/>
        <v>-2014.9511641983045</v>
      </c>
      <c r="L646" s="356">
        <f t="shared" si="179"/>
        <v>2012936.2130341062</v>
      </c>
      <c r="N646" s="356">
        <f t="shared" si="187"/>
        <v>623</v>
      </c>
      <c r="O646" s="357">
        <f t="shared" si="192"/>
        <v>51</v>
      </c>
      <c r="P646" s="357">
        <f t="shared" si="193"/>
        <v>11</v>
      </c>
      <c r="Q646" s="357">
        <f t="shared" si="194"/>
        <v>51</v>
      </c>
      <c r="R646" s="356">
        <f t="shared" si="188"/>
        <v>93006867.35049482</v>
      </c>
      <c r="S646" s="356">
        <f>IF($G$17="si",S634*(1+$G$20),S634)</f>
        <v>10000</v>
      </c>
      <c r="U646" s="356">
        <f t="shared" si="195"/>
        <v>741729.5625095593</v>
      </c>
      <c r="V646" s="356">
        <f t="shared" si="196"/>
        <v>-563.1904418258644</v>
      </c>
      <c r="X646" s="356">
        <f t="shared" si="180"/>
        <v>-93758.59691300438</v>
      </c>
      <c r="Y646" s="356">
        <f t="shared" si="181"/>
        <v>93664275.12564954</v>
      </c>
      <c r="AA646" s="357">
        <f>+Bono!J646</f>
        <v>849434.8659457893</v>
      </c>
      <c r="AC646" s="378">
        <f t="shared" si="182"/>
        <v>51.916666666666664</v>
      </c>
      <c r="AD646" s="356">
        <f t="shared" si="183"/>
        <v>96526646.20462944</v>
      </c>
    </row>
    <row r="647" spans="2:30" x14ac:dyDescent="0.25">
      <c r="B647" s="356">
        <f t="shared" si="184"/>
        <v>624</v>
      </c>
      <c r="C647" s="357">
        <f t="shared" si="189"/>
        <v>51</v>
      </c>
      <c r="D647" s="357">
        <f t="shared" si="190"/>
        <v>12</v>
      </c>
      <c r="E647" s="357">
        <f t="shared" si="191"/>
        <v>80</v>
      </c>
      <c r="F647" s="356">
        <f t="shared" si="185"/>
        <v>2012936.2130341062</v>
      </c>
      <c r="H647" s="356">
        <f t="shared" si="178"/>
        <v>16051.436037159707</v>
      </c>
      <c r="I647" s="356">
        <v>0</v>
      </c>
      <c r="J647" s="360">
        <f>-SUM(F647:H647)*$J$21</f>
        <v>-18260.888841641397</v>
      </c>
      <c r="K647" s="356">
        <f t="shared" si="186"/>
        <v>-2010.7267602296247</v>
      </c>
      <c r="L647" s="356">
        <f t="shared" si="179"/>
        <v>2008716.033469395</v>
      </c>
      <c r="N647" s="356">
        <f t="shared" si="187"/>
        <v>624</v>
      </c>
      <c r="O647" s="357">
        <f t="shared" si="192"/>
        <v>51</v>
      </c>
      <c r="P647" s="357">
        <f t="shared" si="193"/>
        <v>12</v>
      </c>
      <c r="Q647" s="357">
        <f t="shared" si="194"/>
        <v>51</v>
      </c>
      <c r="R647" s="356">
        <f t="shared" si="188"/>
        <v>93664275.12564954</v>
      </c>
      <c r="S647" s="356">
        <f>IF($G$4="mensual",S646,0)</f>
        <v>10000</v>
      </c>
      <c r="U647" s="356">
        <f t="shared" si="195"/>
        <v>746971.8244276963</v>
      </c>
      <c r="V647" s="356">
        <f t="shared" si="196"/>
        <v>-563.1904418258644</v>
      </c>
      <c r="X647" s="356">
        <f t="shared" si="180"/>
        <v>-94421.24695007724</v>
      </c>
      <c r="Y647" s="356">
        <f t="shared" si="181"/>
        <v>94326262.51268533</v>
      </c>
      <c r="AA647" s="357">
        <f>+Bono!J647</f>
        <v>847001.4474840532</v>
      </c>
      <c r="AC647" s="378">
        <f t="shared" si="182"/>
        <v>52</v>
      </c>
      <c r="AD647" s="356">
        <f t="shared" si="183"/>
        <v>97181979.99363877</v>
      </c>
    </row>
    <row r="648" spans="2:30" x14ac:dyDescent="0.25">
      <c r="B648" s="356">
        <f t="shared" si="184"/>
        <v>625</v>
      </c>
      <c r="C648" s="357">
        <f t="shared" si="189"/>
        <v>52</v>
      </c>
      <c r="D648" s="357">
        <f t="shared" si="190"/>
        <v>1</v>
      </c>
      <c r="E648" s="357">
        <f t="shared" si="191"/>
        <v>81</v>
      </c>
      <c r="F648" s="356">
        <f t="shared" si="185"/>
        <v>2008716.033469395</v>
      </c>
      <c r="H648" s="356">
        <f t="shared" si="178"/>
        <v>16017.783732675509</v>
      </c>
      <c r="I648" s="356">
        <v>0</v>
      </c>
      <c r="J648" s="356">
        <v>0</v>
      </c>
      <c r="K648" s="356">
        <f t="shared" si="186"/>
        <v>-2024.7338172020704</v>
      </c>
      <c r="L648" s="356">
        <f t="shared" si="179"/>
        <v>2022709.0833848685</v>
      </c>
      <c r="N648" s="356">
        <f t="shared" si="187"/>
        <v>625</v>
      </c>
      <c r="O648" s="357">
        <f t="shared" si="192"/>
        <v>52</v>
      </c>
      <c r="P648" s="357">
        <f t="shared" si="193"/>
        <v>1</v>
      </c>
      <c r="Q648" s="357">
        <f t="shared" si="194"/>
        <v>52</v>
      </c>
      <c r="R648" s="356">
        <f t="shared" si="188"/>
        <v>94326262.51268533</v>
      </c>
      <c r="S648" s="356">
        <f>IF($G$17="si",S636*(1+$G$20),S636)</f>
        <v>10000</v>
      </c>
      <c r="U648" s="356">
        <f t="shared" si="195"/>
        <v>752250.6048140827</v>
      </c>
      <c r="V648" s="356">
        <f>V647*(1+$G$18)</f>
        <v>-585.7180594988989</v>
      </c>
      <c r="X648" s="356">
        <f t="shared" si="180"/>
        <v>-95088.51311749942</v>
      </c>
      <c r="Y648" s="356">
        <f t="shared" si="181"/>
        <v>94992838.88632242</v>
      </c>
      <c r="AA648" s="357">
        <f>+Bono!J648</f>
        <v>852252.9547045412</v>
      </c>
      <c r="AC648" s="378">
        <f t="shared" si="182"/>
        <v>52.083333333333336</v>
      </c>
      <c r="AD648" s="356">
        <f t="shared" si="183"/>
        <v>97867800.92441183</v>
      </c>
    </row>
    <row r="649" spans="2:30" x14ac:dyDescent="0.25">
      <c r="B649" s="356">
        <f t="shared" si="184"/>
        <v>626</v>
      </c>
      <c r="C649" s="357">
        <f t="shared" si="189"/>
        <v>52</v>
      </c>
      <c r="D649" s="357">
        <f t="shared" si="190"/>
        <v>2</v>
      </c>
      <c r="E649" s="357">
        <f t="shared" si="191"/>
        <v>81</v>
      </c>
      <c r="F649" s="356">
        <f t="shared" si="185"/>
        <v>2022709.0833848685</v>
      </c>
      <c r="H649" s="356">
        <f t="shared" si="178"/>
        <v>16129.366277730154</v>
      </c>
      <c r="I649" s="356">
        <v>0</v>
      </c>
      <c r="J649" s="356">
        <v>0</v>
      </c>
      <c r="K649" s="356">
        <f t="shared" si="186"/>
        <v>-2038.8384496625986</v>
      </c>
      <c r="L649" s="356">
        <f t="shared" si="179"/>
        <v>2036799.611212936</v>
      </c>
      <c r="N649" s="356">
        <f t="shared" si="187"/>
        <v>626</v>
      </c>
      <c r="O649" s="357">
        <f t="shared" si="192"/>
        <v>52</v>
      </c>
      <c r="P649" s="357">
        <f t="shared" si="193"/>
        <v>2</v>
      </c>
      <c r="Q649" s="357">
        <f t="shared" si="194"/>
        <v>52</v>
      </c>
      <c r="R649" s="356">
        <f t="shared" si="188"/>
        <v>94992838.88632242</v>
      </c>
      <c r="S649" s="356">
        <f>IF($G$4="mensual",S648,0)</f>
        <v>10000</v>
      </c>
      <c r="U649" s="356">
        <f t="shared" si="195"/>
        <v>757565.9784240543</v>
      </c>
      <c r="V649" s="356">
        <f>V648</f>
        <v>-585.7180594988989</v>
      </c>
      <c r="X649" s="356">
        <f t="shared" si="180"/>
        <v>-95760.40486474648</v>
      </c>
      <c r="Y649" s="356">
        <f t="shared" si="181"/>
        <v>95664058.74182224</v>
      </c>
      <c r="AA649" s="357">
        <f>+Bono!J649</f>
        <v>857537.0218789335</v>
      </c>
      <c r="AC649" s="378">
        <f t="shared" si="182"/>
        <v>52.166666666666664</v>
      </c>
      <c r="AD649" s="356">
        <f t="shared" si="183"/>
        <v>98558395.37491411</v>
      </c>
    </row>
    <row r="650" spans="2:30" x14ac:dyDescent="0.25">
      <c r="B650" s="356">
        <f t="shared" si="184"/>
        <v>627</v>
      </c>
      <c r="C650" s="357">
        <f t="shared" si="189"/>
        <v>52</v>
      </c>
      <c r="D650" s="357">
        <f t="shared" si="190"/>
        <v>3</v>
      </c>
      <c r="E650" s="357">
        <f t="shared" si="191"/>
        <v>81</v>
      </c>
      <c r="F650" s="356">
        <f t="shared" si="185"/>
        <v>2036799.611212936</v>
      </c>
      <c r="H650" s="356">
        <f t="shared" si="178"/>
        <v>16241.726125348541</v>
      </c>
      <c r="I650" s="356">
        <v>0</v>
      </c>
      <c r="J650" s="360">
        <f>-SUM(F650:H650)*$J$21</f>
        <v>-18477.372036044562</v>
      </c>
      <c r="K650" s="356">
        <f t="shared" si="186"/>
        <v>-2034.5639653022401</v>
      </c>
      <c r="L650" s="356">
        <f t="shared" si="179"/>
        <v>2032529.401336938</v>
      </c>
      <c r="N650" s="356">
        <f t="shared" si="187"/>
        <v>627</v>
      </c>
      <c r="O650" s="357">
        <f t="shared" si="192"/>
        <v>52</v>
      </c>
      <c r="P650" s="357">
        <f t="shared" si="193"/>
        <v>3</v>
      </c>
      <c r="Q650" s="357">
        <f t="shared" si="194"/>
        <v>52</v>
      </c>
      <c r="R650" s="356">
        <f t="shared" si="188"/>
        <v>95664058.74182224</v>
      </c>
      <c r="S650" s="356">
        <f>IF($G$4="mensual",S649,0)</f>
        <v>10000</v>
      </c>
      <c r="U650" s="356">
        <f t="shared" si="195"/>
        <v>762918.3798104783</v>
      </c>
      <c r="V650" s="356">
        <f t="shared" si="196"/>
        <v>-585.7180594988989</v>
      </c>
      <c r="X650" s="356">
        <f t="shared" si="180"/>
        <v>-96436.97712163272</v>
      </c>
      <c r="Y650" s="356">
        <f t="shared" si="181"/>
        <v>96339954.4264516</v>
      </c>
      <c r="AA650" s="357">
        <f>+Bono!J650</f>
        <v>855080.3927666602</v>
      </c>
      <c r="AC650" s="378">
        <f t="shared" si="182"/>
        <v>52.25</v>
      </c>
      <c r="AD650" s="356">
        <f t="shared" si="183"/>
        <v>99227564.22055519</v>
      </c>
    </row>
    <row r="651" spans="2:30" x14ac:dyDescent="0.25">
      <c r="B651" s="356">
        <f t="shared" si="184"/>
        <v>628</v>
      </c>
      <c r="C651" s="357">
        <f t="shared" si="189"/>
        <v>52</v>
      </c>
      <c r="D651" s="357">
        <f t="shared" si="190"/>
        <v>4</v>
      </c>
      <c r="E651" s="357">
        <f t="shared" si="191"/>
        <v>81</v>
      </c>
      <c r="F651" s="356">
        <f t="shared" si="185"/>
        <v>2032529.401336938</v>
      </c>
      <c r="H651" s="356">
        <f t="shared" si="178"/>
        <v>16207.674872136442</v>
      </c>
      <c r="I651" s="356">
        <v>0</v>
      </c>
      <c r="J651" s="356">
        <v>0</v>
      </c>
      <c r="K651" s="356">
        <f t="shared" si="186"/>
        <v>-2048.7370762090745</v>
      </c>
      <c r="L651" s="356">
        <f t="shared" si="179"/>
        <v>2046688.3391328652</v>
      </c>
      <c r="N651" s="356">
        <f t="shared" si="187"/>
        <v>628</v>
      </c>
      <c r="O651" s="357">
        <f t="shared" si="192"/>
        <v>52</v>
      </c>
      <c r="P651" s="357">
        <f t="shared" si="193"/>
        <v>4</v>
      </c>
      <c r="Q651" s="357">
        <f t="shared" si="194"/>
        <v>52</v>
      </c>
      <c r="R651" s="356">
        <f t="shared" si="188"/>
        <v>96339954.4264516</v>
      </c>
      <c r="S651" s="356">
        <f>IF($G$4="mensual",S648,IF($G$4="trimestral",S648,0))</f>
        <v>10000</v>
      </c>
      <c r="U651" s="356">
        <f t="shared" si="195"/>
        <v>768308.0669150029</v>
      </c>
      <c r="V651" s="356">
        <f t="shared" si="196"/>
        <v>-585.7180594988989</v>
      </c>
      <c r="X651" s="356">
        <f t="shared" si="180"/>
        <v>-97118.2624933666</v>
      </c>
      <c r="Y651" s="356">
        <f t="shared" si="181"/>
        <v>97020558.51281373</v>
      </c>
      <c r="AA651" s="357">
        <f>+Bono!J651</f>
        <v>860381.990385</v>
      </c>
      <c r="AC651" s="378">
        <f t="shared" si="182"/>
        <v>52.333333333333336</v>
      </c>
      <c r="AD651" s="356">
        <f t="shared" si="183"/>
        <v>99927628.84233159</v>
      </c>
    </row>
    <row r="652" spans="2:30" x14ac:dyDescent="0.25">
      <c r="B652" s="356">
        <f t="shared" si="184"/>
        <v>629</v>
      </c>
      <c r="C652" s="357">
        <f t="shared" si="189"/>
        <v>52</v>
      </c>
      <c r="D652" s="357">
        <f t="shared" si="190"/>
        <v>5</v>
      </c>
      <c r="E652" s="357">
        <f t="shared" si="191"/>
        <v>81</v>
      </c>
      <c r="F652" s="356">
        <f t="shared" si="185"/>
        <v>2046688.3391328652</v>
      </c>
      <c r="H652" s="356">
        <f t="shared" si="178"/>
        <v>16320.580230445279</v>
      </c>
      <c r="I652" s="356">
        <v>0</v>
      </c>
      <c r="J652" s="356">
        <v>0</v>
      </c>
      <c r="K652" s="356">
        <f t="shared" si="186"/>
        <v>-2063.0089193633107</v>
      </c>
      <c r="L652" s="356">
        <f t="shared" si="179"/>
        <v>2060945.9104439472</v>
      </c>
      <c r="N652" s="356">
        <f t="shared" si="187"/>
        <v>629</v>
      </c>
      <c r="O652" s="357">
        <f t="shared" si="192"/>
        <v>52</v>
      </c>
      <c r="P652" s="357">
        <f t="shared" si="193"/>
        <v>5</v>
      </c>
      <c r="Q652" s="357">
        <f t="shared" si="194"/>
        <v>52</v>
      </c>
      <c r="R652" s="356">
        <f t="shared" si="188"/>
        <v>97020558.51281373</v>
      </c>
      <c r="S652" s="356">
        <f>IF($G$4="mensual",S651,0)</f>
        <v>10000</v>
      </c>
      <c r="U652" s="356">
        <f t="shared" si="195"/>
        <v>773735.2994761403</v>
      </c>
      <c r="V652" s="356">
        <f t="shared" si="196"/>
        <v>-585.7180594988989</v>
      </c>
      <c r="X652" s="356">
        <f t="shared" si="180"/>
        <v>-97804.29381228988</v>
      </c>
      <c r="Y652" s="356">
        <f t="shared" si="181"/>
        <v>97705903.8004181</v>
      </c>
      <c r="AA652" s="357">
        <f>+Bono!J652</f>
        <v>865716.4585235209</v>
      </c>
      <c r="AC652" s="378">
        <f t="shared" si="182"/>
        <v>52.416666666666664</v>
      </c>
      <c r="AD652" s="356">
        <f t="shared" si="183"/>
        <v>100632566.16938557</v>
      </c>
    </row>
    <row r="653" spans="2:30" x14ac:dyDescent="0.25">
      <c r="B653" s="356">
        <f t="shared" si="184"/>
        <v>630</v>
      </c>
      <c r="C653" s="357">
        <f t="shared" si="189"/>
        <v>52</v>
      </c>
      <c r="D653" s="357">
        <f t="shared" si="190"/>
        <v>6</v>
      </c>
      <c r="E653" s="357">
        <f t="shared" si="191"/>
        <v>81</v>
      </c>
      <c r="F653" s="356">
        <f t="shared" si="185"/>
        <v>2060945.9104439472</v>
      </c>
      <c r="H653" s="356">
        <f t="shared" si="178"/>
        <v>16434.272106254957</v>
      </c>
      <c r="I653" s="356">
        <v>0</v>
      </c>
      <c r="J653" s="360">
        <f>-SUM(F653:H653)*$J$21</f>
        <v>-18696.42164295182</v>
      </c>
      <c r="K653" s="356">
        <f t="shared" si="186"/>
        <v>-2058.6837609072504</v>
      </c>
      <c r="L653" s="356">
        <f t="shared" si="179"/>
        <v>2056625.077146343</v>
      </c>
      <c r="N653" s="356">
        <f t="shared" si="187"/>
        <v>630</v>
      </c>
      <c r="O653" s="357">
        <f t="shared" si="192"/>
        <v>52</v>
      </c>
      <c r="P653" s="357">
        <f t="shared" si="193"/>
        <v>6</v>
      </c>
      <c r="Q653" s="357">
        <f t="shared" si="194"/>
        <v>52</v>
      </c>
      <c r="R653" s="356">
        <f t="shared" si="188"/>
        <v>97705903.8004181</v>
      </c>
      <c r="S653" s="356">
        <f>IF($G$4="mensual",S652,0)</f>
        <v>10000</v>
      </c>
      <c r="U653" s="356">
        <f t="shared" si="195"/>
        <v>779200.3390417849</v>
      </c>
      <c r="V653" s="356">
        <f t="shared" si="196"/>
        <v>-585.7180594988989</v>
      </c>
      <c r="X653" s="356">
        <f t="shared" si="180"/>
        <v>-98495.10413945989</v>
      </c>
      <c r="Y653" s="356">
        <f t="shared" si="181"/>
        <v>98396023.31726092</v>
      </c>
      <c r="AA653" s="357">
        <f>+Bono!J653</f>
        <v>863236.3973707987</v>
      </c>
      <c r="AC653" s="378">
        <f t="shared" si="182"/>
        <v>52.5</v>
      </c>
      <c r="AD653" s="356">
        <f t="shared" si="183"/>
        <v>101315884.79177806</v>
      </c>
    </row>
    <row r="654" spans="2:30" x14ac:dyDescent="0.25">
      <c r="B654" s="356">
        <f t="shared" si="184"/>
        <v>631</v>
      </c>
      <c r="C654" s="357">
        <f t="shared" si="189"/>
        <v>52</v>
      </c>
      <c r="D654" s="357">
        <f t="shared" si="190"/>
        <v>7</v>
      </c>
      <c r="E654" s="357">
        <f t="shared" si="191"/>
        <v>81</v>
      </c>
      <c r="F654" s="356">
        <f t="shared" si="185"/>
        <v>2056625.077146343</v>
      </c>
      <c r="H654" s="356">
        <f t="shared" si="178"/>
        <v>16399.817174769978</v>
      </c>
      <c r="I654" s="356">
        <v>0</v>
      </c>
      <c r="J654" s="356">
        <v>0</v>
      </c>
      <c r="K654" s="356">
        <f t="shared" si="186"/>
        <v>-2073.024894321113</v>
      </c>
      <c r="L654" s="356">
        <f t="shared" si="179"/>
        <v>2070951.8694267918</v>
      </c>
      <c r="N654" s="356">
        <f t="shared" si="187"/>
        <v>631</v>
      </c>
      <c r="O654" s="357">
        <f t="shared" si="192"/>
        <v>52</v>
      </c>
      <c r="P654" s="357">
        <f t="shared" si="193"/>
        <v>7</v>
      </c>
      <c r="Q654" s="357">
        <f t="shared" si="194"/>
        <v>52</v>
      </c>
      <c r="R654" s="356">
        <f t="shared" si="188"/>
        <v>98396023.31726092</v>
      </c>
      <c r="S654" s="356">
        <f>+IF($G$4="mensual",S648,IF($G$4="trimestral",S648,IF($G$4="semestral",S648,0)))</f>
        <v>10000</v>
      </c>
      <c r="U654" s="356">
        <f t="shared" si="195"/>
        <v>784703.4489818169</v>
      </c>
      <c r="V654" s="356">
        <f t="shared" si="196"/>
        <v>-585.7180594988989</v>
      </c>
      <c r="X654" s="356">
        <f t="shared" si="180"/>
        <v>-99190.72676624275</v>
      </c>
      <c r="Y654" s="356">
        <f t="shared" si="181"/>
        <v>99090950.321417</v>
      </c>
      <c r="AA654" s="357">
        <f>+Bono!J654</f>
        <v>868588.5631637223</v>
      </c>
      <c r="AC654" s="378">
        <f t="shared" si="182"/>
        <v>52.583333333333336</v>
      </c>
      <c r="AD654" s="356">
        <f t="shared" si="183"/>
        <v>102030490.75400752</v>
      </c>
    </row>
    <row r="655" spans="2:30" x14ac:dyDescent="0.25">
      <c r="B655" s="356">
        <f t="shared" si="184"/>
        <v>632</v>
      </c>
      <c r="C655" s="357">
        <f t="shared" si="189"/>
        <v>52</v>
      </c>
      <c r="D655" s="357">
        <f t="shared" si="190"/>
        <v>8</v>
      </c>
      <c r="E655" s="357">
        <f t="shared" si="191"/>
        <v>81</v>
      </c>
      <c r="F655" s="356">
        <f t="shared" si="185"/>
        <v>2070951.8694267918</v>
      </c>
      <c r="H655" s="356">
        <f t="shared" si="178"/>
        <v>16514.06102831001</v>
      </c>
      <c r="I655" s="356">
        <v>0</v>
      </c>
      <c r="J655" s="356">
        <v>0</v>
      </c>
      <c r="K655" s="356">
        <f t="shared" si="186"/>
        <v>-2087.465930455102</v>
      </c>
      <c r="L655" s="356">
        <f t="shared" si="179"/>
        <v>2085378.4645246468</v>
      </c>
      <c r="N655" s="356">
        <f t="shared" si="187"/>
        <v>632</v>
      </c>
      <c r="O655" s="357">
        <f t="shared" si="192"/>
        <v>52</v>
      </c>
      <c r="P655" s="357">
        <f t="shared" si="193"/>
        <v>8</v>
      </c>
      <c r="Q655" s="357">
        <f t="shared" si="194"/>
        <v>52</v>
      </c>
      <c r="R655" s="356">
        <f t="shared" si="188"/>
        <v>99090950.321417</v>
      </c>
      <c r="S655" s="356">
        <f>IF($G$4="mensual",S654,0)</f>
        <v>10000</v>
      </c>
      <c r="U655" s="356">
        <f t="shared" si="195"/>
        <v>790244.8945007948</v>
      </c>
      <c r="V655" s="356">
        <f t="shared" si="196"/>
        <v>-585.7180594988989</v>
      </c>
      <c r="X655" s="356">
        <f t="shared" si="180"/>
        <v>-99891.1952159178</v>
      </c>
      <c r="Y655" s="356">
        <f t="shared" si="181"/>
        <v>99790718.30264239</v>
      </c>
      <c r="AA655" s="357">
        <f>+Bono!J655</f>
        <v>873973.9130053747</v>
      </c>
      <c r="AC655" s="378">
        <f t="shared" si="182"/>
        <v>52.666666666666664</v>
      </c>
      <c r="AD655" s="356">
        <f t="shared" si="183"/>
        <v>102750070.68017241</v>
      </c>
    </row>
    <row r="656" spans="2:30" x14ac:dyDescent="0.25">
      <c r="B656" s="356">
        <f t="shared" si="184"/>
        <v>633</v>
      </c>
      <c r="C656" s="357">
        <f t="shared" si="189"/>
        <v>52</v>
      </c>
      <c r="D656" s="357">
        <f t="shared" si="190"/>
        <v>9</v>
      </c>
      <c r="E656" s="357">
        <f t="shared" si="191"/>
        <v>81</v>
      </c>
      <c r="F656" s="356">
        <f t="shared" si="185"/>
        <v>2085378.4645246468</v>
      </c>
      <c r="H656" s="356">
        <f t="shared" si="178"/>
        <v>16629.10072353124</v>
      </c>
      <c r="I656" s="356">
        <v>0</v>
      </c>
      <c r="J656" s="360">
        <f>-SUM(F656:H656)*$J$21</f>
        <v>-18918.0680872336</v>
      </c>
      <c r="K656" s="356">
        <f t="shared" si="186"/>
        <v>-2083.089497160944</v>
      </c>
      <c r="L656" s="356">
        <f t="shared" si="179"/>
        <v>2081006.4076637833</v>
      </c>
      <c r="N656" s="356">
        <f t="shared" si="187"/>
        <v>633</v>
      </c>
      <c r="O656" s="357">
        <f t="shared" si="192"/>
        <v>52</v>
      </c>
      <c r="P656" s="357">
        <f t="shared" si="193"/>
        <v>9</v>
      </c>
      <c r="Q656" s="357">
        <f t="shared" si="194"/>
        <v>52</v>
      </c>
      <c r="R656" s="356">
        <f t="shared" si="188"/>
        <v>99790718.30264239</v>
      </c>
      <c r="S656" s="356">
        <f>IF($G$4="mensual",S655,0)</f>
        <v>10000</v>
      </c>
      <c r="U656" s="356">
        <f t="shared" si="195"/>
        <v>795824.9426507365</v>
      </c>
      <c r="V656" s="356">
        <f t="shared" si="196"/>
        <v>-585.7180594988989</v>
      </c>
      <c r="X656" s="356">
        <f t="shared" si="180"/>
        <v>-100596.54324529313</v>
      </c>
      <c r="Y656" s="356">
        <f t="shared" si="181"/>
        <v>100495360.98398834</v>
      </c>
      <c r="AA656" s="357">
        <f>+Bono!J656</f>
        <v>871470.1963106109</v>
      </c>
      <c r="AC656" s="378">
        <f t="shared" si="182"/>
        <v>52.75</v>
      </c>
      <c r="AD656" s="356">
        <f t="shared" si="183"/>
        <v>103447837.58796273</v>
      </c>
    </row>
    <row r="657" spans="2:30" x14ac:dyDescent="0.25">
      <c r="B657" s="356">
        <f t="shared" si="184"/>
        <v>634</v>
      </c>
      <c r="C657" s="357">
        <f t="shared" si="189"/>
        <v>52</v>
      </c>
      <c r="D657" s="357">
        <f t="shared" si="190"/>
        <v>10</v>
      </c>
      <c r="E657" s="357">
        <f t="shared" si="191"/>
        <v>81</v>
      </c>
      <c r="F657" s="356">
        <f t="shared" si="185"/>
        <v>2081006.4076637833</v>
      </c>
      <c r="H657" s="356">
        <f t="shared" si="178"/>
        <v>16594.23732815956</v>
      </c>
      <c r="I657" s="356">
        <v>0</v>
      </c>
      <c r="J657" s="356">
        <v>0</v>
      </c>
      <c r="K657" s="356">
        <f t="shared" si="186"/>
        <v>-2097.6006449919428</v>
      </c>
      <c r="L657" s="356">
        <f t="shared" si="179"/>
        <v>2095503.0443469507</v>
      </c>
      <c r="N657" s="356">
        <f t="shared" si="187"/>
        <v>634</v>
      </c>
      <c r="O657" s="357">
        <f t="shared" si="192"/>
        <v>52</v>
      </c>
      <c r="P657" s="357">
        <f t="shared" si="193"/>
        <v>10</v>
      </c>
      <c r="Q657" s="357">
        <f t="shared" si="194"/>
        <v>52</v>
      </c>
      <c r="R657" s="356">
        <f t="shared" si="188"/>
        <v>100495360.98398834</v>
      </c>
      <c r="S657" s="356">
        <f>IF($G$4="mensual",S648,IF($G$4="trimestral",S648,0))</f>
        <v>10000</v>
      </c>
      <c r="U657" s="356">
        <f t="shared" si="195"/>
        <v>801443.8623439885</v>
      </c>
      <c r="V657" s="356">
        <f t="shared" si="196"/>
        <v>-585.7180594988989</v>
      </c>
      <c r="X657" s="356">
        <f t="shared" si="180"/>
        <v>-101306.80484633234</v>
      </c>
      <c r="Y657" s="356">
        <f t="shared" si="181"/>
        <v>101204912.3234265</v>
      </c>
      <c r="AA657" s="357">
        <f>+Bono!J657</f>
        <v>876873.4126120227</v>
      </c>
      <c r="AC657" s="378">
        <f t="shared" si="182"/>
        <v>52.833333333333336</v>
      </c>
      <c r="AD657" s="356">
        <f t="shared" si="183"/>
        <v>104177288.78038546</v>
      </c>
    </row>
    <row r="658" spans="2:30" x14ac:dyDescent="0.25">
      <c r="B658" s="356">
        <f t="shared" si="184"/>
        <v>635</v>
      </c>
      <c r="C658" s="357">
        <f t="shared" si="189"/>
        <v>52</v>
      </c>
      <c r="D658" s="357">
        <f t="shared" si="190"/>
        <v>11</v>
      </c>
      <c r="E658" s="357">
        <f t="shared" si="191"/>
        <v>81</v>
      </c>
      <c r="F658" s="356">
        <f t="shared" si="185"/>
        <v>2095503.0443469507</v>
      </c>
      <c r="H658" s="356">
        <f t="shared" si="178"/>
        <v>16709.83554481794</v>
      </c>
      <c r="I658" s="356">
        <v>0</v>
      </c>
      <c r="J658" s="356">
        <v>0</v>
      </c>
      <c r="K658" s="356">
        <f t="shared" si="186"/>
        <v>-2112.212879891769</v>
      </c>
      <c r="L658" s="356">
        <f t="shared" si="179"/>
        <v>2110100.6670118766</v>
      </c>
      <c r="N658" s="356">
        <f t="shared" si="187"/>
        <v>635</v>
      </c>
      <c r="O658" s="357">
        <f t="shared" si="192"/>
        <v>52</v>
      </c>
      <c r="P658" s="357">
        <f t="shared" si="193"/>
        <v>11</v>
      </c>
      <c r="Q658" s="357">
        <f t="shared" si="194"/>
        <v>52</v>
      </c>
      <c r="R658" s="356">
        <f t="shared" si="188"/>
        <v>101204912.3234265</v>
      </c>
      <c r="S658" s="356">
        <f>IF($G$17="si",S646*(1+$G$20),S646)</f>
        <v>10000</v>
      </c>
      <c r="U658" s="356">
        <f t="shared" si="195"/>
        <v>807101.9243661851</v>
      </c>
      <c r="V658" s="356">
        <f t="shared" si="196"/>
        <v>-585.7180594988989</v>
      </c>
      <c r="X658" s="356">
        <f t="shared" si="180"/>
        <v>-102022.0142477927</v>
      </c>
      <c r="Y658" s="356">
        <f t="shared" si="181"/>
        <v>101919406.5154854</v>
      </c>
      <c r="AA658" s="357">
        <f>+Bono!J658</f>
        <v>882310.1294812376</v>
      </c>
      <c r="AC658" s="378">
        <f t="shared" si="182"/>
        <v>52.916666666666664</v>
      </c>
      <c r="AD658" s="356">
        <f t="shared" si="183"/>
        <v>104911817.31197852</v>
      </c>
    </row>
    <row r="659" spans="2:30" x14ac:dyDescent="0.25">
      <c r="B659" s="356">
        <f t="shared" si="184"/>
        <v>636</v>
      </c>
      <c r="C659" s="357">
        <f t="shared" si="189"/>
        <v>52</v>
      </c>
      <c r="D659" s="357">
        <f t="shared" si="190"/>
        <v>12</v>
      </c>
      <c r="E659" s="357">
        <f t="shared" si="191"/>
        <v>81</v>
      </c>
      <c r="F659" s="356">
        <f t="shared" si="185"/>
        <v>2110100.6670118766</v>
      </c>
      <c r="H659" s="356">
        <f t="shared" si="178"/>
        <v>16826.239037876203</v>
      </c>
      <c r="I659" s="356">
        <v>0</v>
      </c>
      <c r="J659" s="360">
        <f>-SUM(F659:H659)*$J$21</f>
        <v>-19142.342154447775</v>
      </c>
      <c r="K659" s="356">
        <f t="shared" si="186"/>
        <v>-2107.784563895305</v>
      </c>
      <c r="L659" s="356">
        <f t="shared" si="179"/>
        <v>2105676.7793314094</v>
      </c>
      <c r="N659" s="356">
        <f t="shared" si="187"/>
        <v>636</v>
      </c>
      <c r="O659" s="357">
        <f t="shared" si="192"/>
        <v>52</v>
      </c>
      <c r="P659" s="357">
        <f t="shared" si="193"/>
        <v>12</v>
      </c>
      <c r="Q659" s="357">
        <f t="shared" si="194"/>
        <v>52</v>
      </c>
      <c r="R659" s="356">
        <f t="shared" si="188"/>
        <v>101919406.5154854</v>
      </c>
      <c r="S659" s="356">
        <f>IF($G$4="mensual",S658,0)</f>
        <v>10000</v>
      </c>
      <c r="U659" s="356">
        <f t="shared" si="195"/>
        <v>812799.401389299</v>
      </c>
      <c r="V659" s="356">
        <f t="shared" si="196"/>
        <v>-585.7180594988989</v>
      </c>
      <c r="X659" s="356">
        <f t="shared" si="180"/>
        <v>-102742.20591687471</v>
      </c>
      <c r="Y659" s="356">
        <f t="shared" si="181"/>
        <v>102638877.99289833</v>
      </c>
      <c r="AA659" s="357">
        <f>+Bono!J659</f>
        <v>879782.5316110163</v>
      </c>
      <c r="AC659" s="378">
        <f t="shared" si="182"/>
        <v>53</v>
      </c>
      <c r="AD659" s="356">
        <f t="shared" si="183"/>
        <v>105624337.30384076</v>
      </c>
    </row>
    <row r="660" spans="2:30" x14ac:dyDescent="0.25">
      <c r="B660" s="356">
        <f t="shared" si="184"/>
        <v>637</v>
      </c>
      <c r="C660" s="357">
        <f t="shared" si="189"/>
        <v>53</v>
      </c>
      <c r="D660" s="357">
        <f t="shared" si="190"/>
        <v>1</v>
      </c>
      <c r="E660" s="357">
        <f t="shared" si="191"/>
        <v>82</v>
      </c>
      <c r="F660" s="356">
        <f t="shared" si="185"/>
        <v>2105676.7793314094</v>
      </c>
      <c r="H660" s="356">
        <f t="shared" si="178"/>
        <v>16790.962336270462</v>
      </c>
      <c r="I660" s="356">
        <v>0</v>
      </c>
      <c r="J660" s="356">
        <v>0</v>
      </c>
      <c r="K660" s="356">
        <f t="shared" si="186"/>
        <v>-2122.46774166768</v>
      </c>
      <c r="L660" s="356">
        <f t="shared" si="179"/>
        <v>2120345.273926012</v>
      </c>
      <c r="N660" s="356">
        <f t="shared" si="187"/>
        <v>637</v>
      </c>
      <c r="O660" s="357">
        <f t="shared" si="192"/>
        <v>53</v>
      </c>
      <c r="P660" s="357">
        <f t="shared" si="193"/>
        <v>1</v>
      </c>
      <c r="Q660" s="357">
        <f t="shared" si="194"/>
        <v>53</v>
      </c>
      <c r="R660" s="356">
        <f t="shared" si="188"/>
        <v>102638877.99289833</v>
      </c>
      <c r="S660" s="356">
        <f>IF($G$17="si",S648*(1+$G$20),S648)</f>
        <v>10000</v>
      </c>
      <c r="U660" s="356">
        <f t="shared" si="195"/>
        <v>818536.5679847804</v>
      </c>
      <c r="V660" s="356">
        <f>V659*(1+$G$18)</f>
        <v>-609.1467818788549</v>
      </c>
      <c r="X660" s="356">
        <f t="shared" si="180"/>
        <v>-103467.4145608831</v>
      </c>
      <c r="Y660" s="356">
        <f t="shared" si="181"/>
        <v>103363337.99954034</v>
      </c>
      <c r="AA660" s="357">
        <f>+Bono!J660</f>
        <v>885237.2853554619</v>
      </c>
      <c r="AC660" s="378">
        <f t="shared" si="182"/>
        <v>53.083333333333336</v>
      </c>
      <c r="AD660" s="356">
        <f t="shared" si="183"/>
        <v>106368920.55882183</v>
      </c>
    </row>
    <row r="661" spans="2:30" x14ac:dyDescent="0.25">
      <c r="B661" s="356">
        <f t="shared" si="184"/>
        <v>638</v>
      </c>
      <c r="C661" s="357">
        <f t="shared" si="189"/>
        <v>53</v>
      </c>
      <c r="D661" s="357">
        <f t="shared" si="190"/>
        <v>2</v>
      </c>
      <c r="E661" s="357">
        <f t="shared" si="191"/>
        <v>82</v>
      </c>
      <c r="F661" s="356">
        <f t="shared" si="185"/>
        <v>2120345.273926012</v>
      </c>
      <c r="H661" s="356">
        <f t="shared" si="178"/>
        <v>16907.93097204844</v>
      </c>
      <c r="I661" s="356">
        <v>0</v>
      </c>
      <c r="J661" s="356">
        <v>0</v>
      </c>
      <c r="K661" s="356">
        <f t="shared" si="186"/>
        <v>-2137.2532048980606</v>
      </c>
      <c r="L661" s="356">
        <f t="shared" si="179"/>
        <v>2135115.951693163</v>
      </c>
      <c r="N661" s="356">
        <f t="shared" si="187"/>
        <v>638</v>
      </c>
      <c r="O661" s="357">
        <f t="shared" si="192"/>
        <v>53</v>
      </c>
      <c r="P661" s="357">
        <f t="shared" si="193"/>
        <v>2</v>
      </c>
      <c r="Q661" s="357">
        <f t="shared" si="194"/>
        <v>53</v>
      </c>
      <c r="R661" s="356">
        <f t="shared" si="188"/>
        <v>103363337.99954034</v>
      </c>
      <c r="S661" s="356">
        <f>IF($G$4="mensual",S660,0)</f>
        <v>10000</v>
      </c>
      <c r="U661" s="356">
        <f t="shared" si="195"/>
        <v>824313.5138128684</v>
      </c>
      <c r="V661" s="356">
        <f>V660</f>
        <v>-609.1467818788549</v>
      </c>
      <c r="X661" s="356">
        <f t="shared" si="180"/>
        <v>-104197.65151335322</v>
      </c>
      <c r="Y661" s="356">
        <f t="shared" si="181"/>
        <v>104092844.71505798</v>
      </c>
      <c r="AA661" s="357">
        <f>+Bono!J661</f>
        <v>890725.8592058354</v>
      </c>
      <c r="AC661" s="378">
        <f t="shared" si="182"/>
        <v>53.166666666666664</v>
      </c>
      <c r="AD661" s="356">
        <f t="shared" si="183"/>
        <v>107118686.52595699</v>
      </c>
    </row>
    <row r="662" spans="2:30" x14ac:dyDescent="0.25">
      <c r="B662" s="356">
        <f t="shared" si="184"/>
        <v>639</v>
      </c>
      <c r="C662" s="357">
        <f t="shared" si="189"/>
        <v>53</v>
      </c>
      <c r="D662" s="357">
        <f t="shared" si="190"/>
        <v>3</v>
      </c>
      <c r="E662" s="357">
        <f t="shared" si="191"/>
        <v>82</v>
      </c>
      <c r="F662" s="356">
        <f t="shared" si="185"/>
        <v>2135115.951693163</v>
      </c>
      <c r="H662" s="356">
        <f t="shared" si="178"/>
        <v>17025.714430793785</v>
      </c>
      <c r="I662" s="356">
        <v>0</v>
      </c>
      <c r="J662" s="360">
        <f>-SUM(F662:H662)*$J$21</f>
        <v>-19369.27499511561</v>
      </c>
      <c r="K662" s="356">
        <f t="shared" si="186"/>
        <v>-2132.772391128841</v>
      </c>
      <c r="L662" s="356">
        <f t="shared" si="179"/>
        <v>2130639.618737712</v>
      </c>
      <c r="N662" s="356">
        <f t="shared" si="187"/>
        <v>639</v>
      </c>
      <c r="O662" s="357">
        <f t="shared" si="192"/>
        <v>53</v>
      </c>
      <c r="P662" s="357">
        <f t="shared" si="193"/>
        <v>3</v>
      </c>
      <c r="Q662" s="357">
        <f t="shared" si="194"/>
        <v>53</v>
      </c>
      <c r="R662" s="356">
        <f t="shared" si="188"/>
        <v>104092844.71505798</v>
      </c>
      <c r="S662" s="356">
        <f>IF($G$4="mensual",S661,0)</f>
        <v>10000</v>
      </c>
      <c r="U662" s="356">
        <f t="shared" si="195"/>
        <v>830130.7028062345</v>
      </c>
      <c r="V662" s="356">
        <f t="shared" si="196"/>
        <v>-609.1467818788549</v>
      </c>
      <c r="X662" s="356">
        <f t="shared" si="180"/>
        <v>-104932.97541786422</v>
      </c>
      <c r="Y662" s="356">
        <f t="shared" si="181"/>
        <v>104827433.29566447</v>
      </c>
      <c r="AA662" s="357">
        <f>+Bono!J662</f>
        <v>888174.1523745839</v>
      </c>
      <c r="AC662" s="378">
        <f t="shared" si="182"/>
        <v>53.25</v>
      </c>
      <c r="AD662" s="356">
        <f t="shared" si="183"/>
        <v>107846247.06677677</v>
      </c>
    </row>
    <row r="663" spans="2:30" x14ac:dyDescent="0.25">
      <c r="B663" s="356">
        <f t="shared" si="184"/>
        <v>640</v>
      </c>
      <c r="C663" s="357">
        <f t="shared" si="189"/>
        <v>53</v>
      </c>
      <c r="D663" s="357">
        <f t="shared" si="190"/>
        <v>4</v>
      </c>
      <c r="E663" s="357">
        <f t="shared" si="191"/>
        <v>82</v>
      </c>
      <c r="F663" s="356">
        <f t="shared" si="185"/>
        <v>2130639.618737712</v>
      </c>
      <c r="H663" s="356">
        <f t="shared" si="178"/>
        <v>16990.01952320049</v>
      </c>
      <c r="I663" s="356">
        <v>0</v>
      </c>
      <c r="J663" s="356">
        <v>0</v>
      </c>
      <c r="K663" s="356">
        <f t="shared" si="186"/>
        <v>-2147.6296382609125</v>
      </c>
      <c r="L663" s="356">
        <f t="shared" si="179"/>
        <v>2145482.008622652</v>
      </c>
      <c r="N663" s="356">
        <f t="shared" si="187"/>
        <v>640</v>
      </c>
      <c r="O663" s="357">
        <f t="shared" si="192"/>
        <v>53</v>
      </c>
      <c r="P663" s="357">
        <f t="shared" si="193"/>
        <v>4</v>
      </c>
      <c r="Q663" s="357">
        <f t="shared" si="194"/>
        <v>53</v>
      </c>
      <c r="R663" s="356">
        <f t="shared" si="188"/>
        <v>104827433.29566447</v>
      </c>
      <c r="S663" s="356">
        <f>IF($G$4="mensual",S660,IF($G$4="trimestral",S660,0))</f>
        <v>10000</v>
      </c>
      <c r="U663" s="356">
        <f t="shared" si="195"/>
        <v>835988.4153054596</v>
      </c>
      <c r="V663" s="356">
        <f t="shared" si="196"/>
        <v>-609.1467818788549</v>
      </c>
      <c r="X663" s="356">
        <f t="shared" si="180"/>
        <v>-105673.42171096994</v>
      </c>
      <c r="Y663" s="356">
        <f t="shared" si="181"/>
        <v>105567139.1424771</v>
      </c>
      <c r="AA663" s="357">
        <f>+Bono!J663</f>
        <v>893680.9351411314</v>
      </c>
      <c r="AC663" s="378">
        <f t="shared" si="182"/>
        <v>53.333333333333336</v>
      </c>
      <c r="AD663" s="356">
        <f t="shared" si="183"/>
        <v>108606302.08624087</v>
      </c>
    </row>
    <row r="664" spans="2:30" x14ac:dyDescent="0.25">
      <c r="B664" s="356">
        <f t="shared" si="184"/>
        <v>641</v>
      </c>
      <c r="C664" s="357">
        <f t="shared" si="189"/>
        <v>53</v>
      </c>
      <c r="D664" s="357">
        <f t="shared" si="190"/>
        <v>5</v>
      </c>
      <c r="E664" s="357">
        <f t="shared" si="191"/>
        <v>82</v>
      </c>
      <c r="F664" s="356">
        <f t="shared" si="185"/>
        <v>2145482.008622652</v>
      </c>
      <c r="H664" s="356">
        <f t="shared" ref="H664:H727" si="197">SUM(F664:G664)*$G$8</f>
        <v>17108.374824443545</v>
      </c>
      <c r="I664" s="356">
        <v>0</v>
      </c>
      <c r="J664" s="356">
        <v>0</v>
      </c>
      <c r="K664" s="356">
        <f t="shared" si="186"/>
        <v>-2162.5903834470955</v>
      </c>
      <c r="L664" s="356">
        <f t="shared" ref="L664:L727" si="198">SUM(F664:K664)</f>
        <v>2160427.793063648</v>
      </c>
      <c r="N664" s="356">
        <f t="shared" si="187"/>
        <v>641</v>
      </c>
      <c r="O664" s="357">
        <f t="shared" si="192"/>
        <v>53</v>
      </c>
      <c r="P664" s="357">
        <f t="shared" si="193"/>
        <v>5</v>
      </c>
      <c r="Q664" s="357">
        <f t="shared" si="194"/>
        <v>53</v>
      </c>
      <c r="R664" s="356">
        <f t="shared" si="188"/>
        <v>105567139.1424771</v>
      </c>
      <c r="S664" s="356">
        <f>IF($G$4="mensual",S663,0)</f>
        <v>10000</v>
      </c>
      <c r="U664" s="356">
        <f t="shared" si="195"/>
        <v>841886.9336040247</v>
      </c>
      <c r="V664" s="356">
        <f t="shared" si="196"/>
        <v>-609.1467818788549</v>
      </c>
      <c r="X664" s="356">
        <f t="shared" ref="X664:X727" si="199">-SUM(R664:U664)*0.1%</f>
        <v>-106419.02607608114</v>
      </c>
      <c r="Y664" s="356">
        <f t="shared" ref="Y664:Y727" si="200">SUM(R664:X664)</f>
        <v>106311997.90322317</v>
      </c>
      <c r="AA664" s="357">
        <f>+Bono!J664</f>
        <v>899221.8605995788</v>
      </c>
      <c r="AC664" s="378">
        <f t="shared" ref="AC664:AC727" si="201">+B664/12</f>
        <v>53.416666666666664</v>
      </c>
      <c r="AD664" s="356">
        <f t="shared" ref="AD664:AD727" si="202">+AA664+Y664+L664</f>
        <v>109371647.5568864</v>
      </c>
    </row>
    <row r="665" spans="2:30" x14ac:dyDescent="0.25">
      <c r="B665" s="356">
        <f t="shared" ref="B665:B728" si="203">+B664+1</f>
        <v>642</v>
      </c>
      <c r="C665" s="357">
        <f t="shared" si="189"/>
        <v>53</v>
      </c>
      <c r="D665" s="357">
        <f t="shared" si="190"/>
        <v>6</v>
      </c>
      <c r="E665" s="357">
        <f t="shared" si="191"/>
        <v>82</v>
      </c>
      <c r="F665" s="356">
        <f t="shared" ref="F665:F728" si="204">L664</f>
        <v>2160427.793063648</v>
      </c>
      <c r="H665" s="356">
        <f t="shared" si="197"/>
        <v>17227.55460839617</v>
      </c>
      <c r="I665" s="356">
        <v>0</v>
      </c>
      <c r="J665" s="360">
        <f>-SUM(F665:H665)*$J$21</f>
        <v>-19598.8981290484</v>
      </c>
      <c r="K665" s="356">
        <f t="shared" ref="K665:K728" si="205">-SUM(F665:J665)*0.1%</f>
        <v>-2158.0564495429962</v>
      </c>
      <c r="L665" s="356">
        <f t="shared" si="198"/>
        <v>2155898.393093453</v>
      </c>
      <c r="N665" s="356">
        <f t="shared" ref="N665:N728" si="206">+N664+1</f>
        <v>642</v>
      </c>
      <c r="O665" s="357">
        <f t="shared" si="192"/>
        <v>53</v>
      </c>
      <c r="P665" s="357">
        <f t="shared" si="193"/>
        <v>6</v>
      </c>
      <c r="Q665" s="357">
        <f t="shared" si="194"/>
        <v>53</v>
      </c>
      <c r="R665" s="356">
        <f t="shared" ref="R665:R728" si="207">Y664</f>
        <v>106311997.90322317</v>
      </c>
      <c r="S665" s="356">
        <f>IF($G$4="mensual",S664,0)</f>
        <v>10000</v>
      </c>
      <c r="U665" s="356">
        <f t="shared" si="195"/>
        <v>847826.5419619131</v>
      </c>
      <c r="V665" s="356">
        <f t="shared" si="196"/>
        <v>-609.1467818788549</v>
      </c>
      <c r="X665" s="356">
        <f t="shared" si="199"/>
        <v>-107169.82444518508</v>
      </c>
      <c r="Y665" s="356">
        <f t="shared" si="200"/>
        <v>107062045.47395802</v>
      </c>
      <c r="AA665" s="357">
        <f>+Bono!J665</f>
        <v>896645.8148490394</v>
      </c>
      <c r="AC665" s="378">
        <f t="shared" si="201"/>
        <v>53.5</v>
      </c>
      <c r="AD665" s="356">
        <f t="shared" si="202"/>
        <v>110114589.6819005</v>
      </c>
    </row>
    <row r="666" spans="2:30" x14ac:dyDescent="0.25">
      <c r="B666" s="356">
        <f t="shared" si="203"/>
        <v>643</v>
      </c>
      <c r="C666" s="357">
        <f t="shared" si="189"/>
        <v>53</v>
      </c>
      <c r="D666" s="357">
        <f t="shared" si="190"/>
        <v>7</v>
      </c>
      <c r="E666" s="357">
        <f t="shared" si="191"/>
        <v>82</v>
      </c>
      <c r="F666" s="356">
        <f t="shared" si="204"/>
        <v>2155898.393093453</v>
      </c>
      <c r="H666" s="356">
        <f t="shared" si="197"/>
        <v>17191.43653697516</v>
      </c>
      <c r="I666" s="356">
        <v>0</v>
      </c>
      <c r="J666" s="356">
        <v>0</v>
      </c>
      <c r="K666" s="356">
        <f t="shared" si="205"/>
        <v>-2173.089829630428</v>
      </c>
      <c r="L666" s="356">
        <f t="shared" si="198"/>
        <v>2170916.739800798</v>
      </c>
      <c r="N666" s="356">
        <f t="shared" si="206"/>
        <v>643</v>
      </c>
      <c r="O666" s="357">
        <f t="shared" si="192"/>
        <v>53</v>
      </c>
      <c r="P666" s="357">
        <f t="shared" si="193"/>
        <v>7</v>
      </c>
      <c r="Q666" s="357">
        <f t="shared" si="194"/>
        <v>53</v>
      </c>
      <c r="R666" s="356">
        <f t="shared" si="207"/>
        <v>107062045.47395802</v>
      </c>
      <c r="S666" s="356">
        <f>+IF($G$4="mensual",S660,IF($G$4="trimestral",S660,IF($G$4="semestral",S660,0)))</f>
        <v>10000</v>
      </c>
      <c r="U666" s="356">
        <f t="shared" si="195"/>
        <v>853807.526619311</v>
      </c>
      <c r="V666" s="356">
        <f t="shared" si="196"/>
        <v>-609.1467818788549</v>
      </c>
      <c r="X666" s="356">
        <f t="shared" si="199"/>
        <v>-107925.85300057734</v>
      </c>
      <c r="Y666" s="356">
        <f t="shared" si="200"/>
        <v>107817318.00079487</v>
      </c>
      <c r="AA666" s="357">
        <f>+Bono!J666</f>
        <v>902205.1229055807</v>
      </c>
      <c r="AC666" s="378">
        <f t="shared" si="201"/>
        <v>53.583333333333336</v>
      </c>
      <c r="AD666" s="356">
        <f t="shared" si="202"/>
        <v>110890439.86350125</v>
      </c>
    </row>
    <row r="667" spans="2:30" x14ac:dyDescent="0.25">
      <c r="B667" s="356">
        <f t="shared" si="203"/>
        <v>644</v>
      </c>
      <c r="C667" s="357">
        <f t="shared" si="189"/>
        <v>53</v>
      </c>
      <c r="D667" s="357">
        <f t="shared" si="190"/>
        <v>8</v>
      </c>
      <c r="E667" s="357">
        <f t="shared" si="191"/>
        <v>82</v>
      </c>
      <c r="F667" s="356">
        <f t="shared" si="204"/>
        <v>2170916.739800798</v>
      </c>
      <c r="H667" s="356">
        <f t="shared" si="197"/>
        <v>17311.194942629496</v>
      </c>
      <c r="I667" s="356">
        <v>0</v>
      </c>
      <c r="J667" s="356">
        <v>0</v>
      </c>
      <c r="K667" s="356">
        <f t="shared" si="205"/>
        <v>-2188.2279347434273</v>
      </c>
      <c r="L667" s="356">
        <f t="shared" si="198"/>
        <v>2186039.706808684</v>
      </c>
      <c r="N667" s="356">
        <f t="shared" si="206"/>
        <v>644</v>
      </c>
      <c r="O667" s="357">
        <f t="shared" si="192"/>
        <v>53</v>
      </c>
      <c r="P667" s="357">
        <f t="shared" si="193"/>
        <v>8</v>
      </c>
      <c r="Q667" s="357">
        <f t="shared" si="194"/>
        <v>53</v>
      </c>
      <c r="R667" s="356">
        <f t="shared" si="207"/>
        <v>107817318.00079487</v>
      </c>
      <c r="S667" s="356">
        <f>IF($G$4="mensual",S666,0)</f>
        <v>10000</v>
      </c>
      <c r="U667" s="356">
        <f t="shared" si="195"/>
        <v>859830.175810401</v>
      </c>
      <c r="V667" s="356">
        <f t="shared" si="196"/>
        <v>-609.1467818788549</v>
      </c>
      <c r="X667" s="356">
        <f t="shared" si="199"/>
        <v>-108687.14817660527</v>
      </c>
      <c r="Y667" s="356">
        <f t="shared" si="200"/>
        <v>108577851.88164678</v>
      </c>
      <c r="AA667" s="357">
        <f>+Bono!J667</f>
        <v>907798.8993169122</v>
      </c>
      <c r="AC667" s="378">
        <f t="shared" si="201"/>
        <v>53.666666666666664</v>
      </c>
      <c r="AD667" s="356">
        <f t="shared" si="202"/>
        <v>111671690.48777238</v>
      </c>
    </row>
    <row r="668" spans="2:30" x14ac:dyDescent="0.25">
      <c r="B668" s="356">
        <f t="shared" si="203"/>
        <v>645</v>
      </c>
      <c r="C668" s="357">
        <f t="shared" si="189"/>
        <v>53</v>
      </c>
      <c r="D668" s="357">
        <f t="shared" si="190"/>
        <v>9</v>
      </c>
      <c r="E668" s="357">
        <f t="shared" si="191"/>
        <v>82</v>
      </c>
      <c r="F668" s="356">
        <f t="shared" si="204"/>
        <v>2186039.706808684</v>
      </c>
      <c r="H668" s="356">
        <f t="shared" si="197"/>
        <v>17431.78760525206</v>
      </c>
      <c r="I668" s="356">
        <v>0</v>
      </c>
      <c r="J668" s="360">
        <f>-SUM(F668:H668)*$J$21</f>
        <v>-19831.243449725425</v>
      </c>
      <c r="K668" s="356">
        <f t="shared" si="205"/>
        <v>-2183.6402509642107</v>
      </c>
      <c r="L668" s="356">
        <f t="shared" si="198"/>
        <v>2181456.6107132467</v>
      </c>
      <c r="N668" s="356">
        <f t="shared" si="206"/>
        <v>645</v>
      </c>
      <c r="O668" s="357">
        <f t="shared" si="192"/>
        <v>53</v>
      </c>
      <c r="P668" s="357">
        <f t="shared" si="193"/>
        <v>9</v>
      </c>
      <c r="Q668" s="357">
        <f t="shared" si="194"/>
        <v>53</v>
      </c>
      <c r="R668" s="356">
        <f t="shared" si="207"/>
        <v>108577851.88164678</v>
      </c>
      <c r="S668" s="356">
        <f>IF($G$4="mensual",S667,0)</f>
        <v>10000</v>
      </c>
      <c r="U668" s="356">
        <f t="shared" si="195"/>
        <v>865894.7797772533</v>
      </c>
      <c r="V668" s="356">
        <f t="shared" si="196"/>
        <v>-609.1467818788549</v>
      </c>
      <c r="X668" s="356">
        <f t="shared" si="199"/>
        <v>-109453.74666142404</v>
      </c>
      <c r="Y668" s="356">
        <f t="shared" si="200"/>
        <v>109343683.76798074</v>
      </c>
      <c r="AA668" s="357">
        <f>+Bono!J668</f>
        <v>905198.2824954189</v>
      </c>
      <c r="AC668" s="378">
        <f t="shared" si="201"/>
        <v>53.75</v>
      </c>
      <c r="AD668" s="356">
        <f t="shared" si="202"/>
        <v>112430338.6611894</v>
      </c>
    </row>
    <row r="669" spans="2:30" x14ac:dyDescent="0.25">
      <c r="B669" s="356">
        <f t="shared" si="203"/>
        <v>646</v>
      </c>
      <c r="C669" s="357">
        <f t="shared" si="189"/>
        <v>53</v>
      </c>
      <c r="D669" s="357">
        <f t="shared" si="190"/>
        <v>10</v>
      </c>
      <c r="E669" s="357">
        <f t="shared" si="191"/>
        <v>82</v>
      </c>
      <c r="F669" s="356">
        <f t="shared" si="204"/>
        <v>2181456.6107132467</v>
      </c>
      <c r="H669" s="356">
        <f t="shared" si="197"/>
        <v>17395.241353387883</v>
      </c>
      <c r="I669" s="356">
        <v>0</v>
      </c>
      <c r="J669" s="356">
        <v>0</v>
      </c>
      <c r="K669" s="356">
        <f t="shared" si="205"/>
        <v>-2198.851852066635</v>
      </c>
      <c r="L669" s="356">
        <f t="shared" si="198"/>
        <v>2196653.000214568</v>
      </c>
      <c r="N669" s="356">
        <f t="shared" si="206"/>
        <v>646</v>
      </c>
      <c r="O669" s="357">
        <f t="shared" si="192"/>
        <v>53</v>
      </c>
      <c r="P669" s="357">
        <f t="shared" si="193"/>
        <v>10</v>
      </c>
      <c r="Q669" s="357">
        <f t="shared" si="194"/>
        <v>53</v>
      </c>
      <c r="R669" s="356">
        <f t="shared" si="207"/>
        <v>109343683.76798074</v>
      </c>
      <c r="S669" s="356">
        <f>IF($G$4="mensual",S660,IF($G$4="trimestral",S660,0))</f>
        <v>10000</v>
      </c>
      <c r="U669" s="356">
        <f t="shared" si="195"/>
        <v>872001.6307838125</v>
      </c>
      <c r="V669" s="356">
        <f t="shared" si="196"/>
        <v>-609.1467818788549</v>
      </c>
      <c r="X669" s="356">
        <f t="shared" si="199"/>
        <v>-110225.68539876456</v>
      </c>
      <c r="Y669" s="356">
        <f t="shared" si="200"/>
        <v>110114850.56658392</v>
      </c>
      <c r="AA669" s="357">
        <f>+Bono!J669</f>
        <v>910810.6168433924</v>
      </c>
      <c r="AC669" s="378">
        <f t="shared" si="201"/>
        <v>53.833333333333336</v>
      </c>
      <c r="AD669" s="356">
        <f t="shared" si="202"/>
        <v>113222314.18364187</v>
      </c>
    </row>
    <row r="670" spans="2:30" x14ac:dyDescent="0.25">
      <c r="B670" s="356">
        <f t="shared" si="203"/>
        <v>647</v>
      </c>
      <c r="C670" s="357">
        <f t="shared" si="189"/>
        <v>53</v>
      </c>
      <c r="D670" s="357">
        <f t="shared" si="190"/>
        <v>11</v>
      </c>
      <c r="E670" s="357">
        <f t="shared" si="191"/>
        <v>82</v>
      </c>
      <c r="F670" s="356">
        <f t="shared" si="204"/>
        <v>2196653.000214568</v>
      </c>
      <c r="H670" s="356">
        <f t="shared" si="197"/>
        <v>17516.419497283736</v>
      </c>
      <c r="I670" s="356">
        <v>0</v>
      </c>
      <c r="J670" s="356">
        <v>0</v>
      </c>
      <c r="K670" s="356">
        <f t="shared" si="205"/>
        <v>-2214.169419711852</v>
      </c>
      <c r="L670" s="356">
        <f t="shared" si="198"/>
        <v>2211955.2502921396</v>
      </c>
      <c r="N670" s="356">
        <f t="shared" si="206"/>
        <v>647</v>
      </c>
      <c r="O670" s="357">
        <f t="shared" si="192"/>
        <v>53</v>
      </c>
      <c r="P670" s="357">
        <f t="shared" si="193"/>
        <v>11</v>
      </c>
      <c r="Q670" s="357">
        <f t="shared" si="194"/>
        <v>53</v>
      </c>
      <c r="R670" s="356">
        <f t="shared" si="207"/>
        <v>110114850.56658392</v>
      </c>
      <c r="S670" s="356">
        <f>IF($G$17="si",S658*(1+$G$20),S658)</f>
        <v>10000</v>
      </c>
      <c r="U670" s="356">
        <f t="shared" si="195"/>
        <v>878151.0231299824</v>
      </c>
      <c r="V670" s="356">
        <f t="shared" si="196"/>
        <v>-609.1467818788549</v>
      </c>
      <c r="X670" s="356">
        <f t="shared" si="199"/>
        <v>-111003.00158971391</v>
      </c>
      <c r="Y670" s="356">
        <f t="shared" si="200"/>
        <v>110891389.44134231</v>
      </c>
      <c r="AA670" s="357">
        <f>+Bono!J670</f>
        <v>916457.7483153138</v>
      </c>
      <c r="AC670" s="378">
        <f t="shared" si="201"/>
        <v>53.916666666666664</v>
      </c>
      <c r="AD670" s="356">
        <f t="shared" si="202"/>
        <v>114019802.43994977</v>
      </c>
    </row>
    <row r="671" spans="2:30" x14ac:dyDescent="0.25">
      <c r="B671" s="356">
        <f t="shared" si="203"/>
        <v>648</v>
      </c>
      <c r="C671" s="357">
        <f t="shared" si="189"/>
        <v>53</v>
      </c>
      <c r="D671" s="357">
        <f t="shared" si="190"/>
        <v>12</v>
      </c>
      <c r="E671" s="357">
        <f t="shared" si="191"/>
        <v>82</v>
      </c>
      <c r="F671" s="356">
        <f t="shared" si="204"/>
        <v>2211955.2502921396</v>
      </c>
      <c r="H671" s="356">
        <f t="shared" si="197"/>
        <v>17638.441788280496</v>
      </c>
      <c r="I671" s="356">
        <v>0</v>
      </c>
      <c r="J671" s="360">
        <f>-SUM(F671:H671)*$J$21</f>
        <v>-20066.34322872378</v>
      </c>
      <c r="K671" s="356">
        <f t="shared" si="205"/>
        <v>-2209.5273488516964</v>
      </c>
      <c r="L671" s="356">
        <f t="shared" si="198"/>
        <v>2207317.8215028443</v>
      </c>
      <c r="N671" s="356">
        <f t="shared" si="206"/>
        <v>648</v>
      </c>
      <c r="O671" s="357">
        <f t="shared" si="192"/>
        <v>53</v>
      </c>
      <c r="P671" s="357">
        <f t="shared" si="193"/>
        <v>12</v>
      </c>
      <c r="Q671" s="357">
        <f t="shared" si="194"/>
        <v>53</v>
      </c>
      <c r="R671" s="356">
        <f t="shared" si="207"/>
        <v>110891389.44134231</v>
      </c>
      <c r="S671" s="356">
        <f>IF($G$4="mensual",S670,0)</f>
        <v>10000</v>
      </c>
      <c r="U671" s="356">
        <f t="shared" si="195"/>
        <v>884343.2531658087</v>
      </c>
      <c r="V671" s="356">
        <f t="shared" si="196"/>
        <v>-609.1467818788549</v>
      </c>
      <c r="X671" s="356">
        <f t="shared" si="199"/>
        <v>-111785.73269450813</v>
      </c>
      <c r="Y671" s="356">
        <f t="shared" si="200"/>
        <v>111673337.81503174</v>
      </c>
      <c r="AA671" s="357">
        <f>+Bono!J671</f>
        <v>913832.3260568709</v>
      </c>
      <c r="AC671" s="378">
        <f t="shared" si="201"/>
        <v>54</v>
      </c>
      <c r="AD671" s="356">
        <f t="shared" si="202"/>
        <v>114794487.96259145</v>
      </c>
    </row>
    <row r="672" spans="2:30" x14ac:dyDescent="0.25">
      <c r="B672" s="356">
        <f t="shared" si="203"/>
        <v>649</v>
      </c>
      <c r="C672" s="357">
        <f t="shared" si="189"/>
        <v>54</v>
      </c>
      <c r="D672" s="357">
        <f t="shared" si="190"/>
        <v>1</v>
      </c>
      <c r="E672" s="357">
        <f t="shared" si="191"/>
        <v>83</v>
      </c>
      <c r="F672" s="356">
        <f t="shared" si="204"/>
        <v>2207317.8215028443</v>
      </c>
      <c r="H672" s="356">
        <f t="shared" si="197"/>
        <v>17601.462279885614</v>
      </c>
      <c r="I672" s="356">
        <v>0</v>
      </c>
      <c r="J672" s="356">
        <v>0</v>
      </c>
      <c r="K672" s="356">
        <f t="shared" si="205"/>
        <v>-2224.91928378273</v>
      </c>
      <c r="L672" s="356">
        <f t="shared" si="198"/>
        <v>2222694.3644989473</v>
      </c>
      <c r="N672" s="356">
        <f t="shared" si="206"/>
        <v>649</v>
      </c>
      <c r="O672" s="357">
        <f t="shared" si="192"/>
        <v>54</v>
      </c>
      <c r="P672" s="357">
        <f t="shared" si="193"/>
        <v>1</v>
      </c>
      <c r="Q672" s="357">
        <f t="shared" si="194"/>
        <v>54</v>
      </c>
      <c r="R672" s="356">
        <f t="shared" si="207"/>
        <v>111673337.81503174</v>
      </c>
      <c r="S672" s="356">
        <f>IF($G$17="si",S660*(1+$G$20),S660)</f>
        <v>10000</v>
      </c>
      <c r="U672" s="356">
        <f t="shared" si="195"/>
        <v>890578.6193057612</v>
      </c>
      <c r="V672" s="356">
        <f>V671*(1+$G$18)</f>
        <v>-633.5126531540091</v>
      </c>
      <c r="X672" s="356">
        <f t="shared" si="199"/>
        <v>-112573.9164343375</v>
      </c>
      <c r="Y672" s="356">
        <f t="shared" si="200"/>
        <v>112460709.00525</v>
      </c>
      <c r="AA672" s="357">
        <f>+Bono!J672</f>
        <v>919498.1924764125</v>
      </c>
      <c r="AC672" s="378">
        <f t="shared" si="201"/>
        <v>54.083333333333336</v>
      </c>
      <c r="AD672" s="356">
        <f t="shared" si="202"/>
        <v>115602901.56222536</v>
      </c>
    </row>
    <row r="673" spans="2:30" x14ac:dyDescent="0.25">
      <c r="B673" s="356">
        <f t="shared" si="203"/>
        <v>650</v>
      </c>
      <c r="C673" s="357">
        <f t="shared" si="189"/>
        <v>54</v>
      </c>
      <c r="D673" s="357">
        <f t="shared" si="190"/>
        <v>2</v>
      </c>
      <c r="E673" s="357">
        <f t="shared" si="191"/>
        <v>83</v>
      </c>
      <c r="F673" s="356">
        <f t="shared" si="204"/>
        <v>2222694.3644989473</v>
      </c>
      <c r="H673" s="356">
        <f t="shared" si="197"/>
        <v>17724.076993047616</v>
      </c>
      <c r="I673" s="356">
        <v>0</v>
      </c>
      <c r="J673" s="356">
        <v>0</v>
      </c>
      <c r="K673" s="356">
        <f t="shared" si="205"/>
        <v>-2240.418441491995</v>
      </c>
      <c r="L673" s="356">
        <f t="shared" si="198"/>
        <v>2238178.023050503</v>
      </c>
      <c r="N673" s="356">
        <f t="shared" si="206"/>
        <v>650</v>
      </c>
      <c r="O673" s="357">
        <f t="shared" si="192"/>
        <v>54</v>
      </c>
      <c r="P673" s="357">
        <f t="shared" si="193"/>
        <v>2</v>
      </c>
      <c r="Q673" s="357">
        <f t="shared" si="194"/>
        <v>54</v>
      </c>
      <c r="R673" s="356">
        <f t="shared" si="207"/>
        <v>112460709.00525</v>
      </c>
      <c r="S673" s="356">
        <f>IF($G$4="mensual",S672,0)</f>
        <v>10000</v>
      </c>
      <c r="U673" s="356">
        <f t="shared" si="195"/>
        <v>896857.2277462347</v>
      </c>
      <c r="V673" s="356">
        <f>V672</f>
        <v>-633.5126531540091</v>
      </c>
      <c r="X673" s="356">
        <f t="shared" si="199"/>
        <v>-113367.56623299624</v>
      </c>
      <c r="Y673" s="356">
        <f t="shared" si="200"/>
        <v>113253565.15411009</v>
      </c>
      <c r="AA673" s="357">
        <f>+Bono!J673</f>
        <v>925199.187924955</v>
      </c>
      <c r="AC673" s="378">
        <f t="shared" si="201"/>
        <v>54.166666666666664</v>
      </c>
      <c r="AD673" s="356">
        <f t="shared" si="202"/>
        <v>116416942.36508554</v>
      </c>
    </row>
    <row r="674" spans="2:30" x14ac:dyDescent="0.25">
      <c r="B674" s="356">
        <f t="shared" si="203"/>
        <v>651</v>
      </c>
      <c r="C674" s="357">
        <f t="shared" si="189"/>
        <v>54</v>
      </c>
      <c r="D674" s="357">
        <f t="shared" si="190"/>
        <v>3</v>
      </c>
      <c r="E674" s="357">
        <f t="shared" si="191"/>
        <v>83</v>
      </c>
      <c r="F674" s="356">
        <f t="shared" si="204"/>
        <v>2238178.023050503</v>
      </c>
      <c r="H674" s="356">
        <f t="shared" si="197"/>
        <v>17847.545860690916</v>
      </c>
      <c r="I674" s="356">
        <v>0</v>
      </c>
      <c r="J674" s="360">
        <f>-SUM(F674:H674)*$J$21</f>
        <v>-20304.230120200747</v>
      </c>
      <c r="K674" s="356">
        <f t="shared" si="205"/>
        <v>-2235.7213387909933</v>
      </c>
      <c r="L674" s="356">
        <f t="shared" si="198"/>
        <v>2233485.6174522024</v>
      </c>
      <c r="N674" s="356">
        <f t="shared" si="206"/>
        <v>651</v>
      </c>
      <c r="O674" s="357">
        <f t="shared" si="192"/>
        <v>54</v>
      </c>
      <c r="P674" s="357">
        <f t="shared" si="193"/>
        <v>3</v>
      </c>
      <c r="Q674" s="357">
        <f t="shared" si="194"/>
        <v>54</v>
      </c>
      <c r="R674" s="356">
        <f t="shared" si="207"/>
        <v>113253565.15411009</v>
      </c>
      <c r="S674" s="356">
        <f>IF($G$4="mensual",S673,0)</f>
        <v>10000</v>
      </c>
      <c r="U674" s="356">
        <f t="shared" si="195"/>
        <v>903179.5740171649</v>
      </c>
      <c r="V674" s="356">
        <f t="shared" si="196"/>
        <v>-633.5126531540091</v>
      </c>
      <c r="X674" s="356">
        <f t="shared" si="199"/>
        <v>-114166.74472812726</v>
      </c>
      <c r="Y674" s="356">
        <f t="shared" si="200"/>
        <v>114051944.47074597</v>
      </c>
      <c r="AA674" s="357">
        <f>+Bono!J674</f>
        <v>922548.7236281157</v>
      </c>
      <c r="AC674" s="378">
        <f t="shared" si="201"/>
        <v>54.25</v>
      </c>
      <c r="AD674" s="356">
        <f t="shared" si="202"/>
        <v>117207978.81182629</v>
      </c>
    </row>
    <row r="675" spans="2:30" x14ac:dyDescent="0.25">
      <c r="B675" s="356">
        <f t="shared" si="203"/>
        <v>652</v>
      </c>
      <c r="C675" s="357">
        <f t="shared" si="189"/>
        <v>54</v>
      </c>
      <c r="D675" s="357">
        <f t="shared" si="190"/>
        <v>4</v>
      </c>
      <c r="E675" s="357">
        <f t="shared" si="191"/>
        <v>83</v>
      </c>
      <c r="F675" s="356">
        <f t="shared" si="204"/>
        <v>2233485.6174522024</v>
      </c>
      <c r="H675" s="356">
        <f t="shared" si="197"/>
        <v>17810.127959500693</v>
      </c>
      <c r="I675" s="356">
        <v>0</v>
      </c>
      <c r="J675" s="356">
        <v>0</v>
      </c>
      <c r="K675" s="356">
        <f t="shared" si="205"/>
        <v>-2251.295745411703</v>
      </c>
      <c r="L675" s="356">
        <f t="shared" si="198"/>
        <v>2249044.449666291</v>
      </c>
      <c r="N675" s="356">
        <f t="shared" si="206"/>
        <v>652</v>
      </c>
      <c r="O675" s="357">
        <f t="shared" si="192"/>
        <v>54</v>
      </c>
      <c r="P675" s="357">
        <f t="shared" si="193"/>
        <v>4</v>
      </c>
      <c r="Q675" s="357">
        <f t="shared" si="194"/>
        <v>54</v>
      </c>
      <c r="R675" s="356">
        <f t="shared" si="207"/>
        <v>114051944.47074597</v>
      </c>
      <c r="S675" s="356">
        <f>IF($G$4="mensual",S672,IF($G$4="trimestral",S672,0))</f>
        <v>10000</v>
      </c>
      <c r="U675" s="356">
        <f t="shared" si="195"/>
        <v>909545.9628035516</v>
      </c>
      <c r="V675" s="356">
        <f t="shared" si="196"/>
        <v>-633.5126531540091</v>
      </c>
      <c r="X675" s="356">
        <f t="shared" si="199"/>
        <v>-114971.49043354952</v>
      </c>
      <c r="Y675" s="356">
        <f t="shared" si="200"/>
        <v>114855885.43046282</v>
      </c>
      <c r="AA675" s="357">
        <f>+Bono!J675</f>
        <v>928268.6327236386</v>
      </c>
      <c r="AC675" s="378">
        <f t="shared" si="201"/>
        <v>54.333333333333336</v>
      </c>
      <c r="AD675" s="356">
        <f t="shared" si="202"/>
        <v>118033198.51285276</v>
      </c>
    </row>
    <row r="676" spans="2:30" x14ac:dyDescent="0.25">
      <c r="B676" s="356">
        <f t="shared" si="203"/>
        <v>653</v>
      </c>
      <c r="C676" s="357">
        <f t="shared" ref="C676:C739" si="208">C664+1</f>
        <v>54</v>
      </c>
      <c r="D676" s="357">
        <f t="shared" ref="D676:D739" si="209">D664</f>
        <v>5</v>
      </c>
      <c r="E676" s="357">
        <f t="shared" ref="E676:E739" si="210">E664+1</f>
        <v>83</v>
      </c>
      <c r="F676" s="356">
        <f t="shared" si="204"/>
        <v>2249044.449666291</v>
      </c>
      <c r="H676" s="356">
        <f t="shared" si="197"/>
        <v>17934.196272485588</v>
      </c>
      <c r="I676" s="356">
        <v>0</v>
      </c>
      <c r="J676" s="356">
        <v>0</v>
      </c>
      <c r="K676" s="356">
        <f t="shared" si="205"/>
        <v>-2266.9786459387765</v>
      </c>
      <c r="L676" s="356">
        <f t="shared" si="198"/>
        <v>2264711.6672928375</v>
      </c>
      <c r="N676" s="356">
        <f t="shared" si="206"/>
        <v>653</v>
      </c>
      <c r="O676" s="357">
        <f t="shared" ref="O676:O739" si="211">O664+1</f>
        <v>54</v>
      </c>
      <c r="P676" s="357">
        <f t="shared" ref="P676:P739" si="212">P664</f>
        <v>5</v>
      </c>
      <c r="Q676" s="357">
        <f t="shared" ref="Q676:Q739" si="213">Q664+1</f>
        <v>54</v>
      </c>
      <c r="R676" s="356">
        <f t="shared" si="207"/>
        <v>114855885.43046282</v>
      </c>
      <c r="S676" s="356">
        <f>IF($G$4="mensual",S675,0)</f>
        <v>10000</v>
      </c>
      <c r="U676" s="356">
        <f t="shared" ref="U676:U739" si="214">SUM(R676:T676)*$G$8</f>
        <v>915956.7009128814</v>
      </c>
      <c r="V676" s="356">
        <f t="shared" si="196"/>
        <v>-633.5126531540091</v>
      </c>
      <c r="X676" s="356">
        <f t="shared" si="199"/>
        <v>-115781.8421313757</v>
      </c>
      <c r="Y676" s="356">
        <f t="shared" si="200"/>
        <v>115665426.77659117</v>
      </c>
      <c r="AA676" s="357">
        <f>+Bono!J676</f>
        <v>934024.005919022</v>
      </c>
      <c r="AC676" s="378">
        <f t="shared" si="201"/>
        <v>54.416666666666664</v>
      </c>
      <c r="AD676" s="356">
        <f t="shared" si="202"/>
        <v>118864162.44980302</v>
      </c>
    </row>
    <row r="677" spans="2:30" x14ac:dyDescent="0.25">
      <c r="B677" s="356">
        <f t="shared" si="203"/>
        <v>654</v>
      </c>
      <c r="C677" s="357">
        <f t="shared" si="208"/>
        <v>54</v>
      </c>
      <c r="D677" s="357">
        <f t="shared" si="209"/>
        <v>6</v>
      </c>
      <c r="E677" s="357">
        <f t="shared" si="210"/>
        <v>83</v>
      </c>
      <c r="F677" s="356">
        <f t="shared" si="204"/>
        <v>2264711.6672928375</v>
      </c>
      <c r="H677" s="356">
        <f t="shared" si="197"/>
        <v>18059.128865969866</v>
      </c>
      <c r="I677" s="356">
        <v>0</v>
      </c>
      <c r="J677" s="360">
        <f>-SUM(F677:H677)*$J$21</f>
        <v>-20544.93716542927</v>
      </c>
      <c r="K677" s="356">
        <f t="shared" si="205"/>
        <v>-2262.225858993378</v>
      </c>
      <c r="L677" s="356">
        <f t="shared" si="198"/>
        <v>2259963.6331343846</v>
      </c>
      <c r="N677" s="356">
        <f t="shared" si="206"/>
        <v>654</v>
      </c>
      <c r="O677" s="357">
        <f t="shared" si="211"/>
        <v>54</v>
      </c>
      <c r="P677" s="357">
        <f t="shared" si="212"/>
        <v>6</v>
      </c>
      <c r="Q677" s="357">
        <f t="shared" si="213"/>
        <v>54</v>
      </c>
      <c r="R677" s="356">
        <f t="shared" si="207"/>
        <v>115665426.77659117</v>
      </c>
      <c r="S677" s="356">
        <f>IF($G$4="mensual",S676,0)</f>
        <v>10000</v>
      </c>
      <c r="U677" s="356">
        <f t="shared" si="214"/>
        <v>922412.0972899126</v>
      </c>
      <c r="V677" s="356">
        <f t="shared" si="196"/>
        <v>-633.5126531540091</v>
      </c>
      <c r="X677" s="356">
        <f t="shared" si="199"/>
        <v>-116597.83887388109</v>
      </c>
      <c r="Y677" s="356">
        <f t="shared" si="200"/>
        <v>116480607.52235405</v>
      </c>
      <c r="AA677" s="357">
        <f>+Bono!J677</f>
        <v>931348.2607255664</v>
      </c>
      <c r="AC677" s="378">
        <f t="shared" si="201"/>
        <v>54.5</v>
      </c>
      <c r="AD677" s="356">
        <f t="shared" si="202"/>
        <v>119671919.416214</v>
      </c>
    </row>
    <row r="678" spans="2:30" x14ac:dyDescent="0.25">
      <c r="B678" s="356">
        <f t="shared" si="203"/>
        <v>655</v>
      </c>
      <c r="C678" s="357">
        <f t="shared" si="208"/>
        <v>54</v>
      </c>
      <c r="D678" s="357">
        <f t="shared" si="209"/>
        <v>7</v>
      </c>
      <c r="E678" s="357">
        <f t="shared" si="210"/>
        <v>83</v>
      </c>
      <c r="F678" s="356">
        <f t="shared" si="204"/>
        <v>2259963.6331343846</v>
      </c>
      <c r="H678" s="356">
        <f t="shared" si="197"/>
        <v>18021.26737482913</v>
      </c>
      <c r="I678" s="356">
        <v>0</v>
      </c>
      <c r="J678" s="356">
        <v>0</v>
      </c>
      <c r="K678" s="356">
        <f t="shared" si="205"/>
        <v>-2277.9849005092137</v>
      </c>
      <c r="L678" s="356">
        <f t="shared" si="198"/>
        <v>2275706.9156087046</v>
      </c>
      <c r="N678" s="356">
        <f t="shared" si="206"/>
        <v>655</v>
      </c>
      <c r="O678" s="357">
        <f t="shared" si="211"/>
        <v>54</v>
      </c>
      <c r="P678" s="357">
        <f t="shared" si="212"/>
        <v>7</v>
      </c>
      <c r="Q678" s="357">
        <f t="shared" si="213"/>
        <v>54</v>
      </c>
      <c r="R678" s="356">
        <f t="shared" si="207"/>
        <v>116480607.52235405</v>
      </c>
      <c r="S678" s="356">
        <f>+IF($G$4="mensual",S672,IF($G$4="trimestral",S672,IF($G$4="semestral",S672,0)))</f>
        <v>10000</v>
      </c>
      <c r="U678" s="356">
        <f t="shared" si="214"/>
        <v>928912.4630315644</v>
      </c>
      <c r="V678" s="356">
        <f t="shared" si="196"/>
        <v>-633.5126531540091</v>
      </c>
      <c r="X678" s="356">
        <f t="shared" si="199"/>
        <v>-117419.51998538562</v>
      </c>
      <c r="Y678" s="356">
        <f t="shared" si="200"/>
        <v>117301466.95274706</v>
      </c>
      <c r="AA678" s="357">
        <f>+Bono!J678</f>
        <v>937122.7279717766</v>
      </c>
      <c r="AC678" s="378">
        <f t="shared" si="201"/>
        <v>54.583333333333336</v>
      </c>
      <c r="AD678" s="356">
        <f t="shared" si="202"/>
        <v>120514296.59632754</v>
      </c>
    </row>
    <row r="679" spans="2:30" x14ac:dyDescent="0.25">
      <c r="B679" s="356">
        <f t="shared" si="203"/>
        <v>656</v>
      </c>
      <c r="C679" s="357">
        <f t="shared" si="208"/>
        <v>54</v>
      </c>
      <c r="D679" s="357">
        <f t="shared" si="209"/>
        <v>8</v>
      </c>
      <c r="E679" s="357">
        <f t="shared" si="210"/>
        <v>83</v>
      </c>
      <c r="F679" s="356">
        <f t="shared" si="204"/>
        <v>2275706.9156087046</v>
      </c>
      <c r="H679" s="356">
        <f t="shared" si="197"/>
        <v>18146.806520091257</v>
      </c>
      <c r="I679" s="356">
        <v>0</v>
      </c>
      <c r="J679" s="356">
        <v>0</v>
      </c>
      <c r="K679" s="356">
        <f t="shared" si="205"/>
        <v>-2293.853722128796</v>
      </c>
      <c r="L679" s="356">
        <f t="shared" si="198"/>
        <v>2291559.868406667</v>
      </c>
      <c r="N679" s="356">
        <f t="shared" si="206"/>
        <v>656</v>
      </c>
      <c r="O679" s="357">
        <f t="shared" si="211"/>
        <v>54</v>
      </c>
      <c r="P679" s="357">
        <f t="shared" si="212"/>
        <v>8</v>
      </c>
      <c r="Q679" s="357">
        <f t="shared" si="213"/>
        <v>54</v>
      </c>
      <c r="R679" s="356">
        <f t="shared" si="207"/>
        <v>117301466.95274706</v>
      </c>
      <c r="S679" s="356">
        <f>IF($G$4="mensual",S678,0)</f>
        <v>10000</v>
      </c>
      <c r="U679" s="356">
        <f t="shared" si="214"/>
        <v>935458.1114019082</v>
      </c>
      <c r="V679" s="356">
        <f t="shared" si="196"/>
        <v>-633.5126531540091</v>
      </c>
      <c r="X679" s="356">
        <f t="shared" si="199"/>
        <v>-118246.92506414898</v>
      </c>
      <c r="Y679" s="356">
        <f t="shared" si="200"/>
        <v>118128044.62643167</v>
      </c>
      <c r="AA679" s="357">
        <f>+Bono!J679</f>
        <v>942932.99758471</v>
      </c>
      <c r="AC679" s="378">
        <f t="shared" si="201"/>
        <v>54.666666666666664</v>
      </c>
      <c r="AD679" s="356">
        <f t="shared" si="202"/>
        <v>121362537.49242306</v>
      </c>
    </row>
    <row r="680" spans="2:30" x14ac:dyDescent="0.25">
      <c r="B680" s="356">
        <f t="shared" si="203"/>
        <v>657</v>
      </c>
      <c r="C680" s="357">
        <f t="shared" si="208"/>
        <v>54</v>
      </c>
      <c r="D680" s="357">
        <f t="shared" si="209"/>
        <v>9</v>
      </c>
      <c r="E680" s="357">
        <f t="shared" si="210"/>
        <v>83</v>
      </c>
      <c r="F680" s="356">
        <f t="shared" si="204"/>
        <v>2291559.868406667</v>
      </c>
      <c r="H680" s="356">
        <f t="shared" si="197"/>
        <v>18273.220191914992</v>
      </c>
      <c r="I680" s="356">
        <v>0</v>
      </c>
      <c r="J680" s="360">
        <f>-SUM(F680:H680)*$J$21</f>
        <v>-20788.49779738724</v>
      </c>
      <c r="K680" s="356">
        <f t="shared" si="205"/>
        <v>-2289.0445908011948</v>
      </c>
      <c r="L680" s="356">
        <f t="shared" si="198"/>
        <v>2286755.546210394</v>
      </c>
      <c r="N680" s="356">
        <f t="shared" si="206"/>
        <v>657</v>
      </c>
      <c r="O680" s="357">
        <f t="shared" si="211"/>
        <v>54</v>
      </c>
      <c r="P680" s="357">
        <f t="shared" si="212"/>
        <v>9</v>
      </c>
      <c r="Q680" s="357">
        <f t="shared" si="213"/>
        <v>54</v>
      </c>
      <c r="R680" s="356">
        <f t="shared" si="207"/>
        <v>118128044.62643167</v>
      </c>
      <c r="S680" s="356">
        <f>IF($G$4="mensual",S679,0)</f>
        <v>10000</v>
      </c>
      <c r="U680" s="356">
        <f t="shared" si="214"/>
        <v>942049.3578472659</v>
      </c>
      <c r="V680" s="356">
        <f t="shared" si="196"/>
        <v>-633.5126531540091</v>
      </c>
      <c r="X680" s="356">
        <f t="shared" si="199"/>
        <v>-119080.09398427895</v>
      </c>
      <c r="Y680" s="356">
        <f t="shared" si="200"/>
        <v>118960380.37764151</v>
      </c>
      <c r="AA680" s="357">
        <f>+Bono!J680</f>
        <v>940231.7303581194</v>
      </c>
      <c r="AC680" s="378">
        <f t="shared" si="201"/>
        <v>54.75</v>
      </c>
      <c r="AD680" s="356">
        <f t="shared" si="202"/>
        <v>122187367.65421003</v>
      </c>
    </row>
    <row r="681" spans="2:30" x14ac:dyDescent="0.25">
      <c r="B681" s="356">
        <f t="shared" si="203"/>
        <v>658</v>
      </c>
      <c r="C681" s="357">
        <f t="shared" si="208"/>
        <v>54</v>
      </c>
      <c r="D681" s="357">
        <f t="shared" si="209"/>
        <v>10</v>
      </c>
      <c r="E681" s="357">
        <f t="shared" si="210"/>
        <v>83</v>
      </c>
      <c r="F681" s="356">
        <f t="shared" si="204"/>
        <v>2286755.546210394</v>
      </c>
      <c r="H681" s="356">
        <f t="shared" si="197"/>
        <v>18234.90985205621</v>
      </c>
      <c r="I681" s="356">
        <v>0</v>
      </c>
      <c r="J681" s="356">
        <v>0</v>
      </c>
      <c r="K681" s="356">
        <f t="shared" si="205"/>
        <v>-2304.99045606245</v>
      </c>
      <c r="L681" s="356">
        <f t="shared" si="198"/>
        <v>2302685.4656063877</v>
      </c>
      <c r="N681" s="356">
        <f t="shared" si="206"/>
        <v>658</v>
      </c>
      <c r="O681" s="357">
        <f t="shared" si="211"/>
        <v>54</v>
      </c>
      <c r="P681" s="357">
        <f t="shared" si="212"/>
        <v>10</v>
      </c>
      <c r="Q681" s="357">
        <f t="shared" si="213"/>
        <v>54</v>
      </c>
      <c r="R681" s="356">
        <f t="shared" si="207"/>
        <v>118960380.37764151</v>
      </c>
      <c r="S681" s="356">
        <f>IF($G$4="mensual",S672,IF($G$4="trimestral",S672,0))</f>
        <v>10000</v>
      </c>
      <c r="U681" s="356">
        <f t="shared" si="214"/>
        <v>948686.5200114102</v>
      </c>
      <c r="V681" s="356">
        <f t="shared" si="196"/>
        <v>-633.5126531540091</v>
      </c>
      <c r="X681" s="356">
        <f t="shared" si="199"/>
        <v>-119919.06689765293</v>
      </c>
      <c r="Y681" s="356">
        <f t="shared" si="200"/>
        <v>119798514.31810212</v>
      </c>
      <c r="AA681" s="357">
        <f>+Bono!J681</f>
        <v>946061.2761464701</v>
      </c>
      <c r="AC681" s="378">
        <f t="shared" si="201"/>
        <v>54.833333333333336</v>
      </c>
      <c r="AD681" s="356">
        <f t="shared" si="202"/>
        <v>123047261.05985498</v>
      </c>
    </row>
    <row r="682" spans="2:30" x14ac:dyDescent="0.25">
      <c r="B682" s="356">
        <f t="shared" si="203"/>
        <v>659</v>
      </c>
      <c r="C682" s="357">
        <f t="shared" si="208"/>
        <v>54</v>
      </c>
      <c r="D682" s="357">
        <f t="shared" si="209"/>
        <v>11</v>
      </c>
      <c r="E682" s="357">
        <f t="shared" si="210"/>
        <v>83</v>
      </c>
      <c r="F682" s="356">
        <f t="shared" si="204"/>
        <v>2302685.4656063877</v>
      </c>
      <c r="H682" s="356">
        <f t="shared" si="197"/>
        <v>18361.937266340985</v>
      </c>
      <c r="I682" s="356">
        <v>0</v>
      </c>
      <c r="J682" s="356">
        <v>0</v>
      </c>
      <c r="K682" s="356">
        <f t="shared" si="205"/>
        <v>-2321.0474028727285</v>
      </c>
      <c r="L682" s="356">
        <f t="shared" si="198"/>
        <v>2318726.355469856</v>
      </c>
      <c r="N682" s="356">
        <f t="shared" si="206"/>
        <v>659</v>
      </c>
      <c r="O682" s="357">
        <f t="shared" si="211"/>
        <v>54</v>
      </c>
      <c r="P682" s="357">
        <f t="shared" si="212"/>
        <v>11</v>
      </c>
      <c r="Q682" s="357">
        <f t="shared" si="213"/>
        <v>54</v>
      </c>
      <c r="R682" s="356">
        <f t="shared" si="207"/>
        <v>119798514.31810212</v>
      </c>
      <c r="S682" s="356">
        <f>IF($G$17="si",S670*(1+$G$20),S670)</f>
        <v>10000</v>
      </c>
      <c r="U682" s="356">
        <f t="shared" si="214"/>
        <v>955369.9177508736</v>
      </c>
      <c r="V682" s="356">
        <f t="shared" si="196"/>
        <v>-633.5126531540091</v>
      </c>
      <c r="X682" s="356">
        <f t="shared" si="199"/>
        <v>-120763.88423585301</v>
      </c>
      <c r="Y682" s="356">
        <f t="shared" si="200"/>
        <v>120642486.83896399</v>
      </c>
      <c r="AA682" s="357">
        <f>+Bono!J682</f>
        <v>951926.9657948941</v>
      </c>
      <c r="AC682" s="378">
        <f t="shared" si="201"/>
        <v>54.916666666666664</v>
      </c>
      <c r="AD682" s="356">
        <f t="shared" si="202"/>
        <v>123913140.16022873</v>
      </c>
    </row>
    <row r="683" spans="2:30" x14ac:dyDescent="0.25">
      <c r="B683" s="356">
        <f t="shared" si="203"/>
        <v>660</v>
      </c>
      <c r="C683" s="357">
        <f t="shared" si="208"/>
        <v>54</v>
      </c>
      <c r="D683" s="357">
        <f t="shared" si="209"/>
        <v>12</v>
      </c>
      <c r="E683" s="357">
        <f t="shared" si="210"/>
        <v>83</v>
      </c>
      <c r="F683" s="356">
        <f t="shared" si="204"/>
        <v>2318726.355469856</v>
      </c>
      <c r="H683" s="356">
        <f t="shared" si="197"/>
        <v>18489.84957471686</v>
      </c>
      <c r="I683" s="356">
        <v>0</v>
      </c>
      <c r="J683" s="360">
        <f>-SUM(F683:H683)*$J$21</f>
        <v>-21034.94584540116</v>
      </c>
      <c r="K683" s="356">
        <f t="shared" si="205"/>
        <v>-2316.1812591991716</v>
      </c>
      <c r="L683" s="356">
        <f t="shared" si="198"/>
        <v>2313865.0779399723</v>
      </c>
      <c r="N683" s="356">
        <f t="shared" si="206"/>
        <v>660</v>
      </c>
      <c r="O683" s="357">
        <f t="shared" si="211"/>
        <v>54</v>
      </c>
      <c r="P683" s="357">
        <f t="shared" si="212"/>
        <v>12</v>
      </c>
      <c r="Q683" s="357">
        <f t="shared" si="213"/>
        <v>54</v>
      </c>
      <c r="R683" s="356">
        <f t="shared" si="207"/>
        <v>120642486.83896399</v>
      </c>
      <c r="S683" s="356">
        <f>IF($G$4="mensual",S682,0)</f>
        <v>10000</v>
      </c>
      <c r="U683" s="356">
        <f t="shared" si="214"/>
        <v>962099.873150362</v>
      </c>
      <c r="V683" s="356">
        <f t="shared" si="196"/>
        <v>-633.5126531540091</v>
      </c>
      <c r="X683" s="356">
        <f t="shared" si="199"/>
        <v>-121614.58671211435</v>
      </c>
      <c r="Y683" s="356">
        <f t="shared" si="200"/>
        <v>121492338.61274908</v>
      </c>
      <c r="AA683" s="357">
        <f>+Bono!J683</f>
        <v>949199.9330986197</v>
      </c>
      <c r="AC683" s="378">
        <f t="shared" si="201"/>
        <v>55</v>
      </c>
      <c r="AD683" s="356">
        <f t="shared" si="202"/>
        <v>124755403.62378767</v>
      </c>
    </row>
    <row r="684" spans="2:30" x14ac:dyDescent="0.25">
      <c r="B684" s="356">
        <f t="shared" si="203"/>
        <v>661</v>
      </c>
      <c r="C684" s="357">
        <f t="shared" si="208"/>
        <v>55</v>
      </c>
      <c r="D684" s="357">
        <f t="shared" si="209"/>
        <v>1</v>
      </c>
      <c r="E684" s="357">
        <f t="shared" si="210"/>
        <v>84</v>
      </c>
      <c r="F684" s="356">
        <f t="shared" si="204"/>
        <v>2313865.0779399723</v>
      </c>
      <c r="H684" s="356">
        <f t="shared" si="197"/>
        <v>18451.085065029692</v>
      </c>
      <c r="I684" s="356">
        <v>0</v>
      </c>
      <c r="J684" s="356">
        <v>0</v>
      </c>
      <c r="K684" s="356">
        <f t="shared" si="205"/>
        <v>-2332.3161630050017</v>
      </c>
      <c r="L684" s="356">
        <f t="shared" si="198"/>
        <v>2329983.846841997</v>
      </c>
      <c r="N684" s="356">
        <f t="shared" si="206"/>
        <v>661</v>
      </c>
      <c r="O684" s="357">
        <f t="shared" si="211"/>
        <v>55</v>
      </c>
      <c r="P684" s="357">
        <f t="shared" si="212"/>
        <v>1</v>
      </c>
      <c r="Q684" s="357">
        <f t="shared" si="213"/>
        <v>55</v>
      </c>
      <c r="R684" s="356">
        <f t="shared" si="207"/>
        <v>121492338.61274908</v>
      </c>
      <c r="S684" s="356">
        <f>IF($G$17="si",S672*(1+$G$20),S672)</f>
        <v>10000</v>
      </c>
      <c r="U684" s="356">
        <f t="shared" si="214"/>
        <v>968876.7105382774</v>
      </c>
      <c r="V684" s="356">
        <f>V683*(1+$G$18)</f>
        <v>-658.8531592801694</v>
      </c>
      <c r="X684" s="356">
        <f t="shared" si="199"/>
        <v>-122471.21532328737</v>
      </c>
      <c r="Y684" s="356">
        <f t="shared" si="200"/>
        <v>122348085.2548048</v>
      </c>
      <c r="AA684" s="357">
        <f>+Bono!J684</f>
        <v>955085.0827842087</v>
      </c>
      <c r="AC684" s="378">
        <f t="shared" si="201"/>
        <v>55.083333333333336</v>
      </c>
      <c r="AD684" s="356">
        <f t="shared" si="202"/>
        <v>125633154.184431</v>
      </c>
    </row>
    <row r="685" spans="2:30" x14ac:dyDescent="0.25">
      <c r="B685" s="356">
        <f t="shared" si="203"/>
        <v>662</v>
      </c>
      <c r="C685" s="357">
        <f t="shared" si="208"/>
        <v>55</v>
      </c>
      <c r="D685" s="357">
        <f t="shared" si="209"/>
        <v>2</v>
      </c>
      <c r="E685" s="357">
        <f t="shared" si="210"/>
        <v>84</v>
      </c>
      <c r="F685" s="356">
        <f t="shared" si="204"/>
        <v>2329983.846841997</v>
      </c>
      <c r="H685" s="356">
        <f t="shared" si="197"/>
        <v>18579.618391795484</v>
      </c>
      <c r="I685" s="356">
        <v>0</v>
      </c>
      <c r="J685" s="356">
        <v>0</v>
      </c>
      <c r="K685" s="356">
        <f t="shared" si="205"/>
        <v>-2348.5634652337926</v>
      </c>
      <c r="L685" s="356">
        <f t="shared" si="198"/>
        <v>2346214.9017685587</v>
      </c>
      <c r="N685" s="356">
        <f t="shared" si="206"/>
        <v>662</v>
      </c>
      <c r="O685" s="357">
        <f t="shared" si="211"/>
        <v>55</v>
      </c>
      <c r="P685" s="357">
        <f t="shared" si="212"/>
        <v>2</v>
      </c>
      <c r="Q685" s="357">
        <f t="shared" si="213"/>
        <v>55</v>
      </c>
      <c r="R685" s="356">
        <f t="shared" si="207"/>
        <v>122348085.2548048</v>
      </c>
      <c r="S685" s="356">
        <f>IF($G$4="mensual",S684,0)</f>
        <v>10000</v>
      </c>
      <c r="U685" s="356">
        <f t="shared" si="214"/>
        <v>975700.5544335926</v>
      </c>
      <c r="V685" s="356">
        <f>V684</f>
        <v>-658.8531592801694</v>
      </c>
      <c r="X685" s="356">
        <f t="shared" si="199"/>
        <v>-123333.78580923841</v>
      </c>
      <c r="Y685" s="356">
        <f t="shared" si="200"/>
        <v>123209793.17026989</v>
      </c>
      <c r="AA685" s="357">
        <f>+Bono!J685</f>
        <v>961006.7210804835</v>
      </c>
      <c r="AC685" s="378">
        <f t="shared" si="201"/>
        <v>55.166666666666664</v>
      </c>
      <c r="AD685" s="356">
        <f t="shared" si="202"/>
        <v>126517014.79311894</v>
      </c>
    </row>
    <row r="686" spans="2:30" x14ac:dyDescent="0.25">
      <c r="B686" s="356">
        <f t="shared" si="203"/>
        <v>663</v>
      </c>
      <c r="C686" s="357">
        <f t="shared" si="208"/>
        <v>55</v>
      </c>
      <c r="D686" s="357">
        <f t="shared" si="209"/>
        <v>3</v>
      </c>
      <c r="E686" s="357">
        <f t="shared" si="210"/>
        <v>84</v>
      </c>
      <c r="F686" s="356">
        <f t="shared" si="204"/>
        <v>2346214.9017685587</v>
      </c>
      <c r="H686" s="356">
        <f t="shared" si="197"/>
        <v>18709.04710308914</v>
      </c>
      <c r="I686" s="356">
        <v>0</v>
      </c>
      <c r="J686" s="360">
        <f>-SUM(F686:H686)*$J$21</f>
        <v>-21284.315539844833</v>
      </c>
      <c r="K686" s="356">
        <f t="shared" si="205"/>
        <v>-2343.639633331803</v>
      </c>
      <c r="L686" s="356">
        <f t="shared" si="198"/>
        <v>2341295.993698471</v>
      </c>
      <c r="N686" s="356">
        <f t="shared" si="206"/>
        <v>663</v>
      </c>
      <c r="O686" s="357">
        <f t="shared" si="211"/>
        <v>55</v>
      </c>
      <c r="P686" s="357">
        <f t="shared" si="212"/>
        <v>3</v>
      </c>
      <c r="Q686" s="357">
        <f t="shared" si="213"/>
        <v>55</v>
      </c>
      <c r="R686" s="356">
        <f t="shared" si="207"/>
        <v>123209793.17026989</v>
      </c>
      <c r="S686" s="356">
        <f>IF($G$4="mensual",S685,0)</f>
        <v>10000</v>
      </c>
      <c r="U686" s="356">
        <f t="shared" si="214"/>
        <v>982571.934360209</v>
      </c>
      <c r="V686" s="356">
        <f t="shared" si="196"/>
        <v>-658.8531592801694</v>
      </c>
      <c r="X686" s="356">
        <f t="shared" si="199"/>
        <v>-124202.3651046301</v>
      </c>
      <c r="Y686" s="356">
        <f t="shared" si="200"/>
        <v>124077503.88636619</v>
      </c>
      <c r="AA686" s="357">
        <f>+Bono!J686</f>
        <v>958253.6771560081</v>
      </c>
      <c r="AC686" s="378">
        <f t="shared" si="201"/>
        <v>55.25</v>
      </c>
      <c r="AD686" s="356">
        <f t="shared" si="202"/>
        <v>127377053.55722067</v>
      </c>
    </row>
    <row r="687" spans="2:30" x14ac:dyDescent="0.25">
      <c r="B687" s="356">
        <f t="shared" si="203"/>
        <v>664</v>
      </c>
      <c r="C687" s="357">
        <f t="shared" si="208"/>
        <v>55</v>
      </c>
      <c r="D687" s="357">
        <f t="shared" si="209"/>
        <v>4</v>
      </c>
      <c r="E687" s="357">
        <f t="shared" si="210"/>
        <v>84</v>
      </c>
      <c r="F687" s="356">
        <f t="shared" si="204"/>
        <v>2341295.993698471</v>
      </c>
      <c r="H687" s="356">
        <f t="shared" si="197"/>
        <v>18669.823039381394</v>
      </c>
      <c r="I687" s="356">
        <v>0</v>
      </c>
      <c r="J687" s="356">
        <v>0</v>
      </c>
      <c r="K687" s="356">
        <f t="shared" si="205"/>
        <v>-2359.9658167378525</v>
      </c>
      <c r="L687" s="356">
        <f t="shared" si="198"/>
        <v>2357605.8509211144</v>
      </c>
      <c r="N687" s="356">
        <f t="shared" si="206"/>
        <v>664</v>
      </c>
      <c r="O687" s="357">
        <f t="shared" si="211"/>
        <v>55</v>
      </c>
      <c r="P687" s="357">
        <f t="shared" si="212"/>
        <v>4</v>
      </c>
      <c r="Q687" s="357">
        <f t="shared" si="213"/>
        <v>55</v>
      </c>
      <c r="R687" s="356">
        <f t="shared" si="207"/>
        <v>124077503.88636619</v>
      </c>
      <c r="S687" s="356">
        <f>IF($G$4="mensual",S684,IF($G$4="trimestral",S684,0))</f>
        <v>10000</v>
      </c>
      <c r="U687" s="356">
        <f t="shared" si="214"/>
        <v>989491.1814620256</v>
      </c>
      <c r="V687" s="356">
        <f t="shared" si="196"/>
        <v>-658.8531592801694</v>
      </c>
      <c r="X687" s="356">
        <f t="shared" si="199"/>
        <v>-125076.9950678282</v>
      </c>
      <c r="Y687" s="356">
        <f t="shared" si="200"/>
        <v>124951259.2196011</v>
      </c>
      <c r="AA687" s="357">
        <f>+Bono!J687</f>
        <v>964194.9611049222</v>
      </c>
      <c r="AC687" s="378">
        <f t="shared" si="201"/>
        <v>55.333333333333336</v>
      </c>
      <c r="AD687" s="356">
        <f t="shared" si="202"/>
        <v>128273060.03162713</v>
      </c>
    </row>
    <row r="688" spans="2:30" x14ac:dyDescent="0.25">
      <c r="B688" s="356">
        <f t="shared" si="203"/>
        <v>665</v>
      </c>
      <c r="C688" s="357">
        <f t="shared" si="208"/>
        <v>55</v>
      </c>
      <c r="D688" s="357">
        <f t="shared" si="209"/>
        <v>5</v>
      </c>
      <c r="E688" s="357">
        <f t="shared" si="210"/>
        <v>84</v>
      </c>
      <c r="F688" s="356">
        <f t="shared" si="204"/>
        <v>2357605.8509211144</v>
      </c>
      <c r="H688" s="356">
        <f t="shared" si="197"/>
        <v>18799.88013125012</v>
      </c>
      <c r="I688" s="356">
        <v>0</v>
      </c>
      <c r="J688" s="356">
        <v>0</v>
      </c>
      <c r="K688" s="356">
        <f t="shared" si="205"/>
        <v>-2376.405731052365</v>
      </c>
      <c r="L688" s="356">
        <f t="shared" si="198"/>
        <v>2374029.3253213125</v>
      </c>
      <c r="N688" s="356">
        <f t="shared" si="206"/>
        <v>665</v>
      </c>
      <c r="O688" s="357">
        <f t="shared" si="211"/>
        <v>55</v>
      </c>
      <c r="P688" s="357">
        <f t="shared" si="212"/>
        <v>5</v>
      </c>
      <c r="Q688" s="357">
        <f t="shared" si="213"/>
        <v>55</v>
      </c>
      <c r="R688" s="356">
        <f t="shared" si="207"/>
        <v>124951259.2196011</v>
      </c>
      <c r="S688" s="356">
        <f>IF($G$4="mensual",S687,0)</f>
        <v>10000</v>
      </c>
      <c r="U688" s="356">
        <f t="shared" si="214"/>
        <v>996458.6291897444</v>
      </c>
      <c r="V688" s="356">
        <f t="shared" si="196"/>
        <v>-658.8531592801694</v>
      </c>
      <c r="X688" s="356">
        <f t="shared" si="199"/>
        <v>-125957.71784879084</v>
      </c>
      <c r="Y688" s="356">
        <f t="shared" si="200"/>
        <v>125831101.27778277</v>
      </c>
      <c r="AA688" s="357">
        <f>+Bono!J688</f>
        <v>970173.0817034659</v>
      </c>
      <c r="AC688" s="378">
        <f t="shared" si="201"/>
        <v>55.416666666666664</v>
      </c>
      <c r="AD688" s="356">
        <f t="shared" si="202"/>
        <v>129175303.68480755</v>
      </c>
    </row>
    <row r="689" spans="2:30" x14ac:dyDescent="0.25">
      <c r="B689" s="356">
        <f t="shared" si="203"/>
        <v>666</v>
      </c>
      <c r="C689" s="357">
        <f t="shared" si="208"/>
        <v>55</v>
      </c>
      <c r="D689" s="357">
        <f t="shared" si="209"/>
        <v>6</v>
      </c>
      <c r="E689" s="357">
        <f t="shared" si="210"/>
        <v>84</v>
      </c>
      <c r="F689" s="356">
        <f t="shared" si="204"/>
        <v>2374029.3253213125</v>
      </c>
      <c r="H689" s="356">
        <f t="shared" si="197"/>
        <v>18930.843222447806</v>
      </c>
      <c r="I689" s="356">
        <v>0</v>
      </c>
      <c r="J689" s="360">
        <f>-SUM(F689:H689)*$J$21</f>
        <v>-21536.641516893844</v>
      </c>
      <c r="K689" s="356">
        <f t="shared" si="205"/>
        <v>-2371.4235270268664</v>
      </c>
      <c r="L689" s="356">
        <f t="shared" si="198"/>
        <v>2369052.1034998395</v>
      </c>
      <c r="N689" s="356">
        <f t="shared" si="206"/>
        <v>666</v>
      </c>
      <c r="O689" s="357">
        <f t="shared" si="211"/>
        <v>55</v>
      </c>
      <c r="P689" s="357">
        <f t="shared" si="212"/>
        <v>6</v>
      </c>
      <c r="Q689" s="357">
        <f t="shared" si="213"/>
        <v>55</v>
      </c>
      <c r="R689" s="356">
        <f t="shared" si="207"/>
        <v>125831101.27778277</v>
      </c>
      <c r="S689" s="356">
        <f>IF($G$4="mensual",S688,0)</f>
        <v>10000</v>
      </c>
      <c r="U689" s="356">
        <f t="shared" si="214"/>
        <v>1003474.6133169407</v>
      </c>
      <c r="V689" s="356">
        <f t="shared" si="196"/>
        <v>-658.8531592801694</v>
      </c>
      <c r="X689" s="356">
        <f t="shared" si="199"/>
        <v>-126844.57589109971</v>
      </c>
      <c r="Y689" s="356">
        <f t="shared" si="200"/>
        <v>126717072.46204934</v>
      </c>
      <c r="AA689" s="357">
        <f>+Bono!J689</f>
        <v>967393.7784481564</v>
      </c>
      <c r="AC689" s="378">
        <f t="shared" si="201"/>
        <v>55.5</v>
      </c>
      <c r="AD689" s="356">
        <f t="shared" si="202"/>
        <v>130053518.34399733</v>
      </c>
    </row>
    <row r="690" spans="2:30" x14ac:dyDescent="0.25">
      <c r="B690" s="356">
        <f t="shared" si="203"/>
        <v>667</v>
      </c>
      <c r="C690" s="357">
        <f t="shared" si="208"/>
        <v>55</v>
      </c>
      <c r="D690" s="357">
        <f t="shared" si="209"/>
        <v>7</v>
      </c>
      <c r="E690" s="357">
        <f t="shared" si="210"/>
        <v>84</v>
      </c>
      <c r="F690" s="356">
        <f t="shared" si="204"/>
        <v>2369052.1034998395</v>
      </c>
      <c r="H690" s="356">
        <f t="shared" si="197"/>
        <v>18891.154156697576</v>
      </c>
      <c r="I690" s="356">
        <v>0</v>
      </c>
      <c r="J690" s="356">
        <v>0</v>
      </c>
      <c r="K690" s="356">
        <f t="shared" si="205"/>
        <v>-2387.943257656537</v>
      </c>
      <c r="L690" s="356">
        <f t="shared" si="198"/>
        <v>2385555.3143988806</v>
      </c>
      <c r="N690" s="356">
        <f t="shared" si="206"/>
        <v>667</v>
      </c>
      <c r="O690" s="357">
        <f t="shared" si="211"/>
        <v>55</v>
      </c>
      <c r="P690" s="357">
        <f t="shared" si="212"/>
        <v>7</v>
      </c>
      <c r="Q690" s="357">
        <f t="shared" si="213"/>
        <v>55</v>
      </c>
      <c r="R690" s="356">
        <f t="shared" si="207"/>
        <v>126717072.46204934</v>
      </c>
      <c r="S690" s="356">
        <f>+IF($G$4="mensual",S684,IF($G$4="trimestral",S684,IF($G$4="semestral",S684,0)))</f>
        <v>10000</v>
      </c>
      <c r="U690" s="356">
        <f t="shared" si="214"/>
        <v>1010539.4719562446</v>
      </c>
      <c r="V690" s="356">
        <f t="shared" si="196"/>
        <v>-658.8531592801694</v>
      </c>
      <c r="X690" s="356">
        <f t="shared" si="199"/>
        <v>-127737.61193400557</v>
      </c>
      <c r="Y690" s="356">
        <f t="shared" si="200"/>
        <v>127609215.46891229</v>
      </c>
      <c r="AA690" s="357">
        <f>+Bono!J690</f>
        <v>973391.732085268</v>
      </c>
      <c r="AC690" s="378">
        <f t="shared" si="201"/>
        <v>55.583333333333336</v>
      </c>
      <c r="AD690" s="356">
        <f t="shared" si="202"/>
        <v>130968162.51539645</v>
      </c>
    </row>
    <row r="691" spans="2:30" x14ac:dyDescent="0.25">
      <c r="B691" s="356">
        <f t="shared" si="203"/>
        <v>668</v>
      </c>
      <c r="C691" s="357">
        <f t="shared" si="208"/>
        <v>55</v>
      </c>
      <c r="D691" s="357">
        <f t="shared" si="209"/>
        <v>8</v>
      </c>
      <c r="E691" s="357">
        <f t="shared" si="210"/>
        <v>84</v>
      </c>
      <c r="F691" s="356">
        <f t="shared" si="204"/>
        <v>2385555.3143988806</v>
      </c>
      <c r="H691" s="356">
        <f t="shared" si="197"/>
        <v>19022.753077934343</v>
      </c>
      <c r="I691" s="356">
        <v>0</v>
      </c>
      <c r="J691" s="356">
        <v>0</v>
      </c>
      <c r="K691" s="356">
        <f t="shared" si="205"/>
        <v>-2404.5780674768152</v>
      </c>
      <c r="L691" s="356">
        <f t="shared" si="198"/>
        <v>2402173.489409338</v>
      </c>
      <c r="N691" s="356">
        <f t="shared" si="206"/>
        <v>668</v>
      </c>
      <c r="O691" s="357">
        <f t="shared" si="211"/>
        <v>55</v>
      </c>
      <c r="P691" s="357">
        <f t="shared" si="212"/>
        <v>8</v>
      </c>
      <c r="Q691" s="357">
        <f t="shared" si="213"/>
        <v>55</v>
      </c>
      <c r="R691" s="356">
        <f t="shared" si="207"/>
        <v>127609215.46891229</v>
      </c>
      <c r="S691" s="356">
        <f>IF($G$4="mensual",S690,0)</f>
        <v>10000</v>
      </c>
      <c r="U691" s="356">
        <f t="shared" si="214"/>
        <v>1017653.5455756341</v>
      </c>
      <c r="V691" s="356">
        <f t="shared" si="196"/>
        <v>-658.8531592801694</v>
      </c>
      <c r="X691" s="356">
        <f t="shared" si="199"/>
        <v>-128636.86901448792</v>
      </c>
      <c r="Y691" s="356">
        <f t="shared" si="200"/>
        <v>128507573.29231416</v>
      </c>
      <c r="AA691" s="357">
        <f>+Bono!J691</f>
        <v>979426.8737306491</v>
      </c>
      <c r="AC691" s="378">
        <f t="shared" si="201"/>
        <v>55.666666666666664</v>
      </c>
      <c r="AD691" s="356">
        <f t="shared" si="202"/>
        <v>131889173.65545414</v>
      </c>
    </row>
    <row r="692" spans="2:30" x14ac:dyDescent="0.25">
      <c r="B692" s="356">
        <f t="shared" si="203"/>
        <v>669</v>
      </c>
      <c r="C692" s="357">
        <f t="shared" si="208"/>
        <v>55</v>
      </c>
      <c r="D692" s="357">
        <f t="shared" si="209"/>
        <v>9</v>
      </c>
      <c r="E692" s="357">
        <f t="shared" si="210"/>
        <v>84</v>
      </c>
      <c r="F692" s="356">
        <f t="shared" si="204"/>
        <v>2402173.489409338</v>
      </c>
      <c r="H692" s="356">
        <f t="shared" si="197"/>
        <v>19155.268739139832</v>
      </c>
      <c r="I692" s="356">
        <v>0</v>
      </c>
      <c r="J692" s="360">
        <f>-SUM(F692:H692)*$J$21</f>
        <v>-21791.958823336303</v>
      </c>
      <c r="K692" s="356">
        <f t="shared" si="205"/>
        <v>-2399.5367993251416</v>
      </c>
      <c r="L692" s="356">
        <f t="shared" si="198"/>
        <v>2397137.2625258164</v>
      </c>
      <c r="N692" s="356">
        <f t="shared" si="206"/>
        <v>669</v>
      </c>
      <c r="O692" s="357">
        <f t="shared" si="211"/>
        <v>55</v>
      </c>
      <c r="P692" s="357">
        <f t="shared" si="212"/>
        <v>9</v>
      </c>
      <c r="Q692" s="357">
        <f t="shared" si="213"/>
        <v>55</v>
      </c>
      <c r="R692" s="356">
        <f t="shared" si="207"/>
        <v>128507573.29231416</v>
      </c>
      <c r="S692" s="356">
        <f>IF($G$4="mensual",S691,0)</f>
        <v>10000</v>
      </c>
      <c r="U692" s="356">
        <f t="shared" si="214"/>
        <v>1024817.177014845</v>
      </c>
      <c r="V692" s="356">
        <f t="shared" si="196"/>
        <v>-658.8531592801694</v>
      </c>
      <c r="X692" s="356">
        <f t="shared" si="199"/>
        <v>-129542.390469329</v>
      </c>
      <c r="Y692" s="356">
        <f t="shared" si="200"/>
        <v>129412189.2257004</v>
      </c>
      <c r="AA692" s="357">
        <f>+Bono!J692</f>
        <v>976621.0606753975</v>
      </c>
      <c r="AC692" s="378">
        <f t="shared" si="201"/>
        <v>55.75</v>
      </c>
      <c r="AD692" s="356">
        <f t="shared" si="202"/>
        <v>132785947.5489016</v>
      </c>
    </row>
    <row r="693" spans="2:30" x14ac:dyDescent="0.25">
      <c r="B693" s="356">
        <f t="shared" si="203"/>
        <v>670</v>
      </c>
      <c r="C693" s="357">
        <f t="shared" si="208"/>
        <v>55</v>
      </c>
      <c r="D693" s="357">
        <f t="shared" si="209"/>
        <v>10</v>
      </c>
      <c r="E693" s="357">
        <f t="shared" si="210"/>
        <v>84</v>
      </c>
      <c r="F693" s="356">
        <f t="shared" si="204"/>
        <v>2397137.2625258164</v>
      </c>
      <c r="H693" s="356">
        <f t="shared" si="197"/>
        <v>19115.10915873881</v>
      </c>
      <c r="I693" s="356">
        <v>0</v>
      </c>
      <c r="J693" s="356">
        <v>0</v>
      </c>
      <c r="K693" s="356">
        <f t="shared" si="205"/>
        <v>-2416.2523716845553</v>
      </c>
      <c r="L693" s="356">
        <f t="shared" si="198"/>
        <v>2413836.119312871</v>
      </c>
      <c r="N693" s="356">
        <f t="shared" si="206"/>
        <v>670</v>
      </c>
      <c r="O693" s="357">
        <f t="shared" si="211"/>
        <v>55</v>
      </c>
      <c r="P693" s="357">
        <f t="shared" si="212"/>
        <v>10</v>
      </c>
      <c r="Q693" s="357">
        <f t="shared" si="213"/>
        <v>55</v>
      </c>
      <c r="R693" s="356">
        <f t="shared" si="207"/>
        <v>129412189.2257004</v>
      </c>
      <c r="S693" s="356">
        <f>IF($G$4="mensual",S684,IF($G$4="trimestral",S684,0))</f>
        <v>10000</v>
      </c>
      <c r="U693" s="356">
        <f t="shared" si="214"/>
        <v>1032030.7115018907</v>
      </c>
      <c r="V693" s="356">
        <f t="shared" si="196"/>
        <v>-658.8531592801694</v>
      </c>
      <c r="X693" s="356">
        <f t="shared" si="199"/>
        <v>-130454.21993720229</v>
      </c>
      <c r="Y693" s="356">
        <f t="shared" si="200"/>
        <v>130323106.8641058</v>
      </c>
      <c r="AA693" s="357">
        <f>+Bono!J693</f>
        <v>982676.2245326164</v>
      </c>
      <c r="AC693" s="378">
        <f t="shared" si="201"/>
        <v>55.833333333333336</v>
      </c>
      <c r="AD693" s="356">
        <f t="shared" si="202"/>
        <v>133719619.20795129</v>
      </c>
    </row>
    <row r="694" spans="2:30" x14ac:dyDescent="0.25">
      <c r="B694" s="356">
        <f t="shared" si="203"/>
        <v>671</v>
      </c>
      <c r="C694" s="357">
        <f t="shared" si="208"/>
        <v>55</v>
      </c>
      <c r="D694" s="357">
        <f t="shared" si="209"/>
        <v>11</v>
      </c>
      <c r="E694" s="357">
        <f t="shared" si="210"/>
        <v>84</v>
      </c>
      <c r="F694" s="356">
        <f t="shared" si="204"/>
        <v>2413836.119312871</v>
      </c>
      <c r="H694" s="356">
        <f t="shared" si="197"/>
        <v>19248.268187760932</v>
      </c>
      <c r="I694" s="356">
        <v>0</v>
      </c>
      <c r="J694" s="356">
        <v>0</v>
      </c>
      <c r="K694" s="356">
        <f t="shared" si="205"/>
        <v>-2433.0843875006317</v>
      </c>
      <c r="L694" s="356">
        <f t="shared" si="198"/>
        <v>2430651.303113131</v>
      </c>
      <c r="N694" s="356">
        <f t="shared" si="206"/>
        <v>671</v>
      </c>
      <c r="O694" s="357">
        <f t="shared" si="211"/>
        <v>55</v>
      </c>
      <c r="P694" s="357">
        <f t="shared" si="212"/>
        <v>11</v>
      </c>
      <c r="Q694" s="357">
        <f t="shared" si="213"/>
        <v>55</v>
      </c>
      <c r="R694" s="356">
        <f t="shared" si="207"/>
        <v>130323106.8641058</v>
      </c>
      <c r="S694" s="356">
        <f>IF($G$17="si",S682*(1+$G$20),S682)</f>
        <v>10000</v>
      </c>
      <c r="U694" s="356">
        <f t="shared" si="214"/>
        <v>1039294.4966697008</v>
      </c>
      <c r="V694" s="356">
        <f t="shared" si="196"/>
        <v>-658.8531592801694</v>
      </c>
      <c r="X694" s="356">
        <f t="shared" si="199"/>
        <v>-131372.4013607755</v>
      </c>
      <c r="Y694" s="356">
        <f t="shared" si="200"/>
        <v>131240370.10625544</v>
      </c>
      <c r="AA694" s="357">
        <f>+Bono!J694</f>
        <v>988768.9311081056</v>
      </c>
      <c r="AC694" s="378">
        <f t="shared" si="201"/>
        <v>55.916666666666664</v>
      </c>
      <c r="AD694" s="356">
        <f t="shared" si="202"/>
        <v>134659790.34047666</v>
      </c>
    </row>
    <row r="695" spans="2:30" x14ac:dyDescent="0.25">
      <c r="B695" s="356">
        <f t="shared" si="203"/>
        <v>672</v>
      </c>
      <c r="C695" s="357">
        <f t="shared" si="208"/>
        <v>55</v>
      </c>
      <c r="D695" s="357">
        <f t="shared" si="209"/>
        <v>12</v>
      </c>
      <c r="E695" s="357">
        <f t="shared" si="210"/>
        <v>84</v>
      </c>
      <c r="F695" s="356">
        <f t="shared" si="204"/>
        <v>2430651.303113131</v>
      </c>
      <c r="H695" s="356">
        <f t="shared" si="197"/>
        <v>19382.354824722035</v>
      </c>
      <c r="I695" s="356">
        <v>0</v>
      </c>
      <c r="J695" s="360">
        <f>-SUM(F695:H695)*$J$21</f>
        <v>-22050.302921440678</v>
      </c>
      <c r="K695" s="356">
        <f t="shared" si="205"/>
        <v>-2427.983355016412</v>
      </c>
      <c r="L695" s="356">
        <f t="shared" si="198"/>
        <v>2425555.3716613958</v>
      </c>
      <c r="N695" s="356">
        <f t="shared" si="206"/>
        <v>672</v>
      </c>
      <c r="O695" s="357">
        <f t="shared" si="211"/>
        <v>55</v>
      </c>
      <c r="P695" s="357">
        <f t="shared" si="212"/>
        <v>12</v>
      </c>
      <c r="Q695" s="357">
        <f t="shared" si="213"/>
        <v>55</v>
      </c>
      <c r="R695" s="356">
        <f t="shared" si="207"/>
        <v>131240370.10625544</v>
      </c>
      <c r="S695" s="356">
        <f>IF($G$4="mensual",S694,0)</f>
        <v>10000</v>
      </c>
      <c r="U695" s="356">
        <f t="shared" si="214"/>
        <v>1046608.8825728736</v>
      </c>
      <c r="V695" s="356">
        <f t="shared" si="196"/>
        <v>-658.8531592801694</v>
      </c>
      <c r="X695" s="356">
        <f t="shared" si="199"/>
        <v>-132296.9789888283</v>
      </c>
      <c r="Y695" s="356">
        <f t="shared" si="200"/>
        <v>132164023.15668021</v>
      </c>
      <c r="AA695" s="357">
        <f>+Bono!J695</f>
        <v>985936.3553947571</v>
      </c>
      <c r="AC695" s="378">
        <f t="shared" si="201"/>
        <v>56</v>
      </c>
      <c r="AD695" s="356">
        <f t="shared" si="202"/>
        <v>135575514.88373637</v>
      </c>
    </row>
    <row r="696" spans="2:30" x14ac:dyDescent="0.25">
      <c r="B696" s="356">
        <f t="shared" si="203"/>
        <v>673</v>
      </c>
      <c r="C696" s="357">
        <f t="shared" si="208"/>
        <v>56</v>
      </c>
      <c r="D696" s="357">
        <f t="shared" si="209"/>
        <v>1</v>
      </c>
      <c r="E696" s="357">
        <f t="shared" si="210"/>
        <v>85</v>
      </c>
      <c r="F696" s="356">
        <f t="shared" si="204"/>
        <v>2425555.3716613958</v>
      </c>
      <c r="H696" s="356">
        <f t="shared" si="197"/>
        <v>19341.719151709833</v>
      </c>
      <c r="I696" s="356">
        <v>0</v>
      </c>
      <c r="J696" s="356">
        <v>0</v>
      </c>
      <c r="K696" s="356">
        <f t="shared" si="205"/>
        <v>-2444.8970908131055</v>
      </c>
      <c r="L696" s="356">
        <f t="shared" si="198"/>
        <v>2442452.1937222923</v>
      </c>
      <c r="N696" s="356">
        <f t="shared" si="206"/>
        <v>673</v>
      </c>
      <c r="O696" s="357">
        <f t="shared" si="211"/>
        <v>56</v>
      </c>
      <c r="P696" s="357">
        <f t="shared" si="212"/>
        <v>1</v>
      </c>
      <c r="Q696" s="357">
        <f t="shared" si="213"/>
        <v>56</v>
      </c>
      <c r="R696" s="356">
        <f t="shared" si="207"/>
        <v>132164023.15668021</v>
      </c>
      <c r="S696" s="356">
        <f>IF($G$17="si",S684*(1+$G$20),S684)</f>
        <v>10000</v>
      </c>
      <c r="U696" s="356">
        <f t="shared" si="214"/>
        <v>1053974.2217045461</v>
      </c>
      <c r="V696" s="356">
        <f>V695*(1+$G$18)</f>
        <v>-685.2072856513762</v>
      </c>
      <c r="X696" s="356">
        <f t="shared" si="199"/>
        <v>-133227.99737838475</v>
      </c>
      <c r="Y696" s="356">
        <f t="shared" si="200"/>
        <v>133094084.17372072</v>
      </c>
      <c r="AA696" s="357">
        <f>+Bono!J696</f>
        <v>992049.2751597434</v>
      </c>
      <c r="AC696" s="378">
        <f t="shared" si="201"/>
        <v>56.083333333333336</v>
      </c>
      <c r="AD696" s="356">
        <f t="shared" si="202"/>
        <v>136528585.64260274</v>
      </c>
    </row>
    <row r="697" spans="2:30" x14ac:dyDescent="0.25">
      <c r="B697" s="356">
        <f t="shared" si="203"/>
        <v>674</v>
      </c>
      <c r="C697" s="357">
        <f t="shared" si="208"/>
        <v>56</v>
      </c>
      <c r="D697" s="357">
        <f t="shared" si="209"/>
        <v>2</v>
      </c>
      <c r="E697" s="357">
        <f t="shared" si="210"/>
        <v>85</v>
      </c>
      <c r="F697" s="356">
        <f t="shared" si="204"/>
        <v>2442452.1937222923</v>
      </c>
      <c r="H697" s="356">
        <f t="shared" si="197"/>
        <v>19476.45678362562</v>
      </c>
      <c r="I697" s="356">
        <v>0</v>
      </c>
      <c r="J697" s="356">
        <v>0</v>
      </c>
      <c r="K697" s="356">
        <f t="shared" si="205"/>
        <v>-2461.928650505918</v>
      </c>
      <c r="L697" s="356">
        <f t="shared" si="198"/>
        <v>2459466.7218554122</v>
      </c>
      <c r="N697" s="356">
        <f t="shared" si="206"/>
        <v>674</v>
      </c>
      <c r="O697" s="357">
        <f t="shared" si="211"/>
        <v>56</v>
      </c>
      <c r="P697" s="357">
        <f t="shared" si="212"/>
        <v>2</v>
      </c>
      <c r="Q697" s="357">
        <f t="shared" si="213"/>
        <v>56</v>
      </c>
      <c r="R697" s="356">
        <f t="shared" si="207"/>
        <v>133094084.17372072</v>
      </c>
      <c r="S697" s="356">
        <f>IF($G$4="mensual",S696,0)</f>
        <v>10000</v>
      </c>
      <c r="U697" s="356">
        <f t="shared" si="214"/>
        <v>1061390.658861876</v>
      </c>
      <c r="V697" s="356">
        <f>V696</f>
        <v>-685.2072856513762</v>
      </c>
      <c r="X697" s="356">
        <f t="shared" si="199"/>
        <v>-134165.4748325826</v>
      </c>
      <c r="Y697" s="356">
        <f t="shared" si="200"/>
        <v>134030624.15046436</v>
      </c>
      <c r="AA697" s="357">
        <f>+Bono!J697</f>
        <v>998200.0957363273</v>
      </c>
      <c r="AC697" s="378">
        <f t="shared" si="201"/>
        <v>56.166666666666664</v>
      </c>
      <c r="AD697" s="356">
        <f t="shared" si="202"/>
        <v>137488290.96805608</v>
      </c>
    </row>
    <row r="698" spans="2:30" x14ac:dyDescent="0.25">
      <c r="B698" s="356">
        <f t="shared" si="203"/>
        <v>675</v>
      </c>
      <c r="C698" s="357">
        <f t="shared" si="208"/>
        <v>56</v>
      </c>
      <c r="D698" s="357">
        <f t="shared" si="209"/>
        <v>3</v>
      </c>
      <c r="E698" s="357">
        <f t="shared" si="210"/>
        <v>85</v>
      </c>
      <c r="F698" s="356">
        <f t="shared" si="204"/>
        <v>2459466.7218554122</v>
      </c>
      <c r="H698" s="356">
        <f t="shared" si="197"/>
        <v>19612.133020290654</v>
      </c>
      <c r="I698" s="356">
        <v>0</v>
      </c>
      <c r="J698" s="360">
        <f>-SUM(F698:H698)*$J$21</f>
        <v>-22311.70969388133</v>
      </c>
      <c r="K698" s="356">
        <f t="shared" si="205"/>
        <v>-2456.767145181822</v>
      </c>
      <c r="L698" s="356">
        <f t="shared" si="198"/>
        <v>2454310.3780366397</v>
      </c>
      <c r="N698" s="356">
        <f t="shared" si="206"/>
        <v>675</v>
      </c>
      <c r="O698" s="357">
        <f t="shared" si="211"/>
        <v>56</v>
      </c>
      <c r="P698" s="357">
        <f t="shared" si="212"/>
        <v>3</v>
      </c>
      <c r="Q698" s="357">
        <f t="shared" si="213"/>
        <v>56</v>
      </c>
      <c r="R698" s="356">
        <f t="shared" si="207"/>
        <v>134030624.15046436</v>
      </c>
      <c r="S698" s="356">
        <f>IF($G$4="mensual",S697,0)</f>
        <v>10000</v>
      </c>
      <c r="U698" s="356">
        <f t="shared" si="214"/>
        <v>1068858.760153712</v>
      </c>
      <c r="V698" s="356">
        <f t="shared" si="196"/>
        <v>-685.2072856513762</v>
      </c>
      <c r="X698" s="356">
        <f t="shared" si="199"/>
        <v>-135109.48291061807</v>
      </c>
      <c r="Y698" s="356">
        <f t="shared" si="200"/>
        <v>134973688.22042182</v>
      </c>
      <c r="AA698" s="357">
        <f>+Bono!J698</f>
        <v>995340.5020948927</v>
      </c>
      <c r="AC698" s="378">
        <f t="shared" si="201"/>
        <v>56.25</v>
      </c>
      <c r="AD698" s="356">
        <f t="shared" si="202"/>
        <v>138423339.10055336</v>
      </c>
    </row>
    <row r="699" spans="2:30" x14ac:dyDescent="0.25">
      <c r="B699" s="356">
        <f t="shared" si="203"/>
        <v>676</v>
      </c>
      <c r="C699" s="357">
        <f t="shared" si="208"/>
        <v>56</v>
      </c>
      <c r="D699" s="357">
        <f t="shared" si="209"/>
        <v>4</v>
      </c>
      <c r="E699" s="357">
        <f t="shared" si="210"/>
        <v>85</v>
      </c>
      <c r="F699" s="356">
        <f t="shared" si="204"/>
        <v>2454310.3780366397</v>
      </c>
      <c r="H699" s="356">
        <f t="shared" si="197"/>
        <v>19571.01561058005</v>
      </c>
      <c r="I699" s="356">
        <v>0</v>
      </c>
      <c r="J699" s="356">
        <v>0</v>
      </c>
      <c r="K699" s="356">
        <f t="shared" si="205"/>
        <v>-2473.8813936472197</v>
      </c>
      <c r="L699" s="356">
        <f t="shared" si="198"/>
        <v>2471407.5122535722</v>
      </c>
      <c r="N699" s="356">
        <f t="shared" si="206"/>
        <v>676</v>
      </c>
      <c r="O699" s="357">
        <f t="shared" si="211"/>
        <v>56</v>
      </c>
      <c r="P699" s="357">
        <f t="shared" si="212"/>
        <v>4</v>
      </c>
      <c r="Q699" s="357">
        <f t="shared" si="213"/>
        <v>56</v>
      </c>
      <c r="R699" s="356">
        <f t="shared" si="207"/>
        <v>134973688.22042182</v>
      </c>
      <c r="S699" s="356">
        <f>IF($G$4="mensual",S696,IF($G$4="trimestral",S696,0))</f>
        <v>10000</v>
      </c>
      <c r="U699" s="356">
        <f t="shared" si="214"/>
        <v>1076378.8854810065</v>
      </c>
      <c r="V699" s="356">
        <f t="shared" si="196"/>
        <v>-685.2072856513762</v>
      </c>
      <c r="X699" s="356">
        <f t="shared" si="199"/>
        <v>-136060.06710590282</v>
      </c>
      <c r="Y699" s="356">
        <f t="shared" si="200"/>
        <v>135923321.8315113</v>
      </c>
      <c r="AA699" s="357">
        <f>+Bono!J699</f>
        <v>1001511.7286602333</v>
      </c>
      <c r="AC699" s="378">
        <f t="shared" si="201"/>
        <v>56.333333333333336</v>
      </c>
      <c r="AD699" s="356">
        <f t="shared" si="202"/>
        <v>139396241.0724251</v>
      </c>
    </row>
    <row r="700" spans="2:30" x14ac:dyDescent="0.25">
      <c r="B700" s="356">
        <f t="shared" si="203"/>
        <v>677</v>
      </c>
      <c r="C700" s="357">
        <f t="shared" si="208"/>
        <v>56</v>
      </c>
      <c r="D700" s="357">
        <f t="shared" si="209"/>
        <v>5</v>
      </c>
      <c r="E700" s="357">
        <f t="shared" si="210"/>
        <v>85</v>
      </c>
      <c r="F700" s="356">
        <f t="shared" si="204"/>
        <v>2471407.5122535722</v>
      </c>
      <c r="H700" s="356">
        <f t="shared" si="197"/>
        <v>19707.350559757684</v>
      </c>
      <c r="I700" s="356">
        <v>0</v>
      </c>
      <c r="J700" s="356">
        <v>0</v>
      </c>
      <c r="K700" s="356">
        <f t="shared" si="205"/>
        <v>-2491.1148628133296</v>
      </c>
      <c r="L700" s="356">
        <f t="shared" si="198"/>
        <v>2488623.7479505166</v>
      </c>
      <c r="N700" s="356">
        <f t="shared" si="206"/>
        <v>677</v>
      </c>
      <c r="O700" s="357">
        <f t="shared" si="211"/>
        <v>56</v>
      </c>
      <c r="P700" s="357">
        <f t="shared" si="212"/>
        <v>5</v>
      </c>
      <c r="Q700" s="357">
        <f t="shared" si="213"/>
        <v>56</v>
      </c>
      <c r="R700" s="356">
        <f t="shared" si="207"/>
        <v>135923321.8315113</v>
      </c>
      <c r="S700" s="356">
        <f>IF($G$4="mensual",S699,0)</f>
        <v>10000</v>
      </c>
      <c r="U700" s="356">
        <f t="shared" si="214"/>
        <v>1083951.397251841</v>
      </c>
      <c r="V700" s="356">
        <f t="shared" si="196"/>
        <v>-685.2072856513762</v>
      </c>
      <c r="X700" s="356">
        <f t="shared" si="199"/>
        <v>-137017.27322876314</v>
      </c>
      <c r="Y700" s="356">
        <f t="shared" si="200"/>
        <v>136879570.74824873</v>
      </c>
      <c r="AA700" s="357">
        <f>+Bono!J700</f>
        <v>1007721.217546097</v>
      </c>
      <c r="AC700" s="378">
        <f t="shared" si="201"/>
        <v>56.416666666666664</v>
      </c>
      <c r="AD700" s="356">
        <f t="shared" si="202"/>
        <v>140375915.71374536</v>
      </c>
    </row>
    <row r="701" spans="2:30" x14ac:dyDescent="0.25">
      <c r="B701" s="356">
        <f t="shared" si="203"/>
        <v>678</v>
      </c>
      <c r="C701" s="357">
        <f t="shared" si="208"/>
        <v>56</v>
      </c>
      <c r="D701" s="357">
        <f t="shared" si="209"/>
        <v>6</v>
      </c>
      <c r="E701" s="357">
        <f t="shared" si="210"/>
        <v>85</v>
      </c>
      <c r="F701" s="356">
        <f t="shared" si="204"/>
        <v>2488623.7479505166</v>
      </c>
      <c r="H701" s="356">
        <f t="shared" si="197"/>
        <v>19844.635240862226</v>
      </c>
      <c r="I701" s="356">
        <v>0</v>
      </c>
      <c r="J701" s="360">
        <f>-SUM(F701:H701)*$J$21</f>
        <v>-22576.21544872241</v>
      </c>
      <c r="K701" s="356">
        <f t="shared" si="205"/>
        <v>-2485.8921677426565</v>
      </c>
      <c r="L701" s="356">
        <f t="shared" si="198"/>
        <v>2483406.2755749137</v>
      </c>
      <c r="N701" s="356">
        <f t="shared" si="206"/>
        <v>678</v>
      </c>
      <c r="O701" s="357">
        <f t="shared" si="211"/>
        <v>56</v>
      </c>
      <c r="P701" s="357">
        <f t="shared" si="212"/>
        <v>6</v>
      </c>
      <c r="Q701" s="357">
        <f t="shared" si="213"/>
        <v>56</v>
      </c>
      <c r="R701" s="356">
        <f t="shared" si="207"/>
        <v>136879570.74824873</v>
      </c>
      <c r="S701" s="356">
        <f>IF($G$4="mensual",S700,0)</f>
        <v>10000</v>
      </c>
      <c r="U701" s="356">
        <f t="shared" si="214"/>
        <v>1091576.6603988924</v>
      </c>
      <c r="V701" s="356">
        <f t="shared" ref="V701:V755" si="215">V700</f>
        <v>-685.2072856513762</v>
      </c>
      <c r="X701" s="356">
        <f t="shared" si="199"/>
        <v>-137981.14740864764</v>
      </c>
      <c r="Y701" s="356">
        <f t="shared" si="200"/>
        <v>137842481.05395335</v>
      </c>
      <c r="AA701" s="357">
        <f>+Bono!J701</f>
        <v>1004834.3482717478</v>
      </c>
      <c r="AC701" s="378">
        <f t="shared" si="201"/>
        <v>56.5</v>
      </c>
      <c r="AD701" s="356">
        <f t="shared" si="202"/>
        <v>141330721.67780003</v>
      </c>
    </row>
    <row r="702" spans="2:30" x14ac:dyDescent="0.25">
      <c r="B702" s="356">
        <f t="shared" si="203"/>
        <v>679</v>
      </c>
      <c r="C702" s="357">
        <f t="shared" si="208"/>
        <v>56</v>
      </c>
      <c r="D702" s="357">
        <f t="shared" si="209"/>
        <v>7</v>
      </c>
      <c r="E702" s="357">
        <f t="shared" si="210"/>
        <v>85</v>
      </c>
      <c r="F702" s="356">
        <f t="shared" si="204"/>
        <v>2483406.2755749137</v>
      </c>
      <c r="H702" s="356">
        <f t="shared" si="197"/>
        <v>19803.030383455243</v>
      </c>
      <c r="I702" s="356">
        <v>0</v>
      </c>
      <c r="J702" s="356">
        <v>0</v>
      </c>
      <c r="K702" s="356">
        <f t="shared" si="205"/>
        <v>-2503.209305958369</v>
      </c>
      <c r="L702" s="356">
        <f t="shared" si="198"/>
        <v>2500706.0966524105</v>
      </c>
      <c r="N702" s="356">
        <f t="shared" si="206"/>
        <v>679</v>
      </c>
      <c r="O702" s="357">
        <f t="shared" si="211"/>
        <v>56</v>
      </c>
      <c r="P702" s="357">
        <f t="shared" si="212"/>
        <v>7</v>
      </c>
      <c r="Q702" s="357">
        <f t="shared" si="213"/>
        <v>56</v>
      </c>
      <c r="R702" s="356">
        <f t="shared" si="207"/>
        <v>137842481.05395335</v>
      </c>
      <c r="S702" s="356">
        <f>+IF($G$4="mensual",S696,IF($G$4="trimestral",S696,IF($G$4="semestral",S696,0)))</f>
        <v>10000</v>
      </c>
      <c r="U702" s="356">
        <f t="shared" si="214"/>
        <v>1099255.0423970197</v>
      </c>
      <c r="V702" s="356">
        <f t="shared" si="215"/>
        <v>-685.2072856513762</v>
      </c>
      <c r="X702" s="356">
        <f t="shared" si="199"/>
        <v>-138951.7360963504</v>
      </c>
      <c r="Y702" s="356">
        <f t="shared" si="200"/>
        <v>138812099.15296838</v>
      </c>
      <c r="AA702" s="357">
        <f>+Bono!J702</f>
        <v>1011064.4377846029</v>
      </c>
      <c r="AC702" s="378">
        <f t="shared" si="201"/>
        <v>56.583333333333336</v>
      </c>
      <c r="AD702" s="356">
        <f t="shared" si="202"/>
        <v>142323869.6874054</v>
      </c>
    </row>
    <row r="703" spans="2:30" x14ac:dyDescent="0.25">
      <c r="B703" s="356">
        <f t="shared" si="203"/>
        <v>680</v>
      </c>
      <c r="C703" s="357">
        <f t="shared" si="208"/>
        <v>56</v>
      </c>
      <c r="D703" s="357">
        <f t="shared" si="209"/>
        <v>8</v>
      </c>
      <c r="E703" s="357">
        <f t="shared" si="210"/>
        <v>85</v>
      </c>
      <c r="F703" s="356">
        <f t="shared" si="204"/>
        <v>2500706.0966524105</v>
      </c>
      <c r="H703" s="356">
        <f t="shared" si="197"/>
        <v>19940.98158612211</v>
      </c>
      <c r="I703" s="356">
        <v>0</v>
      </c>
      <c r="J703" s="356">
        <v>0</v>
      </c>
      <c r="K703" s="356">
        <f t="shared" si="205"/>
        <v>-2520.6470782385327</v>
      </c>
      <c r="L703" s="356">
        <f t="shared" si="198"/>
        <v>2518126.431160294</v>
      </c>
      <c r="N703" s="356">
        <f t="shared" si="206"/>
        <v>680</v>
      </c>
      <c r="O703" s="357">
        <f t="shared" si="211"/>
        <v>56</v>
      </c>
      <c r="P703" s="357">
        <f t="shared" si="212"/>
        <v>8</v>
      </c>
      <c r="Q703" s="357">
        <f t="shared" si="213"/>
        <v>56</v>
      </c>
      <c r="R703" s="356">
        <f t="shared" si="207"/>
        <v>138812099.15296838</v>
      </c>
      <c r="S703" s="356">
        <f>IF($G$4="mensual",S702,0)</f>
        <v>10000</v>
      </c>
      <c r="U703" s="356">
        <f t="shared" si="214"/>
        <v>1106986.913280972</v>
      </c>
      <c r="V703" s="356">
        <f t="shared" si="215"/>
        <v>-685.2072856513762</v>
      </c>
      <c r="X703" s="356">
        <f t="shared" si="199"/>
        <v>-139929.08606624935</v>
      </c>
      <c r="Y703" s="356">
        <f t="shared" si="200"/>
        <v>139788471.77289745</v>
      </c>
      <c r="AA703" s="357">
        <f>+Bono!J703</f>
        <v>1017333.1545750833</v>
      </c>
      <c r="AC703" s="378">
        <f t="shared" si="201"/>
        <v>56.666666666666664</v>
      </c>
      <c r="AD703" s="356">
        <f t="shared" si="202"/>
        <v>143323931.35863283</v>
      </c>
    </row>
    <row r="704" spans="2:30" x14ac:dyDescent="0.25">
      <c r="B704" s="356">
        <f t="shared" si="203"/>
        <v>681</v>
      </c>
      <c r="C704" s="357">
        <f t="shared" si="208"/>
        <v>56</v>
      </c>
      <c r="D704" s="357">
        <f t="shared" si="209"/>
        <v>9</v>
      </c>
      <c r="E704" s="357">
        <f t="shared" si="210"/>
        <v>85</v>
      </c>
      <c r="F704" s="356">
        <f t="shared" si="204"/>
        <v>2518126.431160294</v>
      </c>
      <c r="H704" s="356">
        <f t="shared" si="197"/>
        <v>20079.89377980645</v>
      </c>
      <c r="I704" s="356">
        <v>0</v>
      </c>
      <c r="J704" s="360">
        <f>-SUM(F704:H704)*$J$21</f>
        <v>-22843.856924460906</v>
      </c>
      <c r="K704" s="356">
        <f t="shared" si="205"/>
        <v>-2515.3624680156395</v>
      </c>
      <c r="L704" s="356">
        <f t="shared" si="198"/>
        <v>2512847.1055476237</v>
      </c>
      <c r="N704" s="356">
        <f t="shared" si="206"/>
        <v>681</v>
      </c>
      <c r="O704" s="357">
        <f t="shared" si="211"/>
        <v>56</v>
      </c>
      <c r="P704" s="357">
        <f t="shared" si="212"/>
        <v>9</v>
      </c>
      <c r="Q704" s="357">
        <f t="shared" si="213"/>
        <v>56</v>
      </c>
      <c r="R704" s="356">
        <f t="shared" si="207"/>
        <v>139788471.77289745</v>
      </c>
      <c r="S704" s="356">
        <f>IF($G$4="mensual",S703,0)</f>
        <v>10000</v>
      </c>
      <c r="U704" s="356">
        <f t="shared" si="214"/>
        <v>1114772.6456632232</v>
      </c>
      <c r="V704" s="356">
        <f t="shared" si="215"/>
        <v>-685.2072856513762</v>
      </c>
      <c r="X704" s="356">
        <f t="shared" si="199"/>
        <v>-140913.24441856067</v>
      </c>
      <c r="Y704" s="356">
        <f t="shared" si="200"/>
        <v>140771645.96685648</v>
      </c>
      <c r="AA704" s="357">
        <f>+Bono!J704</f>
        <v>1014418.7495049278</v>
      </c>
      <c r="AC704" s="378">
        <f t="shared" si="201"/>
        <v>56.75</v>
      </c>
      <c r="AD704" s="356">
        <f t="shared" si="202"/>
        <v>144298911.82190904</v>
      </c>
    </row>
    <row r="705" spans="2:30" x14ac:dyDescent="0.25">
      <c r="B705" s="356">
        <f t="shared" si="203"/>
        <v>682</v>
      </c>
      <c r="C705" s="357">
        <f t="shared" si="208"/>
        <v>56</v>
      </c>
      <c r="D705" s="357">
        <f t="shared" si="209"/>
        <v>10</v>
      </c>
      <c r="E705" s="357">
        <f t="shared" si="210"/>
        <v>85</v>
      </c>
      <c r="F705" s="356">
        <f t="shared" si="204"/>
        <v>2512847.1055476237</v>
      </c>
      <c r="H705" s="356">
        <f t="shared" si="197"/>
        <v>20037.79569600111</v>
      </c>
      <c r="I705" s="356">
        <v>0</v>
      </c>
      <c r="J705" s="356">
        <v>0</v>
      </c>
      <c r="K705" s="356">
        <f t="shared" si="205"/>
        <v>-2532.884901243625</v>
      </c>
      <c r="L705" s="356">
        <f t="shared" si="198"/>
        <v>2530352.016342381</v>
      </c>
      <c r="N705" s="356">
        <f t="shared" si="206"/>
        <v>682</v>
      </c>
      <c r="O705" s="357">
        <f t="shared" si="211"/>
        <v>56</v>
      </c>
      <c r="P705" s="357">
        <f t="shared" si="212"/>
        <v>10</v>
      </c>
      <c r="Q705" s="357">
        <f t="shared" si="213"/>
        <v>56</v>
      </c>
      <c r="R705" s="356">
        <f t="shared" si="207"/>
        <v>140771645.96685648</v>
      </c>
      <c r="S705" s="356">
        <f>IF($G$4="mensual",S696,IF($G$4="trimestral",S696,0))</f>
        <v>10000</v>
      </c>
      <c r="U705" s="356">
        <f t="shared" si="214"/>
        <v>1122612.6147519269</v>
      </c>
      <c r="V705" s="356">
        <f t="shared" si="215"/>
        <v>-685.2072856513762</v>
      </c>
      <c r="X705" s="356">
        <f t="shared" si="199"/>
        <v>-141904.25858160842</v>
      </c>
      <c r="Y705" s="356">
        <f t="shared" si="200"/>
        <v>141761669.11574116</v>
      </c>
      <c r="AA705" s="357">
        <f>+Bono!J705</f>
        <v>1020708.2634171504</v>
      </c>
      <c r="AC705" s="378">
        <f t="shared" si="201"/>
        <v>56.833333333333336</v>
      </c>
      <c r="AD705" s="356">
        <f t="shared" si="202"/>
        <v>145312729.3955007</v>
      </c>
    </row>
    <row r="706" spans="2:30" x14ac:dyDescent="0.25">
      <c r="B706" s="356">
        <f t="shared" si="203"/>
        <v>683</v>
      </c>
      <c r="C706" s="357">
        <f t="shared" si="208"/>
        <v>56</v>
      </c>
      <c r="D706" s="357">
        <f t="shared" si="209"/>
        <v>11</v>
      </c>
      <c r="E706" s="357">
        <f t="shared" si="210"/>
        <v>85</v>
      </c>
      <c r="F706" s="356">
        <f t="shared" si="204"/>
        <v>2530352.016342381</v>
      </c>
      <c r="H706" s="356">
        <f t="shared" si="197"/>
        <v>20177.38231287394</v>
      </c>
      <c r="I706" s="356">
        <v>0</v>
      </c>
      <c r="J706" s="356">
        <v>0</v>
      </c>
      <c r="K706" s="356">
        <f t="shared" si="205"/>
        <v>-2550.529398655255</v>
      </c>
      <c r="L706" s="356">
        <f t="shared" si="198"/>
        <v>2547978.8692566</v>
      </c>
      <c r="N706" s="356">
        <f t="shared" si="206"/>
        <v>683</v>
      </c>
      <c r="O706" s="357">
        <f t="shared" si="211"/>
        <v>56</v>
      </c>
      <c r="P706" s="357">
        <f t="shared" si="212"/>
        <v>11</v>
      </c>
      <c r="Q706" s="357">
        <f t="shared" si="213"/>
        <v>56</v>
      </c>
      <c r="R706" s="356">
        <f t="shared" si="207"/>
        <v>141761669.11574116</v>
      </c>
      <c r="S706" s="356">
        <f>IF($G$17="si",S694*(1+$G$20),S694)</f>
        <v>10000</v>
      </c>
      <c r="U706" s="356">
        <f t="shared" si="214"/>
        <v>1130507.1983689987</v>
      </c>
      <c r="V706" s="356">
        <f t="shared" si="215"/>
        <v>-685.2072856513762</v>
      </c>
      <c r="X706" s="356">
        <f t="shared" si="199"/>
        <v>-142902.17631411017</v>
      </c>
      <c r="Y706" s="356">
        <f t="shared" si="200"/>
        <v>142758588.9305104</v>
      </c>
      <c r="AA706" s="357">
        <f>+Bono!J706</f>
        <v>1027036.7730451672</v>
      </c>
      <c r="AC706" s="378">
        <f t="shared" si="201"/>
        <v>56.916666666666664</v>
      </c>
      <c r="AD706" s="356">
        <f t="shared" si="202"/>
        <v>146333604.57281214</v>
      </c>
    </row>
    <row r="707" spans="2:30" x14ac:dyDescent="0.25">
      <c r="B707" s="356">
        <f t="shared" si="203"/>
        <v>684</v>
      </c>
      <c r="C707" s="357">
        <f t="shared" si="208"/>
        <v>56</v>
      </c>
      <c r="D707" s="357">
        <f t="shared" si="209"/>
        <v>12</v>
      </c>
      <c r="E707" s="357">
        <f t="shared" si="210"/>
        <v>85</v>
      </c>
      <c r="F707" s="356">
        <f t="shared" si="204"/>
        <v>2547978.8692566</v>
      </c>
      <c r="H707" s="356">
        <f t="shared" si="197"/>
        <v>20317.94131333155</v>
      </c>
      <c r="I707" s="356">
        <v>0</v>
      </c>
      <c r="J707" s="360">
        <f>-SUM(F707:H707)*$J$21</f>
        <v>-23114.671295129385</v>
      </c>
      <c r="K707" s="356">
        <f t="shared" si="205"/>
        <v>-2545.182139274802</v>
      </c>
      <c r="L707" s="356">
        <f t="shared" si="198"/>
        <v>2542636.9571355274</v>
      </c>
      <c r="N707" s="356">
        <f t="shared" si="206"/>
        <v>684</v>
      </c>
      <c r="O707" s="357">
        <f t="shared" si="211"/>
        <v>56</v>
      </c>
      <c r="P707" s="357">
        <f t="shared" si="212"/>
        <v>12</v>
      </c>
      <c r="Q707" s="357">
        <f t="shared" si="213"/>
        <v>56</v>
      </c>
      <c r="R707" s="356">
        <f t="shared" si="207"/>
        <v>142758588.9305104</v>
      </c>
      <c r="S707" s="356">
        <f>IF($G$4="mensual",S706,0)</f>
        <v>10000</v>
      </c>
      <c r="U707" s="356">
        <f t="shared" si="214"/>
        <v>1138456.7769683255</v>
      </c>
      <c r="V707" s="356">
        <f t="shared" si="215"/>
        <v>-685.2072856513762</v>
      </c>
      <c r="X707" s="356">
        <f t="shared" si="199"/>
        <v>-143907.04570747874</v>
      </c>
      <c r="Y707" s="356">
        <f t="shared" si="200"/>
        <v>143762453.45448563</v>
      </c>
      <c r="AA707" s="357">
        <f>+Bono!J707</f>
        <v>1024094.5695348049</v>
      </c>
      <c r="AC707" s="378">
        <f t="shared" si="201"/>
        <v>57</v>
      </c>
      <c r="AD707" s="356">
        <f t="shared" si="202"/>
        <v>147329184.98115596</v>
      </c>
    </row>
    <row r="708" spans="2:30" x14ac:dyDescent="0.25">
      <c r="B708" s="356">
        <f t="shared" si="203"/>
        <v>685</v>
      </c>
      <c r="C708" s="357">
        <f t="shared" si="208"/>
        <v>57</v>
      </c>
      <c r="D708" s="357">
        <f t="shared" si="209"/>
        <v>1</v>
      </c>
      <c r="E708" s="357">
        <f t="shared" si="210"/>
        <v>86</v>
      </c>
      <c r="F708" s="356">
        <f t="shared" si="204"/>
        <v>2542636.9571355274</v>
      </c>
      <c r="H708" s="356">
        <f t="shared" si="197"/>
        <v>20275.344155919258</v>
      </c>
      <c r="I708" s="356">
        <v>0</v>
      </c>
      <c r="J708" s="356">
        <v>0</v>
      </c>
      <c r="K708" s="356">
        <f t="shared" si="205"/>
        <v>-2562.9123012914465</v>
      </c>
      <c r="L708" s="356">
        <f t="shared" si="198"/>
        <v>2560349.3889901554</v>
      </c>
      <c r="N708" s="356">
        <f t="shared" si="206"/>
        <v>685</v>
      </c>
      <c r="O708" s="357">
        <f t="shared" si="211"/>
        <v>57</v>
      </c>
      <c r="P708" s="357">
        <f t="shared" si="212"/>
        <v>1</v>
      </c>
      <c r="Q708" s="357">
        <f t="shared" si="213"/>
        <v>57</v>
      </c>
      <c r="R708" s="356">
        <f t="shared" si="207"/>
        <v>143762453.45448563</v>
      </c>
      <c r="S708" s="356">
        <f>IF($G$17="si",S696*(1+$G$20),S696)</f>
        <v>10000</v>
      </c>
      <c r="U708" s="356">
        <f t="shared" si="214"/>
        <v>1146461.7336540986</v>
      </c>
      <c r="V708" s="356">
        <f>V707*(1+$G$18)</f>
        <v>-712.6155770774312</v>
      </c>
      <c r="X708" s="356">
        <f t="shared" si="199"/>
        <v>-144918.91518813974</v>
      </c>
      <c r="Y708" s="356">
        <f t="shared" si="200"/>
        <v>144773283.65737453</v>
      </c>
      <c r="AA708" s="357">
        <f>+Bono!J708</f>
        <v>1030444.0746535384</v>
      </c>
      <c r="AC708" s="378">
        <f t="shared" si="201"/>
        <v>57.083333333333336</v>
      </c>
      <c r="AD708" s="356">
        <f t="shared" si="202"/>
        <v>148364077.12101823</v>
      </c>
    </row>
    <row r="709" spans="2:30" x14ac:dyDescent="0.25">
      <c r="B709" s="356">
        <f t="shared" si="203"/>
        <v>686</v>
      </c>
      <c r="C709" s="357">
        <f t="shared" si="208"/>
        <v>57</v>
      </c>
      <c r="D709" s="357">
        <f t="shared" si="209"/>
        <v>2</v>
      </c>
      <c r="E709" s="357">
        <f t="shared" si="210"/>
        <v>86</v>
      </c>
      <c r="F709" s="356">
        <f t="shared" si="204"/>
        <v>2560349.3889901554</v>
      </c>
      <c r="H709" s="356">
        <f t="shared" si="197"/>
        <v>20416.58557486545</v>
      </c>
      <c r="I709" s="356">
        <v>0</v>
      </c>
      <c r="J709" s="356">
        <v>0</v>
      </c>
      <c r="K709" s="356">
        <f t="shared" si="205"/>
        <v>-2580.7659745650208</v>
      </c>
      <c r="L709" s="356">
        <f t="shared" si="198"/>
        <v>2578185.208590456</v>
      </c>
      <c r="N709" s="356">
        <f t="shared" si="206"/>
        <v>686</v>
      </c>
      <c r="O709" s="357">
        <f t="shared" si="211"/>
        <v>57</v>
      </c>
      <c r="P709" s="357">
        <f t="shared" si="212"/>
        <v>2</v>
      </c>
      <c r="Q709" s="357">
        <f t="shared" si="213"/>
        <v>57</v>
      </c>
      <c r="R709" s="356">
        <f t="shared" si="207"/>
        <v>144773283.65737453</v>
      </c>
      <c r="S709" s="356">
        <f>IF($G$4="mensual",S708,0)</f>
        <v>10000</v>
      </c>
      <c r="U709" s="356">
        <f t="shared" si="214"/>
        <v>1154522.2356417119</v>
      </c>
      <c r="V709" s="356">
        <f>V708</f>
        <v>-712.6155770774312</v>
      </c>
      <c r="X709" s="356">
        <f t="shared" si="199"/>
        <v>-145937.80589301625</v>
      </c>
      <c r="Y709" s="356">
        <f t="shared" si="200"/>
        <v>145791155.47154617</v>
      </c>
      <c r="AA709" s="357">
        <f>+Bono!J709</f>
        <v>1036832.947440505</v>
      </c>
      <c r="AC709" s="378">
        <f t="shared" si="201"/>
        <v>57.166666666666664</v>
      </c>
      <c r="AD709" s="356">
        <f t="shared" si="202"/>
        <v>149406173.62757713</v>
      </c>
    </row>
    <row r="710" spans="2:30" x14ac:dyDescent="0.25">
      <c r="B710" s="356">
        <f t="shared" si="203"/>
        <v>687</v>
      </c>
      <c r="C710" s="357">
        <f t="shared" si="208"/>
        <v>57</v>
      </c>
      <c r="D710" s="357">
        <f t="shared" si="209"/>
        <v>3</v>
      </c>
      <c r="E710" s="357">
        <f t="shared" si="210"/>
        <v>86</v>
      </c>
      <c r="F710" s="356">
        <f t="shared" si="204"/>
        <v>2578185.208590456</v>
      </c>
      <c r="H710" s="356">
        <f t="shared" si="197"/>
        <v>20558.810905022838</v>
      </c>
      <c r="I710" s="356">
        <v>0</v>
      </c>
      <c r="J710" s="360">
        <f>-SUM(F710:H710)*$J$21</f>
        <v>-23388.696175459314</v>
      </c>
      <c r="K710" s="356">
        <f t="shared" si="205"/>
        <v>-2575.3553233200196</v>
      </c>
      <c r="L710" s="356">
        <f t="shared" si="198"/>
        <v>2572779.9679966997</v>
      </c>
      <c r="N710" s="356">
        <f t="shared" si="206"/>
        <v>687</v>
      </c>
      <c r="O710" s="357">
        <f t="shared" si="211"/>
        <v>57</v>
      </c>
      <c r="P710" s="357">
        <f t="shared" si="212"/>
        <v>3</v>
      </c>
      <c r="Q710" s="357">
        <f t="shared" si="213"/>
        <v>57</v>
      </c>
      <c r="R710" s="356">
        <f t="shared" si="207"/>
        <v>145791155.47154617</v>
      </c>
      <c r="S710" s="356">
        <f>IF($G$4="mensual",S709,0)</f>
        <v>10000</v>
      </c>
      <c r="U710" s="356">
        <f t="shared" si="214"/>
        <v>1162638.8884265397</v>
      </c>
      <c r="V710" s="356">
        <f t="shared" si="215"/>
        <v>-712.6155770774312</v>
      </c>
      <c r="X710" s="356">
        <f t="shared" si="199"/>
        <v>-146963.79435997273</v>
      </c>
      <c r="Y710" s="356">
        <f t="shared" si="200"/>
        <v>146816117.95003566</v>
      </c>
      <c r="AA710" s="357">
        <f>+Bono!J710</f>
        <v>1033862.6803403564</v>
      </c>
      <c r="AC710" s="378">
        <f t="shared" si="201"/>
        <v>57.25</v>
      </c>
      <c r="AD710" s="356">
        <f t="shared" si="202"/>
        <v>150422760.5983727</v>
      </c>
    </row>
    <row r="711" spans="2:30" x14ac:dyDescent="0.25">
      <c r="B711" s="356">
        <f t="shared" si="203"/>
        <v>688</v>
      </c>
      <c r="C711" s="357">
        <f t="shared" si="208"/>
        <v>57</v>
      </c>
      <c r="D711" s="357">
        <f t="shared" si="209"/>
        <v>4</v>
      </c>
      <c r="E711" s="357">
        <f t="shared" si="210"/>
        <v>86</v>
      </c>
      <c r="F711" s="356">
        <f t="shared" si="204"/>
        <v>2572779.9679966997</v>
      </c>
      <c r="H711" s="356">
        <f t="shared" si="197"/>
        <v>20515.708757476215</v>
      </c>
      <c r="I711" s="356">
        <v>0</v>
      </c>
      <c r="J711" s="356">
        <v>0</v>
      </c>
      <c r="K711" s="356">
        <f t="shared" si="205"/>
        <v>-2593.2956767541764</v>
      </c>
      <c r="L711" s="356">
        <f t="shared" si="198"/>
        <v>2590702.381077422</v>
      </c>
      <c r="N711" s="356">
        <f t="shared" si="206"/>
        <v>688</v>
      </c>
      <c r="O711" s="357">
        <f t="shared" si="211"/>
        <v>57</v>
      </c>
      <c r="P711" s="357">
        <f t="shared" si="212"/>
        <v>4</v>
      </c>
      <c r="Q711" s="357">
        <f t="shared" si="213"/>
        <v>57</v>
      </c>
      <c r="R711" s="356">
        <f t="shared" si="207"/>
        <v>146816117.95003566</v>
      </c>
      <c r="S711" s="356">
        <f>IF($G$4="mensual",S708,IF($G$4="trimestral",S708,0))</f>
        <v>10000</v>
      </c>
      <c r="U711" s="356">
        <f t="shared" si="214"/>
        <v>1170812.083164372</v>
      </c>
      <c r="V711" s="356">
        <f t="shared" si="215"/>
        <v>-712.6155770774312</v>
      </c>
      <c r="X711" s="356">
        <f t="shared" si="199"/>
        <v>-147996.93003320004</v>
      </c>
      <c r="Y711" s="356">
        <f t="shared" si="200"/>
        <v>147848220.48758975</v>
      </c>
      <c r="AA711" s="357">
        <f>+Bono!J711</f>
        <v>1040272.748879115</v>
      </c>
      <c r="AC711" s="378">
        <f t="shared" si="201"/>
        <v>57.333333333333336</v>
      </c>
      <c r="AD711" s="356">
        <f t="shared" si="202"/>
        <v>151479195.61754626</v>
      </c>
    </row>
    <row r="712" spans="2:30" x14ac:dyDescent="0.25">
      <c r="B712" s="356">
        <f t="shared" si="203"/>
        <v>689</v>
      </c>
      <c r="C712" s="357">
        <f t="shared" si="208"/>
        <v>57</v>
      </c>
      <c r="D712" s="357">
        <f t="shared" si="209"/>
        <v>5</v>
      </c>
      <c r="E712" s="357">
        <f t="shared" si="210"/>
        <v>86</v>
      </c>
      <c r="F712" s="356">
        <f t="shared" si="204"/>
        <v>2590702.381077422</v>
      </c>
      <c r="H712" s="356">
        <f t="shared" si="197"/>
        <v>20658.624596206715</v>
      </c>
      <c r="I712" s="356">
        <v>0</v>
      </c>
      <c r="J712" s="356">
        <v>0</v>
      </c>
      <c r="K712" s="356">
        <f t="shared" si="205"/>
        <v>-2611.361005673629</v>
      </c>
      <c r="L712" s="356">
        <f t="shared" si="198"/>
        <v>2608749.644667955</v>
      </c>
      <c r="N712" s="356">
        <f t="shared" si="206"/>
        <v>689</v>
      </c>
      <c r="O712" s="357">
        <f t="shared" si="211"/>
        <v>57</v>
      </c>
      <c r="P712" s="357">
        <f t="shared" si="212"/>
        <v>5</v>
      </c>
      <c r="Q712" s="357">
        <f t="shared" si="213"/>
        <v>57</v>
      </c>
      <c r="R712" s="356">
        <f t="shared" si="207"/>
        <v>147848220.48758975</v>
      </c>
      <c r="S712" s="356">
        <f>IF($G$4="mensual",S711,0)</f>
        <v>10000</v>
      </c>
      <c r="U712" s="356">
        <f t="shared" si="214"/>
        <v>1179042.2137358563</v>
      </c>
      <c r="V712" s="356">
        <f t="shared" si="215"/>
        <v>-712.6155770774312</v>
      </c>
      <c r="X712" s="356">
        <f t="shared" si="199"/>
        <v>-149037.26270132558</v>
      </c>
      <c r="Y712" s="356">
        <f t="shared" si="200"/>
        <v>148887512.8230472</v>
      </c>
      <c r="AA712" s="357">
        <f>+Bono!J712</f>
        <v>1046722.5605863358</v>
      </c>
      <c r="AC712" s="378">
        <f t="shared" si="201"/>
        <v>57.416666666666664</v>
      </c>
      <c r="AD712" s="356">
        <f t="shared" si="202"/>
        <v>152542985.02830148</v>
      </c>
    </row>
    <row r="713" spans="2:30" x14ac:dyDescent="0.25">
      <c r="B713" s="356">
        <f t="shared" si="203"/>
        <v>690</v>
      </c>
      <c r="C713" s="357">
        <f t="shared" si="208"/>
        <v>57</v>
      </c>
      <c r="D713" s="357">
        <f t="shared" si="209"/>
        <v>6</v>
      </c>
      <c r="E713" s="357">
        <f t="shared" si="210"/>
        <v>86</v>
      </c>
      <c r="F713" s="356">
        <f t="shared" si="204"/>
        <v>2608749.644667955</v>
      </c>
      <c r="H713" s="356">
        <f t="shared" si="197"/>
        <v>20802.53601043507</v>
      </c>
      <c r="I713" s="356">
        <v>0</v>
      </c>
      <c r="J713" s="360">
        <f>-SUM(F713:H713)*$J$21</f>
        <v>-23665.969626105514</v>
      </c>
      <c r="K713" s="356">
        <f t="shared" si="205"/>
        <v>-2605.8862110522846</v>
      </c>
      <c r="L713" s="356">
        <f t="shared" si="198"/>
        <v>2603280.3248412325</v>
      </c>
      <c r="N713" s="356">
        <f t="shared" si="206"/>
        <v>690</v>
      </c>
      <c r="O713" s="357">
        <f t="shared" si="211"/>
        <v>57</v>
      </c>
      <c r="P713" s="357">
        <f t="shared" si="212"/>
        <v>6</v>
      </c>
      <c r="Q713" s="357">
        <f t="shared" si="213"/>
        <v>57</v>
      </c>
      <c r="R713" s="356">
        <f t="shared" si="207"/>
        <v>148887512.8230472</v>
      </c>
      <c r="S713" s="356">
        <f>IF($G$4="mensual",S712,0)</f>
        <v>10000</v>
      </c>
      <c r="U713" s="356">
        <f t="shared" si="214"/>
        <v>1187329.6767654773</v>
      </c>
      <c r="V713" s="356">
        <f t="shared" si="215"/>
        <v>-712.6155770774312</v>
      </c>
      <c r="X713" s="356">
        <f t="shared" si="199"/>
        <v>-150084.84249981266</v>
      </c>
      <c r="Y713" s="356">
        <f t="shared" si="200"/>
        <v>149934045.04173577</v>
      </c>
      <c r="AA713" s="357">
        <f>+Bono!J713</f>
        <v>1043723.9622177484</v>
      </c>
      <c r="AC713" s="378">
        <f t="shared" si="201"/>
        <v>57.5</v>
      </c>
      <c r="AD713" s="356">
        <f t="shared" si="202"/>
        <v>153581049.32879475</v>
      </c>
    </row>
    <row r="714" spans="2:30" x14ac:dyDescent="0.25">
      <c r="B714" s="356">
        <f t="shared" si="203"/>
        <v>691</v>
      </c>
      <c r="C714" s="357">
        <f t="shared" si="208"/>
        <v>57</v>
      </c>
      <c r="D714" s="357">
        <f t="shared" si="209"/>
        <v>7</v>
      </c>
      <c r="E714" s="357">
        <f t="shared" si="210"/>
        <v>86</v>
      </c>
      <c r="F714" s="356">
        <f t="shared" si="204"/>
        <v>2603280.3248412325</v>
      </c>
      <c r="H714" s="356">
        <f t="shared" si="197"/>
        <v>20758.922886086195</v>
      </c>
      <c r="I714" s="356">
        <v>0</v>
      </c>
      <c r="J714" s="356">
        <v>0</v>
      </c>
      <c r="K714" s="356">
        <f t="shared" si="205"/>
        <v>-2624.0392477273185</v>
      </c>
      <c r="L714" s="356">
        <f t="shared" si="198"/>
        <v>2621415.208479591</v>
      </c>
      <c r="N714" s="356">
        <f t="shared" si="206"/>
        <v>691</v>
      </c>
      <c r="O714" s="357">
        <f t="shared" si="211"/>
        <v>57</v>
      </c>
      <c r="P714" s="357">
        <f t="shared" si="212"/>
        <v>7</v>
      </c>
      <c r="Q714" s="357">
        <f t="shared" si="213"/>
        <v>57</v>
      </c>
      <c r="R714" s="356">
        <f t="shared" si="207"/>
        <v>149934045.04173577</v>
      </c>
      <c r="S714" s="356">
        <f>+IF($G$4="mensual",S708,IF($G$4="trimestral",S708,IF($G$4="semestral",S708,0)))</f>
        <v>10000</v>
      </c>
      <c r="U714" s="356">
        <f t="shared" si="214"/>
        <v>1195674.8716406722</v>
      </c>
      <c r="V714" s="356">
        <f t="shared" si="215"/>
        <v>-712.6155770774312</v>
      </c>
      <c r="X714" s="356">
        <f t="shared" si="199"/>
        <v>-151139.71991337647</v>
      </c>
      <c r="Y714" s="356">
        <f t="shared" si="200"/>
        <v>150987867.57788602</v>
      </c>
      <c r="AA714" s="357">
        <f>+Bono!J714</f>
        <v>1050195.1718479847</v>
      </c>
      <c r="AC714" s="378">
        <f t="shared" si="201"/>
        <v>57.583333333333336</v>
      </c>
      <c r="AD714" s="356">
        <f t="shared" si="202"/>
        <v>154659477.9582136</v>
      </c>
    </row>
    <row r="715" spans="2:30" x14ac:dyDescent="0.25">
      <c r="B715" s="356">
        <f t="shared" si="203"/>
        <v>692</v>
      </c>
      <c r="C715" s="357">
        <f t="shared" si="208"/>
        <v>57</v>
      </c>
      <c r="D715" s="357">
        <f t="shared" si="209"/>
        <v>8</v>
      </c>
      <c r="E715" s="357">
        <f t="shared" si="210"/>
        <v>86</v>
      </c>
      <c r="F715" s="356">
        <f t="shared" si="204"/>
        <v>2621415.208479591</v>
      </c>
      <c r="H715" s="356">
        <f t="shared" si="197"/>
        <v>20903.532994880297</v>
      </c>
      <c r="I715" s="356">
        <v>0</v>
      </c>
      <c r="J715" s="356">
        <v>0</v>
      </c>
      <c r="K715" s="356">
        <f t="shared" si="205"/>
        <v>-2642.3187414744716</v>
      </c>
      <c r="L715" s="356">
        <f t="shared" si="198"/>
        <v>2639676.422732997</v>
      </c>
      <c r="N715" s="356">
        <f t="shared" si="206"/>
        <v>692</v>
      </c>
      <c r="O715" s="357">
        <f t="shared" si="211"/>
        <v>57</v>
      </c>
      <c r="P715" s="357">
        <f t="shared" si="212"/>
        <v>8</v>
      </c>
      <c r="Q715" s="357">
        <f t="shared" si="213"/>
        <v>57</v>
      </c>
      <c r="R715" s="356">
        <f t="shared" si="207"/>
        <v>150987867.57788602</v>
      </c>
      <c r="S715" s="356">
        <f>IF($G$4="mensual",S714,0)</f>
        <v>10000</v>
      </c>
      <c r="U715" s="356">
        <f t="shared" si="214"/>
        <v>1204078.2005310778</v>
      </c>
      <c r="V715" s="356">
        <f t="shared" si="215"/>
        <v>-712.6155770774312</v>
      </c>
      <c r="X715" s="356">
        <f t="shared" si="199"/>
        <v>-152201.94577841708</v>
      </c>
      <c r="Y715" s="356">
        <f t="shared" si="200"/>
        <v>152049031.21706158</v>
      </c>
      <c r="AA715" s="357">
        <f>+Bono!J715</f>
        <v>1056706.5037285422</v>
      </c>
      <c r="AC715" s="378">
        <f t="shared" si="201"/>
        <v>57.666666666666664</v>
      </c>
      <c r="AD715" s="356">
        <f t="shared" si="202"/>
        <v>155745414.14352313</v>
      </c>
    </row>
    <row r="716" spans="2:30" x14ac:dyDescent="0.25">
      <c r="B716" s="356">
        <f t="shared" si="203"/>
        <v>693</v>
      </c>
      <c r="C716" s="357">
        <f t="shared" si="208"/>
        <v>57</v>
      </c>
      <c r="D716" s="357">
        <f t="shared" si="209"/>
        <v>9</v>
      </c>
      <c r="E716" s="357">
        <f t="shared" si="210"/>
        <v>86</v>
      </c>
      <c r="F716" s="356">
        <f t="shared" si="204"/>
        <v>2639676.422732997</v>
      </c>
      <c r="H716" s="356">
        <f t="shared" si="197"/>
        <v>21049.150481739256</v>
      </c>
      <c r="I716" s="356">
        <v>0</v>
      </c>
      <c r="J716" s="360">
        <f>-SUM(F716:H716)*$J$21</f>
        <v>-23946.53015893263</v>
      </c>
      <c r="K716" s="356">
        <f t="shared" si="205"/>
        <v>-2636.7790430558034</v>
      </c>
      <c r="L716" s="356">
        <f t="shared" si="198"/>
        <v>2634142.264012748</v>
      </c>
      <c r="N716" s="356">
        <f t="shared" si="206"/>
        <v>693</v>
      </c>
      <c r="O716" s="357">
        <f t="shared" si="211"/>
        <v>57</v>
      </c>
      <c r="P716" s="357">
        <f t="shared" si="212"/>
        <v>9</v>
      </c>
      <c r="Q716" s="357">
        <f t="shared" si="213"/>
        <v>57</v>
      </c>
      <c r="R716" s="356">
        <f t="shared" si="207"/>
        <v>152049031.21706158</v>
      </c>
      <c r="S716" s="356">
        <f>IF($G$4="mensual",S715,0)</f>
        <v>10000</v>
      </c>
      <c r="U716" s="356">
        <f t="shared" si="214"/>
        <v>1212540.0684079104</v>
      </c>
      <c r="V716" s="356">
        <f t="shared" si="215"/>
        <v>-712.6155770774312</v>
      </c>
      <c r="X716" s="356">
        <f t="shared" si="199"/>
        <v>-153271.57128546952</v>
      </c>
      <c r="Y716" s="356">
        <f t="shared" si="200"/>
        <v>153117587.09860697</v>
      </c>
      <c r="AA716" s="357">
        <f>+Bono!J716</f>
        <v>1053679.3038596665</v>
      </c>
      <c r="AC716" s="378">
        <f t="shared" si="201"/>
        <v>57.75</v>
      </c>
      <c r="AD716" s="356">
        <f t="shared" si="202"/>
        <v>156805408.6664794</v>
      </c>
    </row>
    <row r="717" spans="2:30" x14ac:dyDescent="0.25">
      <c r="B717" s="356">
        <f t="shared" si="203"/>
        <v>694</v>
      </c>
      <c r="C717" s="357">
        <f t="shared" si="208"/>
        <v>57</v>
      </c>
      <c r="D717" s="357">
        <f t="shared" si="209"/>
        <v>10</v>
      </c>
      <c r="E717" s="357">
        <f t="shared" si="210"/>
        <v>86</v>
      </c>
      <c r="F717" s="356">
        <f t="shared" si="204"/>
        <v>2634142.264012748</v>
      </c>
      <c r="H717" s="356">
        <f t="shared" si="197"/>
        <v>21005.020322948145</v>
      </c>
      <c r="I717" s="356">
        <v>0</v>
      </c>
      <c r="J717" s="356">
        <v>0</v>
      </c>
      <c r="K717" s="356">
        <f t="shared" si="205"/>
        <v>-2655.147284335696</v>
      </c>
      <c r="L717" s="356">
        <f t="shared" si="198"/>
        <v>2652492.13705136</v>
      </c>
      <c r="N717" s="356">
        <f t="shared" si="206"/>
        <v>694</v>
      </c>
      <c r="O717" s="357">
        <f t="shared" si="211"/>
        <v>57</v>
      </c>
      <c r="P717" s="357">
        <f t="shared" si="212"/>
        <v>10</v>
      </c>
      <c r="Q717" s="357">
        <f t="shared" si="213"/>
        <v>57</v>
      </c>
      <c r="R717" s="356">
        <f t="shared" si="207"/>
        <v>153117587.09860697</v>
      </c>
      <c r="S717" s="356">
        <f>IF($G$4="mensual",S708,IF($G$4="trimestral",S708,0))</f>
        <v>10000</v>
      </c>
      <c r="U717" s="356">
        <f t="shared" si="214"/>
        <v>1221060.8830634844</v>
      </c>
      <c r="V717" s="356">
        <f t="shared" si="215"/>
        <v>-712.6155770774312</v>
      </c>
      <c r="X717" s="356">
        <f t="shared" si="199"/>
        <v>-154348.64798167048</v>
      </c>
      <c r="Y717" s="356">
        <f t="shared" si="200"/>
        <v>154193586.71811172</v>
      </c>
      <c r="AA717" s="357">
        <f>+Bono!J717</f>
        <v>1060212.237762831</v>
      </c>
      <c r="AC717" s="378">
        <f t="shared" si="201"/>
        <v>57.833333333333336</v>
      </c>
      <c r="AD717" s="356">
        <f t="shared" si="202"/>
        <v>157906291.09292594</v>
      </c>
    </row>
    <row r="718" spans="2:30" x14ac:dyDescent="0.25">
      <c r="B718" s="356">
        <f t="shared" si="203"/>
        <v>695</v>
      </c>
      <c r="C718" s="357">
        <f t="shared" si="208"/>
        <v>57</v>
      </c>
      <c r="D718" s="357">
        <f t="shared" si="209"/>
        <v>11</v>
      </c>
      <c r="E718" s="357">
        <f t="shared" si="210"/>
        <v>86</v>
      </c>
      <c r="F718" s="356">
        <f t="shared" si="204"/>
        <v>2652492.13705136</v>
      </c>
      <c r="H718" s="356">
        <f t="shared" si="197"/>
        <v>21151.344787410595</v>
      </c>
      <c r="I718" s="356">
        <v>0</v>
      </c>
      <c r="J718" s="356">
        <v>0</v>
      </c>
      <c r="K718" s="356">
        <f t="shared" si="205"/>
        <v>-2673.6434818387706</v>
      </c>
      <c r="L718" s="356">
        <f t="shared" si="198"/>
        <v>2670969.8383569317</v>
      </c>
      <c r="N718" s="356">
        <f t="shared" si="206"/>
        <v>695</v>
      </c>
      <c r="O718" s="357">
        <f t="shared" si="211"/>
        <v>57</v>
      </c>
      <c r="P718" s="357">
        <f t="shared" si="212"/>
        <v>11</v>
      </c>
      <c r="Q718" s="357">
        <f t="shared" si="213"/>
        <v>57</v>
      </c>
      <c r="R718" s="356">
        <f t="shared" si="207"/>
        <v>154193586.71811172</v>
      </c>
      <c r="S718" s="356">
        <f>IF($G$17="si",S706*(1+$G$20),S706)</f>
        <v>10000</v>
      </c>
      <c r="U718" s="356">
        <f t="shared" si="214"/>
        <v>1229641.0551308622</v>
      </c>
      <c r="V718" s="356">
        <f t="shared" si="215"/>
        <v>-712.6155770774312</v>
      </c>
      <c r="X718" s="356">
        <f t="shared" si="199"/>
        <v>-155433.2277732426</v>
      </c>
      <c r="Y718" s="356">
        <f t="shared" si="200"/>
        <v>155277081.92989227</v>
      </c>
      <c r="AA718" s="357">
        <f>+Bono!J718</f>
        <v>1066785.6766139683</v>
      </c>
      <c r="AC718" s="378">
        <f t="shared" si="201"/>
        <v>57.916666666666664</v>
      </c>
      <c r="AD718" s="356">
        <f t="shared" si="202"/>
        <v>159014837.44486317</v>
      </c>
    </row>
    <row r="719" spans="2:30" x14ac:dyDescent="0.25">
      <c r="B719" s="356">
        <f t="shared" si="203"/>
        <v>696</v>
      </c>
      <c r="C719" s="357">
        <f t="shared" si="208"/>
        <v>57</v>
      </c>
      <c r="D719" s="357">
        <f t="shared" si="209"/>
        <v>12</v>
      </c>
      <c r="E719" s="357">
        <f t="shared" si="210"/>
        <v>86</v>
      </c>
      <c r="F719" s="356">
        <f t="shared" si="204"/>
        <v>2670969.8383569317</v>
      </c>
      <c r="H719" s="356">
        <f t="shared" si="197"/>
        <v>21298.688572424562</v>
      </c>
      <c r="I719" s="356">
        <v>0</v>
      </c>
      <c r="J719" s="360">
        <f>-SUM(F719:H719)*$J$21</f>
        <v>-24230.416742364207</v>
      </c>
      <c r="K719" s="356">
        <f t="shared" si="205"/>
        <v>-2668.0381101869916</v>
      </c>
      <c r="L719" s="356">
        <f t="shared" si="198"/>
        <v>2665370.072076805</v>
      </c>
      <c r="N719" s="356">
        <f t="shared" si="206"/>
        <v>696</v>
      </c>
      <c r="O719" s="357">
        <f t="shared" si="211"/>
        <v>57</v>
      </c>
      <c r="P719" s="357">
        <f t="shared" si="212"/>
        <v>12</v>
      </c>
      <c r="Q719" s="357">
        <f t="shared" si="213"/>
        <v>57</v>
      </c>
      <c r="R719" s="356">
        <f t="shared" si="207"/>
        <v>155277081.92989227</v>
      </c>
      <c r="S719" s="356">
        <f>IF($G$4="mensual",S718,0)</f>
        <v>10000</v>
      </c>
      <c r="U719" s="356">
        <f t="shared" si="214"/>
        <v>1238280.9981036452</v>
      </c>
      <c r="V719" s="356">
        <f t="shared" si="215"/>
        <v>-712.6155770774312</v>
      </c>
      <c r="X719" s="356">
        <f t="shared" si="199"/>
        <v>-156525.3629279959</v>
      </c>
      <c r="Y719" s="356">
        <f t="shared" si="200"/>
        <v>156368124.94949085</v>
      </c>
      <c r="AA719" s="357">
        <f>+Bono!J719</f>
        <v>1063729.6024354054</v>
      </c>
      <c r="AC719" s="378">
        <f t="shared" si="201"/>
        <v>58</v>
      </c>
      <c r="AD719" s="356">
        <f t="shared" si="202"/>
        <v>160097224.62400305</v>
      </c>
    </row>
    <row r="720" spans="2:30" x14ac:dyDescent="0.25">
      <c r="B720" s="356">
        <f t="shared" si="203"/>
        <v>697</v>
      </c>
      <c r="C720" s="357">
        <f t="shared" si="208"/>
        <v>58</v>
      </c>
      <c r="D720" s="357">
        <f t="shared" si="209"/>
        <v>1</v>
      </c>
      <c r="E720" s="357">
        <f t="shared" si="210"/>
        <v>87</v>
      </c>
      <c r="F720" s="356">
        <f t="shared" si="204"/>
        <v>2665370.072076805</v>
      </c>
      <c r="H720" s="356">
        <f t="shared" si="197"/>
        <v>21254.03524973779</v>
      </c>
      <c r="I720" s="356">
        <v>0</v>
      </c>
      <c r="J720" s="356">
        <v>0</v>
      </c>
      <c r="K720" s="356">
        <f t="shared" si="205"/>
        <v>-2686.624107326543</v>
      </c>
      <c r="L720" s="356">
        <f t="shared" si="198"/>
        <v>2683937.4832192166</v>
      </c>
      <c r="N720" s="356">
        <f t="shared" si="206"/>
        <v>697</v>
      </c>
      <c r="O720" s="357">
        <f t="shared" si="211"/>
        <v>58</v>
      </c>
      <c r="P720" s="357">
        <f t="shared" si="212"/>
        <v>1</v>
      </c>
      <c r="Q720" s="357">
        <f t="shared" si="213"/>
        <v>58</v>
      </c>
      <c r="R720" s="356">
        <f t="shared" si="207"/>
        <v>156368124.94949085</v>
      </c>
      <c r="S720" s="356">
        <f>IF($G$17="si",S708*(1+$G$20),S708)</f>
        <v>10000</v>
      </c>
      <c r="U720" s="356">
        <f t="shared" si="214"/>
        <v>1246981.1283558994</v>
      </c>
      <c r="V720" s="356">
        <f>V719*(1+$G$18)</f>
        <v>-741.1202001605285</v>
      </c>
      <c r="X720" s="356">
        <f t="shared" si="199"/>
        <v>-157625.10607784675</v>
      </c>
      <c r="Y720" s="356">
        <f t="shared" si="200"/>
        <v>157466739.85156873</v>
      </c>
      <c r="AA720" s="357">
        <f>+Bono!J720</f>
        <v>1070324.8493555018</v>
      </c>
      <c r="AC720" s="378">
        <f t="shared" si="201"/>
        <v>58.083333333333336</v>
      </c>
      <c r="AD720" s="356">
        <f t="shared" si="202"/>
        <v>161221002.18414342</v>
      </c>
    </row>
    <row r="721" spans="2:30" x14ac:dyDescent="0.25">
      <c r="B721" s="356">
        <f t="shared" si="203"/>
        <v>698</v>
      </c>
      <c r="C721" s="357">
        <f t="shared" si="208"/>
        <v>58</v>
      </c>
      <c r="D721" s="357">
        <f t="shared" si="209"/>
        <v>2</v>
      </c>
      <c r="E721" s="357">
        <f t="shared" si="210"/>
        <v>87</v>
      </c>
      <c r="F721" s="356">
        <f t="shared" si="204"/>
        <v>2683937.4832192166</v>
      </c>
      <c r="H721" s="356">
        <f t="shared" si="197"/>
        <v>21402.094393588573</v>
      </c>
      <c r="I721" s="356">
        <v>0</v>
      </c>
      <c r="J721" s="356">
        <v>0</v>
      </c>
      <c r="K721" s="356">
        <f t="shared" si="205"/>
        <v>-2705.3395776128054</v>
      </c>
      <c r="L721" s="356">
        <f t="shared" si="198"/>
        <v>2702634.2380351922</v>
      </c>
      <c r="N721" s="356">
        <f t="shared" si="206"/>
        <v>698</v>
      </c>
      <c r="O721" s="357">
        <f t="shared" si="211"/>
        <v>58</v>
      </c>
      <c r="P721" s="357">
        <f t="shared" si="212"/>
        <v>2</v>
      </c>
      <c r="Q721" s="357">
        <f t="shared" si="213"/>
        <v>58</v>
      </c>
      <c r="R721" s="356">
        <f t="shared" si="207"/>
        <v>157466739.85156873</v>
      </c>
      <c r="S721" s="356">
        <f>IF($G$4="mensual",S720,0)</f>
        <v>10000</v>
      </c>
      <c r="U721" s="356">
        <f t="shared" si="214"/>
        <v>1255741.6378623547</v>
      </c>
      <c r="V721" s="356">
        <f>V720</f>
        <v>-741.1202001605285</v>
      </c>
      <c r="X721" s="356">
        <f t="shared" si="199"/>
        <v>-158732.48148943108</v>
      </c>
      <c r="Y721" s="356">
        <f t="shared" si="200"/>
        <v>158573007.8877415</v>
      </c>
      <c r="AA721" s="357">
        <f>+Bono!J721</f>
        <v>1076960.987571504</v>
      </c>
      <c r="AC721" s="378">
        <f t="shared" si="201"/>
        <v>58.166666666666664</v>
      </c>
      <c r="AD721" s="356">
        <f t="shared" si="202"/>
        <v>162352603.11334822</v>
      </c>
    </row>
    <row r="722" spans="2:30" x14ac:dyDescent="0.25">
      <c r="B722" s="356">
        <f t="shared" si="203"/>
        <v>699</v>
      </c>
      <c r="C722" s="357">
        <f t="shared" si="208"/>
        <v>58</v>
      </c>
      <c r="D722" s="357">
        <f t="shared" si="209"/>
        <v>3</v>
      </c>
      <c r="E722" s="357">
        <f t="shared" si="210"/>
        <v>87</v>
      </c>
      <c r="F722" s="356">
        <f t="shared" si="204"/>
        <v>2702634.2380351922</v>
      </c>
      <c r="H722" s="356">
        <f t="shared" si="197"/>
        <v>21551.184942055945</v>
      </c>
      <c r="I722" s="356">
        <v>0</v>
      </c>
      <c r="J722" s="360">
        <f>-SUM(F722:H722)*$J$21</f>
        <v>-24517.66880679524</v>
      </c>
      <c r="K722" s="356">
        <f t="shared" si="205"/>
        <v>-2699.667754170453</v>
      </c>
      <c r="L722" s="356">
        <f t="shared" si="198"/>
        <v>2696968.0864162827</v>
      </c>
      <c r="N722" s="356">
        <f t="shared" si="206"/>
        <v>699</v>
      </c>
      <c r="O722" s="357">
        <f t="shared" si="211"/>
        <v>58</v>
      </c>
      <c r="P722" s="357">
        <f t="shared" si="212"/>
        <v>3</v>
      </c>
      <c r="Q722" s="357">
        <f t="shared" si="213"/>
        <v>58</v>
      </c>
      <c r="R722" s="356">
        <f t="shared" si="207"/>
        <v>158573007.8877415</v>
      </c>
      <c r="S722" s="356">
        <f>IF($G$4="mensual",S721,0)</f>
        <v>10000</v>
      </c>
      <c r="U722" s="356">
        <f t="shared" si="214"/>
        <v>1264563.1745348042</v>
      </c>
      <c r="V722" s="356">
        <f t="shared" si="215"/>
        <v>-741.1202001605285</v>
      </c>
      <c r="X722" s="356">
        <f t="shared" si="199"/>
        <v>-159847.5710622763</v>
      </c>
      <c r="Y722" s="356">
        <f t="shared" si="200"/>
        <v>159686982.37101388</v>
      </c>
      <c r="AA722" s="357">
        <f>+Bono!J722</f>
        <v>1073875.7636717197</v>
      </c>
      <c r="AC722" s="378">
        <f t="shared" si="201"/>
        <v>58.25</v>
      </c>
      <c r="AD722" s="356">
        <f t="shared" si="202"/>
        <v>163457826.22110188</v>
      </c>
    </row>
    <row r="723" spans="2:30" x14ac:dyDescent="0.25">
      <c r="B723" s="356">
        <f t="shared" si="203"/>
        <v>700</v>
      </c>
      <c r="C723" s="357">
        <f t="shared" si="208"/>
        <v>58</v>
      </c>
      <c r="D723" s="357">
        <f t="shared" si="209"/>
        <v>4</v>
      </c>
      <c r="E723" s="357">
        <f t="shared" si="210"/>
        <v>87</v>
      </c>
      <c r="F723" s="356">
        <f t="shared" si="204"/>
        <v>2696968.0864162827</v>
      </c>
      <c r="H723" s="356">
        <f t="shared" si="197"/>
        <v>21506.002253355302</v>
      </c>
      <c r="I723" s="356">
        <v>0</v>
      </c>
      <c r="J723" s="356">
        <v>0</v>
      </c>
      <c r="K723" s="356">
        <f t="shared" si="205"/>
        <v>-2718.474088669638</v>
      </c>
      <c r="L723" s="356">
        <f t="shared" si="198"/>
        <v>2715755.6145809684</v>
      </c>
      <c r="N723" s="356">
        <f t="shared" si="206"/>
        <v>700</v>
      </c>
      <c r="O723" s="357">
        <f t="shared" si="211"/>
        <v>58</v>
      </c>
      <c r="P723" s="357">
        <f t="shared" si="212"/>
        <v>4</v>
      </c>
      <c r="Q723" s="357">
        <f t="shared" si="213"/>
        <v>58</v>
      </c>
      <c r="R723" s="356">
        <f t="shared" si="207"/>
        <v>159686982.37101388</v>
      </c>
      <c r="S723" s="356">
        <f>IF($G$4="mensual",S720,IF($G$4="trimestral",S720,0))</f>
        <v>10000</v>
      </c>
      <c r="U723" s="356">
        <f t="shared" si="214"/>
        <v>1273446.1634986335</v>
      </c>
      <c r="V723" s="356">
        <f t="shared" si="215"/>
        <v>-741.1202001605285</v>
      </c>
      <c r="X723" s="356">
        <f t="shared" si="199"/>
        <v>-160970.42853451252</v>
      </c>
      <c r="Y723" s="356">
        <f t="shared" si="200"/>
        <v>160808716.98577785</v>
      </c>
      <c r="AA723" s="357">
        <f>+Bono!J723</f>
        <v>1080533.9179683633</v>
      </c>
      <c r="AC723" s="378">
        <f t="shared" si="201"/>
        <v>58.333333333333336</v>
      </c>
      <c r="AD723" s="356">
        <f t="shared" si="202"/>
        <v>164605006.51832718</v>
      </c>
    </row>
    <row r="724" spans="2:30" x14ac:dyDescent="0.25">
      <c r="B724" s="356">
        <f t="shared" si="203"/>
        <v>701</v>
      </c>
      <c r="C724" s="357">
        <f t="shared" si="208"/>
        <v>58</v>
      </c>
      <c r="D724" s="357">
        <f t="shared" si="209"/>
        <v>5</v>
      </c>
      <c r="E724" s="357">
        <f t="shared" si="210"/>
        <v>87</v>
      </c>
      <c r="F724" s="356">
        <f t="shared" si="204"/>
        <v>2715755.6145809684</v>
      </c>
      <c r="H724" s="356">
        <f t="shared" si="197"/>
        <v>21655.816641252488</v>
      </c>
      <c r="I724" s="356">
        <v>0</v>
      </c>
      <c r="J724" s="356">
        <v>0</v>
      </c>
      <c r="K724" s="356">
        <f t="shared" si="205"/>
        <v>-2737.411431222221</v>
      </c>
      <c r="L724" s="356">
        <f t="shared" si="198"/>
        <v>2734674.0197909987</v>
      </c>
      <c r="N724" s="356">
        <f t="shared" si="206"/>
        <v>701</v>
      </c>
      <c r="O724" s="357">
        <f t="shared" si="211"/>
        <v>58</v>
      </c>
      <c r="P724" s="357">
        <f t="shared" si="212"/>
        <v>5</v>
      </c>
      <c r="Q724" s="357">
        <f t="shared" si="213"/>
        <v>58</v>
      </c>
      <c r="R724" s="356">
        <f t="shared" si="207"/>
        <v>160808716.98577785</v>
      </c>
      <c r="S724" s="356">
        <f>IF($G$4="mensual",S723,0)</f>
        <v>10000</v>
      </c>
      <c r="U724" s="356">
        <f t="shared" si="214"/>
        <v>1282391.0328407236</v>
      </c>
      <c r="V724" s="356">
        <f t="shared" si="215"/>
        <v>-741.1202001605285</v>
      </c>
      <c r="X724" s="356">
        <f t="shared" si="199"/>
        <v>-162101.1080186186</v>
      </c>
      <c r="Y724" s="356">
        <f t="shared" si="200"/>
        <v>161938265.79039982</v>
      </c>
      <c r="AA724" s="357">
        <f>+Bono!J724</f>
        <v>1087233.353593944</v>
      </c>
      <c r="AC724" s="378">
        <f t="shared" si="201"/>
        <v>58.416666666666664</v>
      </c>
      <c r="AD724" s="356">
        <f t="shared" si="202"/>
        <v>165760173.16378477</v>
      </c>
    </row>
    <row r="725" spans="2:30" x14ac:dyDescent="0.25">
      <c r="B725" s="356">
        <f t="shared" si="203"/>
        <v>702</v>
      </c>
      <c r="C725" s="357">
        <f t="shared" si="208"/>
        <v>58</v>
      </c>
      <c r="D725" s="357">
        <f t="shared" si="209"/>
        <v>6</v>
      </c>
      <c r="E725" s="357">
        <f t="shared" si="210"/>
        <v>87</v>
      </c>
      <c r="F725" s="356">
        <f t="shared" si="204"/>
        <v>2734674.0197909987</v>
      </c>
      <c r="H725" s="356">
        <f t="shared" si="197"/>
        <v>21806.674661088175</v>
      </c>
      <c r="I725" s="356">
        <v>0</v>
      </c>
      <c r="J725" s="360">
        <f>-SUM(F725:H725)*$J$21</f>
        <v>-24808.326250068785</v>
      </c>
      <c r="K725" s="356">
        <f t="shared" si="205"/>
        <v>-2731.6723682020183</v>
      </c>
      <c r="L725" s="356">
        <f t="shared" si="198"/>
        <v>2728940.695833816</v>
      </c>
      <c r="N725" s="356">
        <f t="shared" si="206"/>
        <v>702</v>
      </c>
      <c r="O725" s="357">
        <f t="shared" si="211"/>
        <v>58</v>
      </c>
      <c r="P725" s="357">
        <f t="shared" si="212"/>
        <v>6</v>
      </c>
      <c r="Q725" s="357">
        <f t="shared" si="213"/>
        <v>58</v>
      </c>
      <c r="R725" s="356">
        <f t="shared" si="207"/>
        <v>161938265.79039982</v>
      </c>
      <c r="S725" s="356">
        <f>IF($G$4="mensual",S724,0)</f>
        <v>10000</v>
      </c>
      <c r="U725" s="356">
        <f t="shared" si="214"/>
        <v>1291398.2136300795</v>
      </c>
      <c r="V725" s="356">
        <f t="shared" si="215"/>
        <v>-741.1202001605285</v>
      </c>
      <c r="X725" s="356">
        <f t="shared" si="199"/>
        <v>-163239.6640040299</v>
      </c>
      <c r="Y725" s="356">
        <f t="shared" si="200"/>
        <v>163075683.2198257</v>
      </c>
      <c r="AA725" s="357">
        <f>+Bono!J725</f>
        <v>1084118.7019344494</v>
      </c>
      <c r="AC725" s="378">
        <f t="shared" si="201"/>
        <v>58.5</v>
      </c>
      <c r="AD725" s="356">
        <f t="shared" si="202"/>
        <v>166888742.61759397</v>
      </c>
    </row>
    <row r="726" spans="2:30" x14ac:dyDescent="0.25">
      <c r="B726" s="356">
        <f t="shared" si="203"/>
        <v>703</v>
      </c>
      <c r="C726" s="357">
        <f t="shared" si="208"/>
        <v>58</v>
      </c>
      <c r="D726" s="357">
        <f t="shared" si="209"/>
        <v>7</v>
      </c>
      <c r="E726" s="357">
        <f t="shared" si="210"/>
        <v>87</v>
      </c>
      <c r="F726" s="356">
        <f t="shared" si="204"/>
        <v>2728940.695833816</v>
      </c>
      <c r="H726" s="356">
        <f t="shared" si="197"/>
        <v>21760.956330729205</v>
      </c>
      <c r="I726" s="356">
        <v>0</v>
      </c>
      <c r="J726" s="356">
        <v>0</v>
      </c>
      <c r="K726" s="356">
        <f t="shared" si="205"/>
        <v>-2750.7016521645455</v>
      </c>
      <c r="L726" s="356">
        <f t="shared" si="198"/>
        <v>2747950.950512381</v>
      </c>
      <c r="N726" s="356">
        <f t="shared" si="206"/>
        <v>703</v>
      </c>
      <c r="O726" s="357">
        <f t="shared" si="211"/>
        <v>58</v>
      </c>
      <c r="P726" s="357">
        <f t="shared" si="212"/>
        <v>7</v>
      </c>
      <c r="Q726" s="357">
        <f t="shared" si="213"/>
        <v>58</v>
      </c>
      <c r="R726" s="356">
        <f t="shared" si="207"/>
        <v>163075683.2198257</v>
      </c>
      <c r="S726" s="356">
        <f>+IF($G$4="mensual",S720,IF($G$4="trimestral",S720,IF($G$4="semestral",S720,0)))</f>
        <v>10000</v>
      </c>
      <c r="U726" s="356">
        <f t="shared" si="214"/>
        <v>1300468.1399386046</v>
      </c>
      <c r="V726" s="356">
        <f t="shared" si="215"/>
        <v>-741.1202001605285</v>
      </c>
      <c r="X726" s="356">
        <f t="shared" si="199"/>
        <v>-164386.1513597643</v>
      </c>
      <c r="Y726" s="356">
        <f t="shared" si="200"/>
        <v>164221024.08820438</v>
      </c>
      <c r="AA726" s="357">
        <f>+Bono!J726</f>
        <v>1090840.363636429</v>
      </c>
      <c r="AC726" s="378">
        <f t="shared" si="201"/>
        <v>58.583333333333336</v>
      </c>
      <c r="AD726" s="356">
        <f t="shared" si="202"/>
        <v>168059815.4023532</v>
      </c>
    </row>
    <row r="727" spans="2:30" x14ac:dyDescent="0.25">
      <c r="B727" s="356">
        <f t="shared" si="203"/>
        <v>704</v>
      </c>
      <c r="C727" s="357">
        <f t="shared" si="208"/>
        <v>58</v>
      </c>
      <c r="D727" s="357">
        <f t="shared" si="209"/>
        <v>8</v>
      </c>
      <c r="E727" s="357">
        <f t="shared" si="210"/>
        <v>87</v>
      </c>
      <c r="F727" s="356">
        <f t="shared" si="204"/>
        <v>2747950.950512381</v>
      </c>
      <c r="H727" s="356">
        <f t="shared" si="197"/>
        <v>21912.546771125304</v>
      </c>
      <c r="I727" s="356">
        <v>0</v>
      </c>
      <c r="J727" s="356">
        <v>0</v>
      </c>
      <c r="K727" s="356">
        <f t="shared" si="205"/>
        <v>-2769.863497283506</v>
      </c>
      <c r="L727" s="356">
        <f t="shared" si="198"/>
        <v>2767093.633786223</v>
      </c>
      <c r="N727" s="356">
        <f t="shared" si="206"/>
        <v>704</v>
      </c>
      <c r="O727" s="357">
        <f t="shared" si="211"/>
        <v>58</v>
      </c>
      <c r="P727" s="357">
        <f t="shared" si="212"/>
        <v>8</v>
      </c>
      <c r="Q727" s="357">
        <f t="shared" si="213"/>
        <v>58</v>
      </c>
      <c r="R727" s="356">
        <f t="shared" si="207"/>
        <v>164221024.08820438</v>
      </c>
      <c r="S727" s="356">
        <f>IF($G$4="mensual",S726,0)</f>
        <v>10000</v>
      </c>
      <c r="U727" s="356">
        <f t="shared" si="214"/>
        <v>1309601.2488620186</v>
      </c>
      <c r="V727" s="356">
        <f t="shared" si="215"/>
        <v>-741.1202001605285</v>
      </c>
      <c r="X727" s="356">
        <f t="shared" si="199"/>
        <v>-165540.62533706642</v>
      </c>
      <c r="Y727" s="356">
        <f t="shared" si="200"/>
        <v>165374343.5915292</v>
      </c>
      <c r="AA727" s="357">
        <f>+Bono!J727</f>
        <v>1097603.7004206255</v>
      </c>
      <c r="AC727" s="378">
        <f t="shared" si="201"/>
        <v>58.666666666666664</v>
      </c>
      <c r="AD727" s="356">
        <f t="shared" si="202"/>
        <v>169239040.92573604</v>
      </c>
    </row>
    <row r="728" spans="2:30" x14ac:dyDescent="0.25">
      <c r="B728" s="356">
        <f t="shared" si="203"/>
        <v>705</v>
      </c>
      <c r="C728" s="357">
        <f t="shared" si="208"/>
        <v>58</v>
      </c>
      <c r="D728" s="357">
        <f t="shared" si="209"/>
        <v>9</v>
      </c>
      <c r="E728" s="357">
        <f t="shared" si="210"/>
        <v>87</v>
      </c>
      <c r="F728" s="356">
        <f t="shared" si="204"/>
        <v>2767093.633786223</v>
      </c>
      <c r="H728" s="356">
        <f t="shared" ref="H728:H755" si="216">SUM(F728:G728)*$G$8</f>
        <v>22065.19321573695</v>
      </c>
      <c r="I728" s="356">
        <v>0</v>
      </c>
      <c r="J728" s="360">
        <f>-SUM(F728:H728)*$J$21</f>
        <v>-25102.42944301764</v>
      </c>
      <c r="K728" s="356">
        <f t="shared" si="205"/>
        <v>-2764.0563975589425</v>
      </c>
      <c r="L728" s="356">
        <f t="shared" ref="L728:L755" si="217">SUM(F728:K728)</f>
        <v>2761292.3411613833</v>
      </c>
      <c r="N728" s="356">
        <f t="shared" si="206"/>
        <v>705</v>
      </c>
      <c r="O728" s="357">
        <f t="shared" si="211"/>
        <v>58</v>
      </c>
      <c r="P728" s="357">
        <f t="shared" si="212"/>
        <v>9</v>
      </c>
      <c r="Q728" s="357">
        <f t="shared" si="213"/>
        <v>58</v>
      </c>
      <c r="R728" s="356">
        <f t="shared" si="207"/>
        <v>165374343.5915292</v>
      </c>
      <c r="S728" s="356">
        <f>IF($G$4="mensual",S727,0)</f>
        <v>10000</v>
      </c>
      <c r="U728" s="356">
        <f t="shared" si="214"/>
        <v>1318797.980540924</v>
      </c>
      <c r="V728" s="356">
        <f t="shared" si="215"/>
        <v>-741.1202001605285</v>
      </c>
      <c r="X728" s="356">
        <f t="shared" ref="X728:X755" si="218">-SUM(R728:U728)*0.1%</f>
        <v>-166703.14157207013</v>
      </c>
      <c r="Y728" s="356">
        <f t="shared" ref="Y728:Y755" si="219">SUM(R728:X728)</f>
        <v>166535697.3102979</v>
      </c>
      <c r="AA728" s="357">
        <f>+Bono!J728</f>
        <v>1094459.3403109196</v>
      </c>
      <c r="AC728" s="378">
        <f t="shared" ref="AC728:AC755" si="220">+B728/12</f>
        <v>58.75</v>
      </c>
      <c r="AD728" s="356">
        <f t="shared" ref="AD728:AD755" si="221">+AA728+Y728+L728</f>
        <v>170391448.9917702</v>
      </c>
    </row>
    <row r="729" spans="2:30" x14ac:dyDescent="0.25">
      <c r="B729" s="356">
        <f t="shared" ref="B729:B755" si="222">+B728+1</f>
        <v>706</v>
      </c>
      <c r="C729" s="357">
        <f t="shared" si="208"/>
        <v>58</v>
      </c>
      <c r="D729" s="357">
        <f t="shared" si="209"/>
        <v>10</v>
      </c>
      <c r="E729" s="357">
        <f t="shared" si="210"/>
        <v>87</v>
      </c>
      <c r="F729" s="356">
        <f t="shared" ref="F729:F755" si="223">L728</f>
        <v>2761292.3411613833</v>
      </c>
      <c r="H729" s="356">
        <f t="shared" si="216"/>
        <v>22018.932893677313</v>
      </c>
      <c r="I729" s="356">
        <v>0</v>
      </c>
      <c r="J729" s="356">
        <v>0</v>
      </c>
      <c r="K729" s="356">
        <f t="shared" ref="K729:K755" si="224">-SUM(F729:J729)*0.1%</f>
        <v>-2783.3112740550605</v>
      </c>
      <c r="L729" s="356">
        <f t="shared" si="217"/>
        <v>2780527.9627810055</v>
      </c>
      <c r="N729" s="356">
        <f t="shared" ref="N729:N755" si="225">+N728+1</f>
        <v>706</v>
      </c>
      <c r="O729" s="357">
        <f t="shared" si="211"/>
        <v>58</v>
      </c>
      <c r="P729" s="357">
        <f t="shared" si="212"/>
        <v>10</v>
      </c>
      <c r="Q729" s="357">
        <f t="shared" si="213"/>
        <v>58</v>
      </c>
      <c r="R729" s="356">
        <f t="shared" ref="R729:R755" si="226">Y728</f>
        <v>166535697.3102979</v>
      </c>
      <c r="S729" s="356">
        <f>IF($G$4="mensual",S720,IF($G$4="trimestral",S720,0))</f>
        <v>10000</v>
      </c>
      <c r="U729" s="356">
        <f t="shared" si="214"/>
        <v>1328058.7781820155</v>
      </c>
      <c r="V729" s="356">
        <f t="shared" si="215"/>
        <v>-741.1202001605285</v>
      </c>
      <c r="X729" s="356">
        <f t="shared" si="218"/>
        <v>-167873.75608847995</v>
      </c>
      <c r="Y729" s="356">
        <f t="shared" si="219"/>
        <v>167705141.2121913</v>
      </c>
      <c r="AA729" s="357">
        <f>+Bono!J729</f>
        <v>1101245.1151702732</v>
      </c>
      <c r="AC729" s="378">
        <f t="shared" si="220"/>
        <v>58.833333333333336</v>
      </c>
      <c r="AD729" s="356">
        <f t="shared" si="221"/>
        <v>171586914.2901426</v>
      </c>
    </row>
    <row r="730" spans="2:30" x14ac:dyDescent="0.25">
      <c r="B730" s="356">
        <f t="shared" si="222"/>
        <v>707</v>
      </c>
      <c r="C730" s="357">
        <f t="shared" si="208"/>
        <v>58</v>
      </c>
      <c r="D730" s="357">
        <f t="shared" si="209"/>
        <v>11</v>
      </c>
      <c r="E730" s="357">
        <f t="shared" si="210"/>
        <v>87</v>
      </c>
      <c r="F730" s="356">
        <f t="shared" si="223"/>
        <v>2780527.9627810055</v>
      </c>
      <c r="H730" s="356">
        <f t="shared" si="216"/>
        <v>22172.32044170944</v>
      </c>
      <c r="I730" s="356">
        <v>0</v>
      </c>
      <c r="J730" s="356">
        <v>0</v>
      </c>
      <c r="K730" s="356">
        <f t="shared" si="224"/>
        <v>-2802.700283222715</v>
      </c>
      <c r="L730" s="356">
        <f t="shared" si="217"/>
        <v>2799897.582939492</v>
      </c>
      <c r="N730" s="356">
        <f t="shared" si="225"/>
        <v>707</v>
      </c>
      <c r="O730" s="357">
        <f t="shared" si="211"/>
        <v>58</v>
      </c>
      <c r="P730" s="357">
        <f t="shared" si="212"/>
        <v>11</v>
      </c>
      <c r="Q730" s="357">
        <f t="shared" si="213"/>
        <v>58</v>
      </c>
      <c r="R730" s="356">
        <f t="shared" si="226"/>
        <v>167705141.2121913</v>
      </c>
      <c r="S730" s="356">
        <f>IF($G$17="si",S718*(1+$G$20),S718)</f>
        <v>10000</v>
      </c>
      <c r="U730" s="356">
        <f t="shared" si="214"/>
        <v>1337384.0880794385</v>
      </c>
      <c r="V730" s="356">
        <f t="shared" si="215"/>
        <v>-741.1202001605285</v>
      </c>
      <c r="X730" s="356">
        <f t="shared" si="218"/>
        <v>-169052.52530027076</v>
      </c>
      <c r="Y730" s="356">
        <f t="shared" si="219"/>
        <v>168882731.65477034</v>
      </c>
      <c r="AA730" s="357">
        <f>+Bono!J730</f>
        <v>1108072.962620856</v>
      </c>
      <c r="AC730" s="378">
        <f t="shared" si="220"/>
        <v>58.916666666666664</v>
      </c>
      <c r="AD730" s="356">
        <f t="shared" si="221"/>
        <v>172790702.2003307</v>
      </c>
    </row>
    <row r="731" spans="2:30" x14ac:dyDescent="0.25">
      <c r="B731" s="356">
        <f t="shared" si="222"/>
        <v>708</v>
      </c>
      <c r="C731" s="357">
        <f t="shared" si="208"/>
        <v>58</v>
      </c>
      <c r="D731" s="357">
        <f t="shared" si="209"/>
        <v>12</v>
      </c>
      <c r="E731" s="357">
        <f t="shared" si="210"/>
        <v>87</v>
      </c>
      <c r="F731" s="356">
        <f t="shared" si="223"/>
        <v>2799897.582939492</v>
      </c>
      <c r="H731" s="356">
        <f t="shared" si="216"/>
        <v>22326.776512907734</v>
      </c>
      <c r="I731" s="356">
        <v>0</v>
      </c>
      <c r="J731" s="360">
        <f>-SUM(F731:H731)*$J$21</f>
        <v>-25400.019235071602</v>
      </c>
      <c r="K731" s="356">
        <f t="shared" si="224"/>
        <v>-2796.8243402173284</v>
      </c>
      <c r="L731" s="356">
        <f t="shared" si="217"/>
        <v>2794027.515877111</v>
      </c>
      <c r="N731" s="356">
        <f t="shared" si="225"/>
        <v>708</v>
      </c>
      <c r="O731" s="357">
        <f t="shared" si="211"/>
        <v>58</v>
      </c>
      <c r="P731" s="357">
        <f t="shared" si="212"/>
        <v>12</v>
      </c>
      <c r="Q731" s="357">
        <f t="shared" si="213"/>
        <v>58</v>
      </c>
      <c r="R731" s="356">
        <f t="shared" si="226"/>
        <v>168882731.65477034</v>
      </c>
      <c r="S731" s="356">
        <f>IF($G$4="mensual",S730,0)</f>
        <v>10000</v>
      </c>
      <c r="U731" s="356">
        <f t="shared" si="214"/>
        <v>1346774.3596362988</v>
      </c>
      <c r="V731" s="356">
        <f t="shared" si="215"/>
        <v>-741.1202001605285</v>
      </c>
      <c r="X731" s="356">
        <f t="shared" si="218"/>
        <v>-170239.50601440665</v>
      </c>
      <c r="Y731" s="356">
        <f t="shared" si="219"/>
        <v>170068525.3881921</v>
      </c>
      <c r="AA731" s="357">
        <f>+Bono!J731</f>
        <v>1104898.6106931306</v>
      </c>
      <c r="AC731" s="378">
        <f t="shared" si="220"/>
        <v>59</v>
      </c>
      <c r="AD731" s="356">
        <f t="shared" si="221"/>
        <v>173967451.5147623</v>
      </c>
    </row>
    <row r="732" spans="2:30" x14ac:dyDescent="0.25">
      <c r="B732" s="356">
        <f t="shared" si="222"/>
        <v>709</v>
      </c>
      <c r="C732" s="357">
        <f t="shared" si="208"/>
        <v>59</v>
      </c>
      <c r="D732" s="357">
        <f t="shared" si="209"/>
        <v>1</v>
      </c>
      <c r="E732" s="357">
        <f t="shared" si="210"/>
        <v>88</v>
      </c>
      <c r="F732" s="356">
        <f t="shared" si="223"/>
        <v>2794027.515877111</v>
      </c>
      <c r="H732" s="356">
        <f t="shared" si="216"/>
        <v>22279.967773825225</v>
      </c>
      <c r="I732" s="356">
        <v>0</v>
      </c>
      <c r="J732" s="356">
        <v>0</v>
      </c>
      <c r="K732" s="356">
        <f t="shared" si="224"/>
        <v>-2816.3074836509363</v>
      </c>
      <c r="L732" s="356">
        <f t="shared" si="217"/>
        <v>2813491.1761672855</v>
      </c>
      <c r="N732" s="356">
        <f t="shared" si="225"/>
        <v>709</v>
      </c>
      <c r="O732" s="357">
        <f t="shared" si="211"/>
        <v>59</v>
      </c>
      <c r="P732" s="357">
        <f t="shared" si="212"/>
        <v>1</v>
      </c>
      <c r="Q732" s="357">
        <f t="shared" si="213"/>
        <v>59</v>
      </c>
      <c r="R732" s="356">
        <f t="shared" si="226"/>
        <v>170068525.3881921</v>
      </c>
      <c r="S732" s="356">
        <f>IF($G$17="si",S720*(1+$G$20),S720)</f>
        <v>10000</v>
      </c>
      <c r="U732" s="356">
        <f t="shared" si="214"/>
        <v>1356230.045386318</v>
      </c>
      <c r="V732" s="356">
        <f>V731*(1+$G$18)</f>
        <v>-770.7650081669497</v>
      </c>
      <c r="X732" s="356">
        <f t="shared" si="218"/>
        <v>-171434.7554335784</v>
      </c>
      <c r="Y732" s="356">
        <f t="shared" si="219"/>
        <v>171262549.91313663</v>
      </c>
      <c r="AA732" s="357">
        <f>+Bono!J732</f>
        <v>1111749.1102397344</v>
      </c>
      <c r="AC732" s="378">
        <f t="shared" si="220"/>
        <v>59.083333333333336</v>
      </c>
      <c r="AD732" s="356">
        <f t="shared" si="221"/>
        <v>175187790.19954365</v>
      </c>
    </row>
    <row r="733" spans="2:30" x14ac:dyDescent="0.25">
      <c r="B733" s="356">
        <f t="shared" si="222"/>
        <v>710</v>
      </c>
      <c r="C733" s="357">
        <f t="shared" si="208"/>
        <v>59</v>
      </c>
      <c r="D733" s="357">
        <f t="shared" si="209"/>
        <v>2</v>
      </c>
      <c r="E733" s="357">
        <f t="shared" si="210"/>
        <v>88</v>
      </c>
      <c r="F733" s="356">
        <f t="shared" si="223"/>
        <v>2813491.1761672855</v>
      </c>
      <c r="H733" s="356">
        <f t="shared" si="216"/>
        <v>22435.173734239554</v>
      </c>
      <c r="I733" s="356">
        <v>0</v>
      </c>
      <c r="J733" s="356">
        <v>0</v>
      </c>
      <c r="K733" s="356">
        <f t="shared" si="224"/>
        <v>-2835.9263499015256</v>
      </c>
      <c r="L733" s="356">
        <f t="shared" si="217"/>
        <v>2833090.4235516237</v>
      </c>
      <c r="N733" s="356">
        <f t="shared" si="225"/>
        <v>710</v>
      </c>
      <c r="O733" s="357">
        <f t="shared" si="211"/>
        <v>59</v>
      </c>
      <c r="P733" s="357">
        <f t="shared" si="212"/>
        <v>2</v>
      </c>
      <c r="Q733" s="357">
        <f t="shared" si="213"/>
        <v>59</v>
      </c>
      <c r="R733" s="356">
        <f t="shared" si="226"/>
        <v>171262549.91313663</v>
      </c>
      <c r="S733" s="356">
        <f>IF($G$4="mensual",S732,0)</f>
        <v>10000</v>
      </c>
      <c r="U733" s="356">
        <f t="shared" si="214"/>
        <v>1365751.3646237808</v>
      </c>
      <c r="V733" s="356">
        <f>V732</f>
        <v>-770.7650081669497</v>
      </c>
      <c r="X733" s="356">
        <f t="shared" si="218"/>
        <v>-172638.30127776042</v>
      </c>
      <c r="Y733" s="356">
        <f t="shared" si="219"/>
        <v>172464892.21147448</v>
      </c>
      <c r="AA733" s="357">
        <f>+Bono!J733</f>
        <v>1118642.0836781359</v>
      </c>
      <c r="AC733" s="378">
        <f t="shared" si="220"/>
        <v>59.166666666666664</v>
      </c>
      <c r="AD733" s="356">
        <f t="shared" si="221"/>
        <v>176416624.71870422</v>
      </c>
    </row>
    <row r="734" spans="2:30" x14ac:dyDescent="0.25">
      <c r="B734" s="356">
        <f t="shared" si="222"/>
        <v>711</v>
      </c>
      <c r="C734" s="357">
        <f t="shared" si="208"/>
        <v>59</v>
      </c>
      <c r="D734" s="357">
        <f t="shared" si="209"/>
        <v>3</v>
      </c>
      <c r="E734" s="357">
        <f t="shared" si="210"/>
        <v>88</v>
      </c>
      <c r="F734" s="356">
        <f t="shared" si="223"/>
        <v>2833090.4235516237</v>
      </c>
      <c r="H734" s="356">
        <f t="shared" si="216"/>
        <v>22591.460885183093</v>
      </c>
      <c r="I734" s="356">
        <v>0</v>
      </c>
      <c r="J734" s="360">
        <f>-SUM(F734:H734)*$J$21</f>
        <v>-25701.136959931264</v>
      </c>
      <c r="K734" s="356">
        <f t="shared" si="224"/>
        <v>-2829.9807474768754</v>
      </c>
      <c r="L734" s="356">
        <f t="shared" si="217"/>
        <v>2827150.7667293986</v>
      </c>
      <c r="N734" s="356">
        <f t="shared" si="225"/>
        <v>711</v>
      </c>
      <c r="O734" s="357">
        <f t="shared" si="211"/>
        <v>59</v>
      </c>
      <c r="P734" s="357">
        <f t="shared" si="212"/>
        <v>3</v>
      </c>
      <c r="Q734" s="357">
        <f t="shared" si="213"/>
        <v>59</v>
      </c>
      <c r="R734" s="356">
        <f t="shared" si="226"/>
        <v>172464892.21147448</v>
      </c>
      <c r="S734" s="356">
        <f>IF($G$4="mensual",S733,0)</f>
        <v>10000</v>
      </c>
      <c r="U734" s="356">
        <f t="shared" si="214"/>
        <v>1375339.0109543377</v>
      </c>
      <c r="V734" s="356">
        <f t="shared" si="215"/>
        <v>-770.7650081669497</v>
      </c>
      <c r="X734" s="356">
        <f t="shared" si="218"/>
        <v>-173850.23122242882</v>
      </c>
      <c r="Y734" s="356">
        <f t="shared" si="219"/>
        <v>173675610.22619823</v>
      </c>
      <c r="AA734" s="357">
        <f>+Bono!J734</f>
        <v>1115437.4538617386</v>
      </c>
      <c r="AC734" s="378">
        <f t="shared" si="220"/>
        <v>59.25</v>
      </c>
      <c r="AD734" s="356">
        <f t="shared" si="221"/>
        <v>177618198.44678935</v>
      </c>
    </row>
    <row r="735" spans="2:30" x14ac:dyDescent="0.25">
      <c r="B735" s="356">
        <f t="shared" si="222"/>
        <v>712</v>
      </c>
      <c r="C735" s="357">
        <f t="shared" si="208"/>
        <v>59</v>
      </c>
      <c r="D735" s="357">
        <f t="shared" si="209"/>
        <v>4</v>
      </c>
      <c r="E735" s="357">
        <f t="shared" si="210"/>
        <v>88</v>
      </c>
      <c r="F735" s="356">
        <f t="shared" si="223"/>
        <v>2827150.7667293986</v>
      </c>
      <c r="H735" s="356">
        <f t="shared" si="216"/>
        <v>22544.097227583174</v>
      </c>
      <c r="I735" s="356">
        <v>0</v>
      </c>
      <c r="J735" s="356">
        <v>0</v>
      </c>
      <c r="K735" s="356">
        <f t="shared" si="224"/>
        <v>-2849.694863956982</v>
      </c>
      <c r="L735" s="356">
        <f t="shared" si="217"/>
        <v>2846845.169093025</v>
      </c>
      <c r="N735" s="356">
        <f t="shared" si="225"/>
        <v>712</v>
      </c>
      <c r="O735" s="357">
        <f t="shared" si="211"/>
        <v>59</v>
      </c>
      <c r="P735" s="357">
        <f t="shared" si="212"/>
        <v>4</v>
      </c>
      <c r="Q735" s="357">
        <f t="shared" si="213"/>
        <v>59</v>
      </c>
      <c r="R735" s="356">
        <f t="shared" si="226"/>
        <v>173675610.22619823</v>
      </c>
      <c r="S735" s="356">
        <f>IF($G$4="mensual",S732,IF($G$4="trimestral",S732,0))</f>
        <v>10000</v>
      </c>
      <c r="U735" s="356">
        <f t="shared" si="214"/>
        <v>1384993.4464235483</v>
      </c>
      <c r="V735" s="356">
        <f t="shared" si="215"/>
        <v>-770.7650081669497</v>
      </c>
      <c r="X735" s="356">
        <f t="shared" si="218"/>
        <v>-175070.6036726218</v>
      </c>
      <c r="Y735" s="356">
        <f t="shared" si="219"/>
        <v>174894762.30394098</v>
      </c>
      <c r="AA735" s="357">
        <f>+Bono!J735</f>
        <v>1122353.2954584179</v>
      </c>
      <c r="AC735" s="378">
        <f t="shared" si="220"/>
        <v>59.333333333333336</v>
      </c>
      <c r="AD735" s="356">
        <f t="shared" si="221"/>
        <v>178863960.7684924</v>
      </c>
    </row>
    <row r="736" spans="2:30" x14ac:dyDescent="0.25">
      <c r="B736" s="356">
        <f t="shared" si="222"/>
        <v>713</v>
      </c>
      <c r="C736" s="357">
        <f t="shared" si="208"/>
        <v>59</v>
      </c>
      <c r="D736" s="357">
        <f t="shared" si="209"/>
        <v>5</v>
      </c>
      <c r="E736" s="357">
        <f t="shared" si="210"/>
        <v>88</v>
      </c>
      <c r="F736" s="356">
        <f t="shared" si="223"/>
        <v>2846845.169093025</v>
      </c>
      <c r="H736" s="356">
        <f t="shared" si="216"/>
        <v>22701.143157694063</v>
      </c>
      <c r="I736" s="356">
        <v>0</v>
      </c>
      <c r="J736" s="356">
        <v>0</v>
      </c>
      <c r="K736" s="356">
        <f t="shared" si="224"/>
        <v>-2869.546312250719</v>
      </c>
      <c r="L736" s="356">
        <f t="shared" si="217"/>
        <v>2866676.7659384683</v>
      </c>
      <c r="N736" s="356">
        <f t="shared" si="225"/>
        <v>713</v>
      </c>
      <c r="O736" s="357">
        <f t="shared" si="211"/>
        <v>59</v>
      </c>
      <c r="P736" s="357">
        <f t="shared" si="212"/>
        <v>5</v>
      </c>
      <c r="Q736" s="357">
        <f t="shared" si="213"/>
        <v>59</v>
      </c>
      <c r="R736" s="356">
        <f t="shared" si="226"/>
        <v>174894762.30394098</v>
      </c>
      <c r="S736" s="356">
        <f>IF($G$4="mensual",S735,0)</f>
        <v>10000</v>
      </c>
      <c r="U736" s="356">
        <f t="shared" si="214"/>
        <v>1394715.1362956588</v>
      </c>
      <c r="V736" s="356">
        <f t="shared" si="215"/>
        <v>-770.7650081669497</v>
      </c>
      <c r="X736" s="356">
        <f t="shared" si="218"/>
        <v>-176299.47744023663</v>
      </c>
      <c r="Y736" s="356">
        <f t="shared" si="219"/>
        <v>176122407.1977882</v>
      </c>
      <c r="AA736" s="357">
        <f>+Bono!J736</f>
        <v>1129312.0160751846</v>
      </c>
      <c r="AC736" s="378">
        <f t="shared" si="220"/>
        <v>59.416666666666664</v>
      </c>
      <c r="AD736" s="356">
        <f t="shared" si="221"/>
        <v>180118395.97980186</v>
      </c>
    </row>
    <row r="737" spans="2:30" x14ac:dyDescent="0.25">
      <c r="B737" s="356">
        <f t="shared" si="222"/>
        <v>714</v>
      </c>
      <c r="C737" s="357">
        <f t="shared" si="208"/>
        <v>59</v>
      </c>
      <c r="D737" s="357">
        <f t="shared" si="209"/>
        <v>6</v>
      </c>
      <c r="E737" s="357">
        <f t="shared" si="210"/>
        <v>88</v>
      </c>
      <c r="F737" s="356">
        <f t="shared" si="223"/>
        <v>2866676.7659384683</v>
      </c>
      <c r="H737" s="356">
        <f t="shared" si="216"/>
        <v>22859.283095869032</v>
      </c>
      <c r="I737" s="356">
        <v>0</v>
      </c>
      <c r="J737" s="360">
        <f>-SUM(F737:H737)*$J$21</f>
        <v>-26005.82444130904</v>
      </c>
      <c r="K737" s="356">
        <f t="shared" si="224"/>
        <v>-2863.5302245930284</v>
      </c>
      <c r="L737" s="356">
        <f t="shared" si="217"/>
        <v>2860666.6943684355</v>
      </c>
      <c r="N737" s="356">
        <f t="shared" si="225"/>
        <v>714</v>
      </c>
      <c r="O737" s="357">
        <f t="shared" si="211"/>
        <v>59</v>
      </c>
      <c r="P737" s="357">
        <f t="shared" si="212"/>
        <v>6</v>
      </c>
      <c r="Q737" s="357">
        <f t="shared" si="213"/>
        <v>59</v>
      </c>
      <c r="R737" s="356">
        <f t="shared" si="226"/>
        <v>176122407.1977882</v>
      </c>
      <c r="S737" s="356">
        <f>IF($G$4="mensual",S736,0)</f>
        <v>10000</v>
      </c>
      <c r="U737" s="356">
        <f t="shared" si="214"/>
        <v>1404504.5490760233</v>
      </c>
      <c r="V737" s="356">
        <f t="shared" si="215"/>
        <v>-770.7650081669497</v>
      </c>
      <c r="X737" s="356">
        <f t="shared" si="218"/>
        <v>-177536.91174686424</v>
      </c>
      <c r="Y737" s="356">
        <f t="shared" si="219"/>
        <v>177358604.0701092</v>
      </c>
      <c r="AA737" s="357">
        <f>+Bono!J737</f>
        <v>1126076.8195708382</v>
      </c>
      <c r="AC737" s="378">
        <f t="shared" si="220"/>
        <v>59.5</v>
      </c>
      <c r="AD737" s="356">
        <f t="shared" si="221"/>
        <v>181345347.58404845</v>
      </c>
    </row>
    <row r="738" spans="2:30" x14ac:dyDescent="0.25">
      <c r="B738" s="356">
        <f t="shared" si="222"/>
        <v>715</v>
      </c>
      <c r="C738" s="357">
        <f t="shared" si="208"/>
        <v>59</v>
      </c>
      <c r="D738" s="357">
        <f t="shared" si="209"/>
        <v>7</v>
      </c>
      <c r="E738" s="357">
        <f t="shared" si="210"/>
        <v>88</v>
      </c>
      <c r="F738" s="356">
        <f t="shared" si="223"/>
        <v>2860666.6943684355</v>
      </c>
      <c r="H738" s="356">
        <f t="shared" si="216"/>
        <v>22811.357941181832</v>
      </c>
      <c r="I738" s="356">
        <v>0</v>
      </c>
      <c r="J738" s="356">
        <v>0</v>
      </c>
      <c r="K738" s="356">
        <f t="shared" si="224"/>
        <v>-2883.4780523096174</v>
      </c>
      <c r="L738" s="356">
        <f t="shared" si="217"/>
        <v>2880594.5742573077</v>
      </c>
      <c r="N738" s="356">
        <f t="shared" si="225"/>
        <v>715</v>
      </c>
      <c r="O738" s="357">
        <f t="shared" si="211"/>
        <v>59</v>
      </c>
      <c r="P738" s="357">
        <f t="shared" si="212"/>
        <v>7</v>
      </c>
      <c r="Q738" s="357">
        <f t="shared" si="213"/>
        <v>59</v>
      </c>
      <c r="R738" s="356">
        <f t="shared" si="226"/>
        <v>177358604.0701092</v>
      </c>
      <c r="S738" s="356">
        <f>+IF($G$4="mensual",S732,IF($G$4="trimestral",S732,IF($G$4="semestral",S732,0)))</f>
        <v>10000</v>
      </c>
      <c r="U738" s="356">
        <f t="shared" si="214"/>
        <v>1414362.1565336825</v>
      </c>
      <c r="V738" s="356">
        <f t="shared" si="215"/>
        <v>-770.7650081669497</v>
      </c>
      <c r="X738" s="356">
        <f t="shared" si="218"/>
        <v>-178782.9662266429</v>
      </c>
      <c r="Y738" s="356">
        <f t="shared" si="219"/>
        <v>178603412.49540806</v>
      </c>
      <c r="AA738" s="357">
        <f>+Bono!J738</f>
        <v>1133058.626469004</v>
      </c>
      <c r="AC738" s="378">
        <f t="shared" si="220"/>
        <v>59.583333333333336</v>
      </c>
      <c r="AD738" s="356">
        <f t="shared" si="221"/>
        <v>182617065.6961344</v>
      </c>
    </row>
    <row r="739" spans="2:30" x14ac:dyDescent="0.25">
      <c r="B739" s="356">
        <f t="shared" si="222"/>
        <v>716</v>
      </c>
      <c r="C739" s="357">
        <f t="shared" si="208"/>
        <v>59</v>
      </c>
      <c r="D739" s="357">
        <f t="shared" si="209"/>
        <v>8</v>
      </c>
      <c r="E739" s="357">
        <f t="shared" si="210"/>
        <v>88</v>
      </c>
      <c r="F739" s="356">
        <f t="shared" si="223"/>
        <v>2880594.5742573077</v>
      </c>
      <c r="H739" s="356">
        <f t="shared" si="216"/>
        <v>22970.265653866023</v>
      </c>
      <c r="I739" s="356">
        <v>0</v>
      </c>
      <c r="J739" s="356">
        <v>0</v>
      </c>
      <c r="K739" s="356">
        <f t="shared" si="224"/>
        <v>-2903.5648399111737</v>
      </c>
      <c r="L739" s="356">
        <f t="shared" si="217"/>
        <v>2900661.2750712624</v>
      </c>
      <c r="N739" s="356">
        <f t="shared" si="225"/>
        <v>716</v>
      </c>
      <c r="O739" s="357">
        <f t="shared" si="211"/>
        <v>59</v>
      </c>
      <c r="P739" s="357">
        <f t="shared" si="212"/>
        <v>8</v>
      </c>
      <c r="Q739" s="357">
        <f t="shared" si="213"/>
        <v>59</v>
      </c>
      <c r="R739" s="356">
        <f t="shared" si="226"/>
        <v>178603412.49540806</v>
      </c>
      <c r="S739" s="356">
        <f>IF($G$4="mensual",S738,0)</f>
        <v>10000</v>
      </c>
      <c r="U739" s="356">
        <f t="shared" si="214"/>
        <v>1424288.4337240981</v>
      </c>
      <c r="V739" s="356">
        <f t="shared" si="215"/>
        <v>-770.7650081669497</v>
      </c>
      <c r="X739" s="356">
        <f t="shared" si="218"/>
        <v>-180037.70092913217</v>
      </c>
      <c r="Y739" s="356">
        <f t="shared" si="219"/>
        <v>179856892.46319485</v>
      </c>
      <c r="AA739" s="357">
        <f>+Bono!J739</f>
        <v>1140083.7213797776</v>
      </c>
      <c r="AC739" s="378">
        <f t="shared" si="220"/>
        <v>59.666666666666664</v>
      </c>
      <c r="AD739" s="356">
        <f t="shared" si="221"/>
        <v>183897637.4596459</v>
      </c>
    </row>
    <row r="740" spans="2:30" x14ac:dyDescent="0.25">
      <c r="B740" s="356">
        <f t="shared" si="222"/>
        <v>717</v>
      </c>
      <c r="C740" s="357">
        <f t="shared" ref="C740:C755" si="227">C728+1</f>
        <v>59</v>
      </c>
      <c r="D740" s="357">
        <f t="shared" ref="D740:D755" si="228">D728</f>
        <v>9</v>
      </c>
      <c r="E740" s="357">
        <f t="shared" ref="E740:E755" si="229">E728+1</f>
        <v>88</v>
      </c>
      <c r="F740" s="356">
        <f t="shared" si="223"/>
        <v>2900661.2750712624</v>
      </c>
      <c r="H740" s="356">
        <f t="shared" si="216"/>
        <v>23130.280344101295</v>
      </c>
      <c r="I740" s="356">
        <v>0</v>
      </c>
      <c r="J740" s="360">
        <f>-SUM(F740:H740)*$J$21</f>
        <v>-26314.123998738276</v>
      </c>
      <c r="K740" s="356">
        <f t="shared" si="224"/>
        <v>-2897.477431416625</v>
      </c>
      <c r="L740" s="356">
        <f t="shared" si="217"/>
        <v>2894579.9539852086</v>
      </c>
      <c r="N740" s="356">
        <f t="shared" si="225"/>
        <v>717</v>
      </c>
      <c r="O740" s="357">
        <f t="shared" ref="O740:O755" si="230">O728+1</f>
        <v>59</v>
      </c>
      <c r="P740" s="357">
        <f t="shared" ref="P740:P755" si="231">P728</f>
        <v>9</v>
      </c>
      <c r="Q740" s="357">
        <f t="shared" ref="Q740:Q755" si="232">Q728+1</f>
        <v>59</v>
      </c>
      <c r="R740" s="356">
        <f t="shared" si="226"/>
        <v>179856892.46319485</v>
      </c>
      <c r="S740" s="356">
        <f>IF($G$4="mensual",S739,0)</f>
        <v>10000</v>
      </c>
      <c r="U740" s="356">
        <f t="shared" ref="U740:U755" si="233">SUM(R740:T740)*$G$8</f>
        <v>1434283.8590120478</v>
      </c>
      <c r="V740" s="356">
        <f t="shared" si="215"/>
        <v>-770.7650081669497</v>
      </c>
      <c r="X740" s="356">
        <f t="shared" si="218"/>
        <v>-181301.17632220688</v>
      </c>
      <c r="Y740" s="356">
        <f t="shared" si="219"/>
        <v>181119104.38087648</v>
      </c>
      <c r="AA740" s="357">
        <f>+Bono!J740</f>
        <v>1136817.6666335538</v>
      </c>
      <c r="AC740" s="378">
        <f t="shared" si="220"/>
        <v>59.75</v>
      </c>
      <c r="AD740" s="356">
        <f t="shared" si="221"/>
        <v>185150502.00149524</v>
      </c>
    </row>
    <row r="741" spans="2:30" x14ac:dyDescent="0.25">
      <c r="B741" s="356">
        <f t="shared" si="222"/>
        <v>718</v>
      </c>
      <c r="C741" s="357">
        <f t="shared" si="227"/>
        <v>59</v>
      </c>
      <c r="D741" s="357">
        <f t="shared" si="228"/>
        <v>10</v>
      </c>
      <c r="E741" s="357">
        <f t="shared" si="229"/>
        <v>88</v>
      </c>
      <c r="F741" s="356">
        <f t="shared" si="223"/>
        <v>2894579.9539852086</v>
      </c>
      <c r="H741" s="356">
        <f t="shared" si="216"/>
        <v>23081.78703576785</v>
      </c>
      <c r="I741" s="356">
        <v>0</v>
      </c>
      <c r="J741" s="356">
        <v>0</v>
      </c>
      <c r="K741" s="356">
        <f t="shared" si="224"/>
        <v>-2917.6617410209765</v>
      </c>
      <c r="L741" s="356">
        <f t="shared" si="217"/>
        <v>2914744.0792799555</v>
      </c>
      <c r="N741" s="356">
        <f t="shared" si="225"/>
        <v>718</v>
      </c>
      <c r="O741" s="357">
        <f t="shared" si="230"/>
        <v>59</v>
      </c>
      <c r="P741" s="357">
        <f t="shared" si="231"/>
        <v>10</v>
      </c>
      <c r="Q741" s="357">
        <f t="shared" si="232"/>
        <v>59</v>
      </c>
      <c r="R741" s="356">
        <f t="shared" si="226"/>
        <v>181119104.38087648</v>
      </c>
      <c r="S741" s="356">
        <f>IF($G$4="mensual",S732,IF($G$4="trimestral",S732,0))</f>
        <v>10000</v>
      </c>
      <c r="U741" s="356">
        <f t="shared" si="233"/>
        <v>1444348.914094677</v>
      </c>
      <c r="V741" s="356">
        <f t="shared" si="215"/>
        <v>-770.7650081669497</v>
      </c>
      <c r="X741" s="356">
        <f t="shared" si="218"/>
        <v>-182573.45329497117</v>
      </c>
      <c r="Y741" s="356">
        <f t="shared" si="219"/>
        <v>182390109.07666802</v>
      </c>
      <c r="AA741" s="357">
        <f>+Bono!J741</f>
        <v>1143866.0680293695</v>
      </c>
      <c r="AC741" s="378">
        <f t="shared" si="220"/>
        <v>59.833333333333336</v>
      </c>
      <c r="AD741" s="356">
        <f t="shared" si="221"/>
        <v>186448719.22397736</v>
      </c>
    </row>
    <row r="742" spans="2:30" x14ac:dyDescent="0.25">
      <c r="B742" s="356">
        <f t="shared" si="222"/>
        <v>719</v>
      </c>
      <c r="C742" s="357">
        <f t="shared" si="227"/>
        <v>59</v>
      </c>
      <c r="D742" s="357">
        <f t="shared" si="228"/>
        <v>11</v>
      </c>
      <c r="E742" s="357">
        <f t="shared" si="229"/>
        <v>88</v>
      </c>
      <c r="F742" s="356">
        <f t="shared" si="223"/>
        <v>2914744.0792799555</v>
      </c>
      <c r="H742" s="356">
        <f t="shared" si="216"/>
        <v>23242.57860249417</v>
      </c>
      <c r="I742" s="356">
        <v>0</v>
      </c>
      <c r="J742" s="356">
        <v>0</v>
      </c>
      <c r="K742" s="356">
        <f t="shared" si="224"/>
        <v>-2937.98665788245</v>
      </c>
      <c r="L742" s="356">
        <f t="shared" si="217"/>
        <v>2935048.671224567</v>
      </c>
      <c r="N742" s="356">
        <f t="shared" si="225"/>
        <v>719</v>
      </c>
      <c r="O742" s="357">
        <f t="shared" si="230"/>
        <v>59</v>
      </c>
      <c r="P742" s="357">
        <f t="shared" si="231"/>
        <v>11</v>
      </c>
      <c r="Q742" s="357">
        <f t="shared" si="232"/>
        <v>59</v>
      </c>
      <c r="R742" s="356">
        <f t="shared" si="226"/>
        <v>182390109.07666802</v>
      </c>
      <c r="S742" s="356">
        <f>IF($G$17="si",S730*(1+$G$20),S730)</f>
        <v>10000</v>
      </c>
      <c r="U742" s="356">
        <f t="shared" si="233"/>
        <v>1454484.084024715</v>
      </c>
      <c r="V742" s="356">
        <f t="shared" si="215"/>
        <v>-770.7650081669497</v>
      </c>
      <c r="X742" s="356">
        <f t="shared" si="218"/>
        <v>-183854.59316069275</v>
      </c>
      <c r="Y742" s="356">
        <f t="shared" si="219"/>
        <v>183669967.80252388</v>
      </c>
      <c r="AA742" s="357">
        <f>+Bono!J742</f>
        <v>1150958.1703314031</v>
      </c>
      <c r="AC742" s="378">
        <f t="shared" si="220"/>
        <v>59.916666666666664</v>
      </c>
      <c r="AD742" s="356">
        <f t="shared" si="221"/>
        <v>187755974.64407983</v>
      </c>
    </row>
    <row r="743" spans="2:30" x14ac:dyDescent="0.25">
      <c r="B743" s="356">
        <f t="shared" si="222"/>
        <v>720</v>
      </c>
      <c r="C743" s="357">
        <f t="shared" si="227"/>
        <v>59</v>
      </c>
      <c r="D743" s="357">
        <f t="shared" si="228"/>
        <v>12</v>
      </c>
      <c r="E743" s="357">
        <f t="shared" si="229"/>
        <v>88</v>
      </c>
      <c r="F743" s="356">
        <f t="shared" si="223"/>
        <v>2935048.671224567</v>
      </c>
      <c r="H743" s="356">
        <f t="shared" si="216"/>
        <v>23404.490270012095</v>
      </c>
      <c r="I743" s="356">
        <v>0</v>
      </c>
      <c r="J743" s="360">
        <f>-SUM(F743:H743)*$J$21</f>
        <v>-26626.078453451217</v>
      </c>
      <c r="K743" s="356">
        <f t="shared" si="224"/>
        <v>-2931.827083041128</v>
      </c>
      <c r="L743" s="356">
        <f t="shared" si="217"/>
        <v>2928895.255958087</v>
      </c>
      <c r="N743" s="356">
        <f t="shared" si="225"/>
        <v>720</v>
      </c>
      <c r="O743" s="357">
        <f t="shared" si="230"/>
        <v>59</v>
      </c>
      <c r="P743" s="357">
        <f t="shared" si="231"/>
        <v>12</v>
      </c>
      <c r="Q743" s="357">
        <f t="shared" si="232"/>
        <v>59</v>
      </c>
      <c r="R743" s="356">
        <f t="shared" si="226"/>
        <v>183669967.80252388</v>
      </c>
      <c r="S743" s="356">
        <f>IF($G$4="mensual",S742,0)</f>
        <v>10000</v>
      </c>
      <c r="U743" s="356">
        <f t="shared" si="233"/>
        <v>1464689.8572338475</v>
      </c>
      <c r="V743" s="356">
        <f t="shared" si="215"/>
        <v>-770.7650081669497</v>
      </c>
      <c r="X743" s="356">
        <f t="shared" si="218"/>
        <v>-185144.65765975774</v>
      </c>
      <c r="Y743" s="356">
        <f t="shared" si="219"/>
        <v>184958742.23708978</v>
      </c>
      <c r="AA743" s="357">
        <f>+Bono!J743</f>
        <v>1147660.9630084476</v>
      </c>
      <c r="AC743" s="378">
        <f t="shared" si="220"/>
        <v>60</v>
      </c>
      <c r="AD743" s="356">
        <f t="shared" si="221"/>
        <v>189035298.4560563</v>
      </c>
    </row>
    <row r="744" spans="2:30" x14ac:dyDescent="0.25">
      <c r="B744" s="356">
        <f t="shared" si="222"/>
        <v>721</v>
      </c>
      <c r="C744" s="357">
        <f t="shared" si="227"/>
        <v>60</v>
      </c>
      <c r="D744" s="357">
        <f t="shared" si="228"/>
        <v>1</v>
      </c>
      <c r="E744" s="357">
        <f t="shared" si="229"/>
        <v>89</v>
      </c>
      <c r="F744" s="356">
        <f t="shared" si="223"/>
        <v>2928895.255958087</v>
      </c>
      <c r="H744" s="356">
        <f t="shared" si="216"/>
        <v>23355.42207255982</v>
      </c>
      <c r="I744" s="356">
        <v>0</v>
      </c>
      <c r="J744" s="356">
        <v>0</v>
      </c>
      <c r="K744" s="356">
        <f t="shared" si="224"/>
        <v>-2952.2506780306467</v>
      </c>
      <c r="L744" s="356">
        <f t="shared" si="217"/>
        <v>2949298.4273526156</v>
      </c>
      <c r="N744" s="356">
        <f t="shared" si="225"/>
        <v>721</v>
      </c>
      <c r="O744" s="357">
        <f t="shared" si="230"/>
        <v>60</v>
      </c>
      <c r="P744" s="357">
        <f t="shared" si="231"/>
        <v>1</v>
      </c>
      <c r="Q744" s="357">
        <f t="shared" si="232"/>
        <v>60</v>
      </c>
      <c r="R744" s="356">
        <f t="shared" si="226"/>
        <v>184958742.23708978</v>
      </c>
      <c r="S744" s="356">
        <f>IF($G$17="si",S732*(1+$G$20),S732)</f>
        <v>10000</v>
      </c>
      <c r="U744" s="356">
        <f t="shared" si="233"/>
        <v>1474966.725556257</v>
      </c>
      <c r="V744" s="356">
        <f>V743*(1+$G$18)</f>
        <v>-801.5956084936277</v>
      </c>
      <c r="X744" s="356">
        <f t="shared" si="218"/>
        <v>-186443.70896264605</v>
      </c>
      <c r="Y744" s="356">
        <f t="shared" si="219"/>
        <v>186256463.6580749</v>
      </c>
      <c r="AA744" s="357">
        <f>+Bono!J744</f>
        <v>1154776.594099532</v>
      </c>
      <c r="AC744" s="378">
        <f t="shared" si="220"/>
        <v>60.083333333333336</v>
      </c>
      <c r="AD744" s="356">
        <f t="shared" si="221"/>
        <v>190360538.679527</v>
      </c>
    </row>
    <row r="745" spans="2:30" x14ac:dyDescent="0.25">
      <c r="B745" s="356">
        <f t="shared" si="222"/>
        <v>722</v>
      </c>
      <c r="C745" s="357">
        <f t="shared" si="227"/>
        <v>60</v>
      </c>
      <c r="D745" s="357">
        <f t="shared" si="228"/>
        <v>2</v>
      </c>
      <c r="E745" s="357">
        <f t="shared" si="229"/>
        <v>89</v>
      </c>
      <c r="F745" s="356">
        <f t="shared" si="223"/>
        <v>2949298.4273526156</v>
      </c>
      <c r="H745" s="356">
        <f t="shared" si="216"/>
        <v>23518.119826454786</v>
      </c>
      <c r="I745" s="356">
        <v>0</v>
      </c>
      <c r="J745" s="356">
        <v>0</v>
      </c>
      <c r="K745" s="356">
        <f t="shared" si="224"/>
        <v>-2972.8165471790703</v>
      </c>
      <c r="L745" s="356">
        <f t="shared" si="217"/>
        <v>2969843.730631891</v>
      </c>
      <c r="N745" s="356">
        <f t="shared" si="225"/>
        <v>722</v>
      </c>
      <c r="O745" s="357">
        <f t="shared" si="230"/>
        <v>60</v>
      </c>
      <c r="P745" s="357">
        <f t="shared" si="231"/>
        <v>2</v>
      </c>
      <c r="Q745" s="357">
        <f t="shared" si="232"/>
        <v>60</v>
      </c>
      <c r="R745" s="356">
        <f t="shared" si="226"/>
        <v>186256463.6580749</v>
      </c>
      <c r="S745" s="356">
        <f>IF($G$4="mensual",S744,0)</f>
        <v>10000</v>
      </c>
      <c r="U745" s="356">
        <f t="shared" si="233"/>
        <v>1485314.9384047887</v>
      </c>
      <c r="V745" s="356">
        <f>V744</f>
        <v>-801.5956084936277</v>
      </c>
      <c r="X745" s="356">
        <f t="shared" si="218"/>
        <v>-187751.77859647968</v>
      </c>
      <c r="Y745" s="356">
        <f t="shared" si="219"/>
        <v>187563225.2222747</v>
      </c>
      <c r="AA745" s="357">
        <f>+Bono!J745</f>
        <v>1161936.3429287435</v>
      </c>
      <c r="AC745" s="378">
        <f t="shared" si="220"/>
        <v>60.166666666666664</v>
      </c>
      <c r="AD745" s="356">
        <f t="shared" si="221"/>
        <v>191695005.29583532</v>
      </c>
    </row>
    <row r="746" spans="2:30" x14ac:dyDescent="0.25">
      <c r="B746" s="356">
        <f t="shared" si="222"/>
        <v>723</v>
      </c>
      <c r="C746" s="357">
        <f t="shared" si="227"/>
        <v>60</v>
      </c>
      <c r="D746" s="357">
        <f t="shared" si="228"/>
        <v>3</v>
      </c>
      <c r="E746" s="357">
        <f t="shared" si="229"/>
        <v>89</v>
      </c>
      <c r="F746" s="356">
        <f t="shared" si="223"/>
        <v>2969843.730631891</v>
      </c>
      <c r="H746" s="356">
        <f t="shared" si="216"/>
        <v>23681.950959958143</v>
      </c>
      <c r="I746" s="356">
        <v>0</v>
      </c>
      <c r="J746" s="360">
        <f>-SUM(F746:H746)*$J$21</f>
        <v>-26941.73113432665</v>
      </c>
      <c r="K746" s="356">
        <f t="shared" si="224"/>
        <v>-2966.583950457523</v>
      </c>
      <c r="L746" s="356">
        <f t="shared" si="217"/>
        <v>2963617.366507065</v>
      </c>
      <c r="N746" s="356">
        <f t="shared" si="225"/>
        <v>723</v>
      </c>
      <c r="O746" s="357">
        <f t="shared" si="230"/>
        <v>60</v>
      </c>
      <c r="P746" s="357">
        <f t="shared" si="231"/>
        <v>3</v>
      </c>
      <c r="Q746" s="357">
        <f t="shared" si="232"/>
        <v>60</v>
      </c>
      <c r="R746" s="356">
        <f t="shared" si="226"/>
        <v>187563225.2222747</v>
      </c>
      <c r="S746" s="356">
        <f>IF($G$4="mensual",S745,0)</f>
        <v>10000</v>
      </c>
      <c r="U746" s="356">
        <f t="shared" si="233"/>
        <v>1495735.2386248119</v>
      </c>
      <c r="V746" s="356">
        <f t="shared" si="215"/>
        <v>-801.5956084936277</v>
      </c>
      <c r="X746" s="356">
        <f t="shared" si="218"/>
        <v>-189068.9604608995</v>
      </c>
      <c r="Y746" s="356">
        <f t="shared" si="219"/>
        <v>188879089.9048301</v>
      </c>
      <c r="AA746" s="357">
        <f>+Bono!J746</f>
        <v>1158607.6858867505</v>
      </c>
      <c r="AC746" s="378">
        <f t="shared" si="220"/>
        <v>60.25</v>
      </c>
      <c r="AD746" s="356">
        <f t="shared" si="221"/>
        <v>193001314.9572239</v>
      </c>
    </row>
    <row r="747" spans="2:30" x14ac:dyDescent="0.25">
      <c r="B747" s="356">
        <f t="shared" si="222"/>
        <v>724</v>
      </c>
      <c r="C747" s="357">
        <f t="shared" si="227"/>
        <v>60</v>
      </c>
      <c r="D747" s="357">
        <f t="shared" si="228"/>
        <v>4</v>
      </c>
      <c r="E747" s="357">
        <f t="shared" si="229"/>
        <v>89</v>
      </c>
      <c r="F747" s="356">
        <f t="shared" si="223"/>
        <v>2963617.366507065</v>
      </c>
      <c r="H747" s="356">
        <f t="shared" si="216"/>
        <v>23632.30105806529</v>
      </c>
      <c r="I747" s="356">
        <v>0</v>
      </c>
      <c r="J747" s="356">
        <v>0</v>
      </c>
      <c r="K747" s="356">
        <f t="shared" si="224"/>
        <v>-2987.24966756513</v>
      </c>
      <c r="L747" s="356">
        <f t="shared" si="217"/>
        <v>2984262.417897565</v>
      </c>
      <c r="N747" s="356">
        <f t="shared" si="225"/>
        <v>724</v>
      </c>
      <c r="O747" s="357">
        <f t="shared" si="230"/>
        <v>60</v>
      </c>
      <c r="P747" s="357">
        <f t="shared" si="231"/>
        <v>4</v>
      </c>
      <c r="Q747" s="357">
        <f t="shared" si="232"/>
        <v>60</v>
      </c>
      <c r="R747" s="356">
        <f t="shared" si="226"/>
        <v>188879089.9048301</v>
      </c>
      <c r="S747" s="356">
        <f>IF($G$4="mensual",S744,IF($G$4="trimestral",S744,0))</f>
        <v>10000</v>
      </c>
      <c r="U747" s="356">
        <f t="shared" si="233"/>
        <v>1506228.1283889436</v>
      </c>
      <c r="V747" s="356">
        <f t="shared" si="215"/>
        <v>-801.5956084936277</v>
      </c>
      <c r="X747" s="356">
        <f t="shared" si="218"/>
        <v>-190395.31803321905</v>
      </c>
      <c r="Y747" s="356">
        <f t="shared" si="219"/>
        <v>190204121.11957732</v>
      </c>
      <c r="AA747" s="357">
        <f>+Bono!J747</f>
        <v>1165791.1879294217</v>
      </c>
      <c r="AC747" s="378">
        <f t="shared" si="220"/>
        <v>60.333333333333336</v>
      </c>
      <c r="AD747" s="356">
        <f t="shared" si="221"/>
        <v>194354174.7254043</v>
      </c>
    </row>
    <row r="748" spans="2:30" x14ac:dyDescent="0.25">
      <c r="B748" s="356">
        <f t="shared" si="222"/>
        <v>725</v>
      </c>
      <c r="C748" s="357">
        <f t="shared" si="227"/>
        <v>60</v>
      </c>
      <c r="D748" s="357">
        <f t="shared" si="228"/>
        <v>5</v>
      </c>
      <c r="E748" s="357">
        <f t="shared" si="229"/>
        <v>89</v>
      </c>
      <c r="F748" s="356">
        <f t="shared" si="223"/>
        <v>2984262.417897565</v>
      </c>
      <c r="H748" s="356">
        <f t="shared" si="216"/>
        <v>23796.927597015074</v>
      </c>
      <c r="I748" s="356">
        <v>0</v>
      </c>
      <c r="J748" s="356">
        <v>0</v>
      </c>
      <c r="K748" s="356">
        <f t="shared" si="224"/>
        <v>-3008.05934549458</v>
      </c>
      <c r="L748" s="356">
        <f t="shared" si="217"/>
        <v>3005051.2861490855</v>
      </c>
      <c r="N748" s="356">
        <f t="shared" si="225"/>
        <v>725</v>
      </c>
      <c r="O748" s="357">
        <f t="shared" si="230"/>
        <v>60</v>
      </c>
      <c r="P748" s="357">
        <f t="shared" si="231"/>
        <v>5</v>
      </c>
      <c r="Q748" s="357">
        <f t="shared" si="232"/>
        <v>60</v>
      </c>
      <c r="R748" s="356">
        <f t="shared" si="226"/>
        <v>190204121.11957732</v>
      </c>
      <c r="S748" s="356">
        <f>IF($G$4="mensual",S747,0)</f>
        <v>10000</v>
      </c>
      <c r="U748" s="356">
        <f t="shared" si="233"/>
        <v>1516794.1133680188</v>
      </c>
      <c r="V748" s="356">
        <f t="shared" si="215"/>
        <v>-801.5956084936277</v>
      </c>
      <c r="X748" s="356">
        <f t="shared" si="218"/>
        <v>-191730.91523294532</v>
      </c>
      <c r="Y748" s="356">
        <f t="shared" si="219"/>
        <v>191538382.72210386</v>
      </c>
      <c r="AA748" s="357">
        <f>+Bono!J748</f>
        <v>1173019.2285179922</v>
      </c>
      <c r="AC748" s="378">
        <f t="shared" si="220"/>
        <v>60.416666666666664</v>
      </c>
      <c r="AD748" s="356">
        <f t="shared" si="221"/>
        <v>195716453.23677093</v>
      </c>
    </row>
    <row r="749" spans="2:30" x14ac:dyDescent="0.25">
      <c r="B749" s="356">
        <f t="shared" si="222"/>
        <v>726</v>
      </c>
      <c r="C749" s="357">
        <f t="shared" si="227"/>
        <v>60</v>
      </c>
      <c r="D749" s="357">
        <f t="shared" si="228"/>
        <v>6</v>
      </c>
      <c r="E749" s="357">
        <f t="shared" si="229"/>
        <v>89</v>
      </c>
      <c r="F749" s="356">
        <f t="shared" si="223"/>
        <v>3005051.2861490855</v>
      </c>
      <c r="H749" s="356">
        <f t="shared" si="216"/>
        <v>23962.70095181068</v>
      </c>
      <c r="I749" s="356">
        <v>0</v>
      </c>
      <c r="J749" s="360">
        <f>-SUM(F749:H749)*$J$21</f>
        <v>-27261.125883908066</v>
      </c>
      <c r="K749" s="356">
        <f t="shared" si="224"/>
        <v>-3001.752861216988</v>
      </c>
      <c r="L749" s="356">
        <f t="shared" si="217"/>
        <v>2998751.108355771</v>
      </c>
      <c r="N749" s="356">
        <f t="shared" si="225"/>
        <v>726</v>
      </c>
      <c r="O749" s="357">
        <f t="shared" si="230"/>
        <v>60</v>
      </c>
      <c r="P749" s="357">
        <f t="shared" si="231"/>
        <v>6</v>
      </c>
      <c r="Q749" s="357">
        <f t="shared" si="232"/>
        <v>60</v>
      </c>
      <c r="R749" s="356">
        <f t="shared" si="226"/>
        <v>191538382.72210386</v>
      </c>
      <c r="S749" s="356">
        <f>IF($G$4="mensual",S748,0)</f>
        <v>10000</v>
      </c>
      <c r="U749" s="356">
        <f t="shared" si="233"/>
        <v>1527433.7027554596</v>
      </c>
      <c r="V749" s="356">
        <f t="shared" si="215"/>
        <v>-801.5956084936277</v>
      </c>
      <c r="X749" s="356">
        <f t="shared" si="218"/>
        <v>-193075.8164248593</v>
      </c>
      <c r="Y749" s="356">
        <f t="shared" si="219"/>
        <v>192881939.01282597</v>
      </c>
      <c r="AA749" s="357">
        <f>+Bono!J749</f>
        <v>1169658.821780427</v>
      </c>
      <c r="AC749" s="378">
        <f t="shared" si="220"/>
        <v>60.5</v>
      </c>
      <c r="AD749" s="356">
        <f t="shared" si="221"/>
        <v>197050348.94296214</v>
      </c>
    </row>
    <row r="750" spans="2:30" x14ac:dyDescent="0.25">
      <c r="B750" s="356">
        <f t="shared" si="222"/>
        <v>727</v>
      </c>
      <c r="C750" s="357">
        <f t="shared" si="227"/>
        <v>60</v>
      </c>
      <c r="D750" s="357">
        <f t="shared" si="228"/>
        <v>7</v>
      </c>
      <c r="E750" s="357">
        <f t="shared" si="229"/>
        <v>89</v>
      </c>
      <c r="F750" s="356">
        <f t="shared" si="223"/>
        <v>2998751.108355771</v>
      </c>
      <c r="H750" s="356">
        <f t="shared" si="216"/>
        <v>23912.462449359726</v>
      </c>
      <c r="I750" s="356">
        <v>0</v>
      </c>
      <c r="J750" s="356">
        <v>0</v>
      </c>
      <c r="K750" s="356">
        <f t="shared" si="224"/>
        <v>-3022.663570805131</v>
      </c>
      <c r="L750" s="356">
        <f t="shared" si="217"/>
        <v>3019640.9072343255</v>
      </c>
      <c r="N750" s="356">
        <f t="shared" si="225"/>
        <v>727</v>
      </c>
      <c r="O750" s="357">
        <f t="shared" si="230"/>
        <v>60</v>
      </c>
      <c r="P750" s="357">
        <f t="shared" si="231"/>
        <v>7</v>
      </c>
      <c r="Q750" s="357">
        <f t="shared" si="232"/>
        <v>60</v>
      </c>
      <c r="R750" s="356">
        <f t="shared" si="226"/>
        <v>192881939.01282597</v>
      </c>
      <c r="S750" s="356">
        <f>+IF($G$4="mensual",S744,IF($G$4="trimestral",S744,IF($G$4="semestral",S744,0)))</f>
        <v>10000</v>
      </c>
      <c r="U750" s="356">
        <f t="shared" si="233"/>
        <v>1538147.4092918148</v>
      </c>
      <c r="V750" s="356">
        <f t="shared" si="215"/>
        <v>-801.5956084936277</v>
      </c>
      <c r="X750" s="356">
        <f t="shared" si="218"/>
        <v>-194430.08642211778</v>
      </c>
      <c r="Y750" s="356">
        <f t="shared" si="219"/>
        <v>194234854.74008715</v>
      </c>
      <c r="AA750" s="357">
        <f>+Bono!J750</f>
        <v>1176910.8421474914</v>
      </c>
      <c r="AC750" s="378">
        <f t="shared" si="220"/>
        <v>60.583333333333336</v>
      </c>
      <c r="AD750" s="356">
        <f t="shared" si="221"/>
        <v>198431406.48946896</v>
      </c>
    </row>
    <row r="751" spans="2:30" x14ac:dyDescent="0.25">
      <c r="B751" s="356">
        <f t="shared" si="222"/>
        <v>728</v>
      </c>
      <c r="C751" s="357">
        <f t="shared" si="227"/>
        <v>60</v>
      </c>
      <c r="D751" s="357">
        <f t="shared" si="228"/>
        <v>8</v>
      </c>
      <c r="E751" s="357">
        <f t="shared" si="229"/>
        <v>89</v>
      </c>
      <c r="F751" s="356">
        <f t="shared" si="223"/>
        <v>3019640.9072343255</v>
      </c>
      <c r="H751" s="356">
        <f t="shared" si="216"/>
        <v>24079.040639148876</v>
      </c>
      <c r="I751" s="356">
        <v>0</v>
      </c>
      <c r="J751" s="356">
        <v>0</v>
      </c>
      <c r="K751" s="356">
        <f t="shared" si="224"/>
        <v>-3043.7199478734747</v>
      </c>
      <c r="L751" s="356">
        <f t="shared" si="217"/>
        <v>3040676.227925601</v>
      </c>
      <c r="N751" s="356">
        <f t="shared" si="225"/>
        <v>728</v>
      </c>
      <c r="O751" s="357">
        <f t="shared" si="230"/>
        <v>60</v>
      </c>
      <c r="P751" s="357">
        <f t="shared" si="231"/>
        <v>8</v>
      </c>
      <c r="Q751" s="357">
        <f t="shared" si="232"/>
        <v>60</v>
      </c>
      <c r="R751" s="356">
        <f t="shared" si="226"/>
        <v>194234854.74008715</v>
      </c>
      <c r="S751" s="356">
        <f>IF($G$4="mensual",S750,0)</f>
        <v>10000</v>
      </c>
      <c r="U751" s="356">
        <f t="shared" si="233"/>
        <v>1548935.749289468</v>
      </c>
      <c r="V751" s="356">
        <f t="shared" si="215"/>
        <v>-801.5956084936277</v>
      </c>
      <c r="X751" s="356">
        <f t="shared" si="218"/>
        <v>-195793.7904893766</v>
      </c>
      <c r="Y751" s="356">
        <f t="shared" si="219"/>
        <v>195597195.10327873</v>
      </c>
      <c r="AA751" s="357">
        <f>+Bono!J751</f>
        <v>1184207.8258820141</v>
      </c>
      <c r="AC751" s="378">
        <f t="shared" si="220"/>
        <v>60.666666666666664</v>
      </c>
      <c r="AD751" s="356">
        <f t="shared" si="221"/>
        <v>199822079.15708634</v>
      </c>
    </row>
    <row r="752" spans="2:30" x14ac:dyDescent="0.25">
      <c r="B752" s="356">
        <f t="shared" si="222"/>
        <v>729</v>
      </c>
      <c r="C752" s="357">
        <f t="shared" si="227"/>
        <v>60</v>
      </c>
      <c r="D752" s="357">
        <f t="shared" si="228"/>
        <v>9</v>
      </c>
      <c r="E752" s="357">
        <f t="shared" si="229"/>
        <v>89</v>
      </c>
      <c r="F752" s="356">
        <f t="shared" si="223"/>
        <v>3040676.227925601</v>
      </c>
      <c r="H752" s="356">
        <f t="shared" si="216"/>
        <v>24246.779240308133</v>
      </c>
      <c r="I752" s="356">
        <v>0</v>
      </c>
      <c r="J752" s="360">
        <f>-SUM(F752:H752)*$J$21</f>
        <v>-27584.307064493187</v>
      </c>
      <c r="K752" s="356">
        <f t="shared" si="224"/>
        <v>-3037.338700101416</v>
      </c>
      <c r="L752" s="356">
        <f t="shared" si="217"/>
        <v>3034301.361401315</v>
      </c>
      <c r="N752" s="356">
        <f t="shared" si="225"/>
        <v>729</v>
      </c>
      <c r="O752" s="357">
        <f t="shared" si="230"/>
        <v>60</v>
      </c>
      <c r="P752" s="357">
        <f t="shared" si="231"/>
        <v>9</v>
      </c>
      <c r="Q752" s="357">
        <f t="shared" si="232"/>
        <v>60</v>
      </c>
      <c r="R752" s="356">
        <f t="shared" si="226"/>
        <v>195597195.10327873</v>
      </c>
      <c r="S752" s="356">
        <f>IF($G$4="mensual",S751,0)</f>
        <v>10000</v>
      </c>
      <c r="U752" s="356">
        <f t="shared" si="233"/>
        <v>1559799.2426575213</v>
      </c>
      <c r="V752" s="356">
        <f t="shared" si="215"/>
        <v>-801.5956084936277</v>
      </c>
      <c r="X752" s="356">
        <f t="shared" si="218"/>
        <v>-197166.99434593625</v>
      </c>
      <c r="Y752" s="356">
        <f t="shared" si="219"/>
        <v>196969025.7559818</v>
      </c>
      <c r="AA752" s="357">
        <f>+Bono!J752</f>
        <v>1180815.3666110788</v>
      </c>
      <c r="AC752" s="378">
        <f t="shared" si="220"/>
        <v>60.75</v>
      </c>
      <c r="AD752" s="356">
        <f t="shared" si="221"/>
        <v>201184142.48399422</v>
      </c>
    </row>
    <row r="753" spans="2:30" x14ac:dyDescent="0.25">
      <c r="B753" s="356">
        <f t="shared" si="222"/>
        <v>730</v>
      </c>
      <c r="C753" s="357">
        <f t="shared" si="227"/>
        <v>60</v>
      </c>
      <c r="D753" s="357">
        <f t="shared" si="228"/>
        <v>10</v>
      </c>
      <c r="E753" s="357">
        <f t="shared" si="229"/>
        <v>89</v>
      </c>
      <c r="F753" s="356">
        <f t="shared" si="223"/>
        <v>3034301.361401315</v>
      </c>
      <c r="H753" s="356">
        <f t="shared" si="216"/>
        <v>24195.945159427956</v>
      </c>
      <c r="I753" s="356">
        <v>0</v>
      </c>
      <c r="J753" s="356">
        <v>0</v>
      </c>
      <c r="K753" s="356">
        <f t="shared" si="224"/>
        <v>-3058.497306560743</v>
      </c>
      <c r="L753" s="356">
        <f t="shared" si="217"/>
        <v>3055438.809254182</v>
      </c>
      <c r="N753" s="356">
        <f t="shared" si="225"/>
        <v>730</v>
      </c>
      <c r="O753" s="357">
        <f t="shared" si="230"/>
        <v>60</v>
      </c>
      <c r="P753" s="357">
        <f t="shared" si="231"/>
        <v>10</v>
      </c>
      <c r="Q753" s="357">
        <f t="shared" si="232"/>
        <v>60</v>
      </c>
      <c r="R753" s="356">
        <f t="shared" si="226"/>
        <v>196969025.7559818</v>
      </c>
      <c r="S753" s="356">
        <f>IF($G$4="mensual",S744,IF($G$4="trimestral",S744,0))</f>
        <v>10000</v>
      </c>
      <c r="U753" s="356">
        <f t="shared" si="233"/>
        <v>1570738.4129268504</v>
      </c>
      <c r="V753" s="356">
        <f t="shared" si="215"/>
        <v>-801.5956084936277</v>
      </c>
      <c r="X753" s="356">
        <f t="shared" si="218"/>
        <v>-198549.76416890867</v>
      </c>
      <c r="Y753" s="356">
        <f t="shared" si="219"/>
        <v>198350412.80913123</v>
      </c>
      <c r="AA753" s="357">
        <f>+Bono!J753</f>
        <v>1188136.5588501724</v>
      </c>
      <c r="AC753" s="378">
        <f t="shared" si="220"/>
        <v>60.833333333333336</v>
      </c>
      <c r="AD753" s="356">
        <f t="shared" si="221"/>
        <v>202593988.17723557</v>
      </c>
    </row>
    <row r="754" spans="2:30" x14ac:dyDescent="0.25">
      <c r="B754" s="356">
        <f t="shared" si="222"/>
        <v>731</v>
      </c>
      <c r="C754" s="357">
        <f t="shared" si="227"/>
        <v>60</v>
      </c>
      <c r="D754" s="357">
        <f t="shared" si="228"/>
        <v>11</v>
      </c>
      <c r="E754" s="357">
        <f t="shared" si="229"/>
        <v>89</v>
      </c>
      <c r="F754" s="356">
        <f t="shared" si="223"/>
        <v>3055438.809254182</v>
      </c>
      <c r="H754" s="356">
        <f t="shared" si="216"/>
        <v>24364.49813691535</v>
      </c>
      <c r="I754" s="356">
        <v>0</v>
      </c>
      <c r="J754" s="356">
        <v>0</v>
      </c>
      <c r="K754" s="356">
        <f t="shared" si="224"/>
        <v>-3079.8033073910974</v>
      </c>
      <c r="L754" s="356">
        <f t="shared" si="217"/>
        <v>3076723.504083706</v>
      </c>
      <c r="N754" s="356">
        <f t="shared" si="225"/>
        <v>731</v>
      </c>
      <c r="O754" s="357">
        <f t="shared" si="230"/>
        <v>60</v>
      </c>
      <c r="P754" s="357">
        <f t="shared" si="231"/>
        <v>11</v>
      </c>
      <c r="Q754" s="357">
        <f t="shared" si="232"/>
        <v>60</v>
      </c>
      <c r="R754" s="356">
        <f t="shared" si="226"/>
        <v>198350412.80913123</v>
      </c>
      <c r="S754" s="356">
        <f>IF($G$17="si",S742*(1+$G$20),S742)</f>
        <v>10000</v>
      </c>
      <c r="U754" s="356">
        <f t="shared" si="233"/>
        <v>1581753.7872753334</v>
      </c>
      <c r="V754" s="356">
        <f t="shared" si="215"/>
        <v>-801.5956084936277</v>
      </c>
      <c r="X754" s="356">
        <f t="shared" si="218"/>
        <v>-199942.16659640658</v>
      </c>
      <c r="Y754" s="356">
        <f t="shared" si="219"/>
        <v>199741422.83420166</v>
      </c>
      <c r="AA754" s="357">
        <f>+Bono!J754</f>
        <v>1195503.143330354</v>
      </c>
      <c r="AC754" s="378">
        <f t="shared" si="220"/>
        <v>60.916666666666664</v>
      </c>
      <c r="AD754" s="356">
        <f t="shared" si="221"/>
        <v>204013649.48161572</v>
      </c>
    </row>
    <row r="755" spans="2:30" x14ac:dyDescent="0.25">
      <c r="B755" s="356">
        <f t="shared" si="222"/>
        <v>732</v>
      </c>
      <c r="C755" s="357">
        <f t="shared" si="227"/>
        <v>60</v>
      </c>
      <c r="D755" s="357">
        <f t="shared" si="228"/>
        <v>12</v>
      </c>
      <c r="E755" s="357">
        <f t="shared" si="229"/>
        <v>89</v>
      </c>
      <c r="F755" s="356">
        <f t="shared" si="223"/>
        <v>3076723.504083706</v>
      </c>
      <c r="H755" s="356">
        <f t="shared" si="216"/>
        <v>24534.225282472336</v>
      </c>
      <c r="I755" s="356">
        <v>0</v>
      </c>
      <c r="J755" s="360">
        <f>-SUM(F755:H755)*$J$21</f>
        <v>-27911.319564295613</v>
      </c>
      <c r="K755" s="356">
        <f t="shared" si="224"/>
        <v>-3073.346409801883</v>
      </c>
      <c r="L755" s="356">
        <f t="shared" si="217"/>
        <v>3070273.0633920813</v>
      </c>
      <c r="N755" s="356">
        <f t="shared" si="225"/>
        <v>732</v>
      </c>
      <c r="O755" s="357">
        <f t="shared" si="230"/>
        <v>60</v>
      </c>
      <c r="P755" s="357">
        <f t="shared" si="231"/>
        <v>12</v>
      </c>
      <c r="Q755" s="357">
        <f t="shared" si="232"/>
        <v>60</v>
      </c>
      <c r="R755" s="356">
        <f t="shared" si="226"/>
        <v>199741422.83420166</v>
      </c>
      <c r="S755" s="356">
        <f>IF($G$4="mensual",S754,0)</f>
        <v>10000</v>
      </c>
      <c r="U755" s="356">
        <f t="shared" si="233"/>
        <v>1592845.896553258</v>
      </c>
      <c r="V755" s="356">
        <f t="shared" si="215"/>
        <v>-801.5956084936277</v>
      </c>
      <c r="X755" s="356">
        <f t="shared" si="218"/>
        <v>-201344.2687307549</v>
      </c>
      <c r="Y755" s="356">
        <f t="shared" si="219"/>
        <v>201142122.86641565</v>
      </c>
      <c r="AA755" s="357">
        <f>+Bono!J755</f>
        <v>1192078.3257996957</v>
      </c>
      <c r="AC755" s="378">
        <f t="shared" si="220"/>
        <v>61</v>
      </c>
      <c r="AD755" s="356">
        <f t="shared" si="221"/>
        <v>205404474.25560743</v>
      </c>
    </row>
  </sheetData>
  <sheetProtection sheet="1" selectLockedCells="1" objects="1" scenarios="1"/>
  <mergeCells count="4">
    <mergeCell ref="C22:L22"/>
    <mergeCell ref="O22:Y22"/>
    <mergeCell ref="AK31:BA35"/>
    <mergeCell ref="AK36:BA39"/>
  </mergeCells>
  <pageMargins left="0.75" right="0.75" top="1" bottom="1" header="0" footer="0"/>
  <pageSetup orientation="portrait" horizontalDpi="4294967295" verticalDpi="4294967295" scale="100" fitToWidth="1" fitToHeight="1" firstPageNumber="1" useFirstPageNumber="1" copies="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68"/>
  <sheetViews>
    <sheetView workbookViewId="0" zoomScale="100" zoomScaleNormal="100">
      <pane ySplit="3" topLeftCell="A59" activePane="bottomLeft" state="frozen"/>
      <selection pane="bottomLeft" activeCell="AC61" sqref="AC61"/>
    </sheetView>
  </sheetViews>
  <sheetFormatPr defaultRowHeight="12" outlineLevelRow="0" outlineLevelCol="0" x14ac:dyDescent="0" customHeight="1"/>
  <cols>
    <col min="1" max="1" width="11.42578125" style="402" customWidth="1"/>
    <col min="2" max="2" width="12" style="403" customWidth="1"/>
    <col min="3" max="3" width="11.28515625" style="404" customWidth="1"/>
    <col min="4" max="6" width="15.28515625" style="404" customWidth="1"/>
    <col min="7" max="7" width="11.42578125" style="404" customWidth="1"/>
    <col min="8" max="8" width="11.28515625" style="404" customWidth="1"/>
    <col min="9" max="11" width="15.28515625" style="404" customWidth="1"/>
    <col min="12" max="12" width="11.42578125" style="404" customWidth="1"/>
    <col min="13" max="14" width="11.28515625" style="404" customWidth="1"/>
    <col min="15" max="17" width="15.28515625" style="404" customWidth="1"/>
    <col min="18" max="18" width="12" style="404" customWidth="1"/>
    <col min="19" max="24" width="11.42578125" style="404" customWidth="1"/>
    <col min="25" max="25" width="11.5703125" style="404" customWidth="1"/>
    <col min="26" max="27" width="11.42578125" style="404" customWidth="1"/>
    <col min="28" max="28" width="20" style="404" customWidth="1"/>
    <col min="29" max="29" width="13.42578125" style="404" customWidth="1"/>
    <col min="30" max="30" width="12.85546875" style="404" customWidth="1"/>
    <col min="31" max="31" width="12" style="404" customWidth="1"/>
    <col min="32" max="32" width="17.140625" style="404" customWidth="1"/>
    <col min="33" max="33" width="13.42578125" style="404" customWidth="1"/>
    <col min="34" max="34" width="13.140625" style="404" customWidth="1"/>
    <col min="35" max="35" width="15.28515625" style="405" customWidth="1"/>
    <col min="36" max="16384" width="11.42578125" style="405" customWidth="1"/>
  </cols>
  <sheetData>
    <row r="1" spans="24:31" x14ac:dyDescent="0.25">
      <c r="X1" s="406" t="s">
        <v>125</v>
      </c>
      <c r="Y1" s="407">
        <f>AE1</f>
        <v>137694</v>
      </c>
      <c r="Z1" s="408">
        <f>+'OptiMaxx plus'!AK12</f>
        <v>93</v>
      </c>
      <c r="AA1" s="409"/>
      <c r="AB1" s="410" t="str">
        <f>+"Beneficio Deducibilidad Acumulado Re-invertido a tasa "&amp;ROUND($AC$5,3)*100&amp;"%"</f>
        <v>Beneficio Deducibilidad Acumulado Re-invertido a tasa 10%</v>
      </c>
      <c r="AD1" s="411" t="s">
        <v>126</v>
      </c>
      <c r="AE1" s="412">
        <f>5*27538.8</f>
        <v>137694</v>
      </c>
    </row>
    <row r="2" ht="12.75" customHeight="1" spans="1:28" x14ac:dyDescent="0.25">
      <c r="A2" s="413" t="s">
        <v>127</v>
      </c>
      <c r="B2" s="413"/>
      <c r="C2" s="413"/>
      <c r="D2" s="413"/>
      <c r="E2" s="413"/>
      <c r="F2" s="413"/>
      <c r="H2" s="413" t="s">
        <v>128</v>
      </c>
      <c r="I2" s="413"/>
      <c r="J2" s="413"/>
      <c r="K2" s="413"/>
      <c r="M2" s="413" t="s">
        <v>129</v>
      </c>
      <c r="N2" s="413"/>
      <c r="O2" s="413"/>
      <c r="P2" s="413"/>
      <c r="Q2" s="413"/>
      <c r="R2" s="413"/>
      <c r="T2" s="413" t="s">
        <v>130</v>
      </c>
      <c r="U2" s="413"/>
      <c r="V2" s="413"/>
      <c r="W2" s="413"/>
      <c r="X2" s="406" t="s">
        <v>131</v>
      </c>
      <c r="Y2" s="407">
        <v>152000</v>
      </c>
      <c r="Z2" s="409" t="s">
        <v>132</v>
      </c>
      <c r="AA2" s="409"/>
      <c r="AB2" s="414"/>
    </row>
    <row r="3" spans="1:36" x14ac:dyDescent="0.25">
      <c r="A3" s="415" t="s">
        <v>55</v>
      </c>
      <c r="B3" s="415" t="s">
        <v>23</v>
      </c>
      <c r="C3" s="416" t="s">
        <v>100</v>
      </c>
      <c r="D3" s="416" t="s">
        <v>133</v>
      </c>
      <c r="E3" s="416" t="s">
        <v>134</v>
      </c>
      <c r="F3" s="416" t="s">
        <v>135</v>
      </c>
      <c r="H3" s="416" t="s">
        <v>100</v>
      </c>
      <c r="I3" s="416" t="s">
        <v>133</v>
      </c>
      <c r="J3" s="416" t="s">
        <v>134</v>
      </c>
      <c r="K3" s="416" t="s">
        <v>135</v>
      </c>
      <c r="M3" s="416" t="s">
        <v>55</v>
      </c>
      <c r="N3" s="416" t="s">
        <v>23</v>
      </c>
      <c r="O3" s="416" t="s">
        <v>59</v>
      </c>
      <c r="P3" s="416" t="s">
        <v>133</v>
      </c>
      <c r="Q3" s="416" t="s">
        <v>134</v>
      </c>
      <c r="R3" s="417" t="s">
        <v>135</v>
      </c>
      <c r="U3" s="404" t="s">
        <v>136</v>
      </c>
      <c r="V3" s="404" t="s">
        <v>137</v>
      </c>
      <c r="AB3" s="418"/>
      <c r="AI3" s="405">
        <v>1</v>
      </c>
      <c r="AJ3" s="405">
        <v>2</v>
      </c>
    </row>
    <row r="4" spans="1:37" x14ac:dyDescent="0.25">
      <c r="A4" s="419"/>
      <c r="B4" s="420"/>
      <c r="C4" s="421"/>
      <c r="D4" s="421"/>
      <c r="E4" s="421"/>
      <c r="F4" s="421"/>
      <c r="W4" s="422" t="s">
        <v>26</v>
      </c>
      <c r="X4" s="423" t="s">
        <v>125</v>
      </c>
      <c r="Y4" s="423" t="s">
        <v>131</v>
      </c>
      <c r="Z4" s="422" t="s">
        <v>138</v>
      </c>
      <c r="AA4" s="422" t="s">
        <v>139</v>
      </c>
      <c r="AB4" s="424">
        <f>+Z1</f>
        <v>93</v>
      </c>
      <c r="AC4" s="404" t="s">
        <v>140</v>
      </c>
      <c r="AH4" s="425"/>
      <c r="AK4" s="405"/>
    </row>
    <row r="5" spans="1:34" x14ac:dyDescent="0.25">
      <c r="A5" s="426">
        <f>+C5/12</f>
        <v>0.08333333333333333</v>
      </c>
      <c r="B5" s="427">
        <f>+'OptiMaxx plus'!T7+A5</f>
        <v>29.083333333333332</v>
      </c>
      <c r="C5" s="428">
        <v>1</v>
      </c>
      <c r="D5" s="429">
        <f>+'No Deducible 93'!AD24</f>
        <v>19632.162822812956</v>
      </c>
      <c r="E5" s="429">
        <f>+'Deducible 151'!AD24</f>
        <v>19630.63006418827</v>
      </c>
      <c r="F5" s="429">
        <f>+'Deducible 185'!AD24</f>
        <v>19632.162822812956</v>
      </c>
      <c r="H5" s="428">
        <v>1</v>
      </c>
      <c r="I5" s="429">
        <f>+'No Deducible 93'!Y24</f>
        <v>0</v>
      </c>
      <c r="J5" s="429">
        <f>+'Deducible 151'!Y24</f>
        <v>0</v>
      </c>
      <c r="K5" s="429">
        <f>+'Deducible 185'!Y24</f>
        <v>0</v>
      </c>
      <c r="M5" s="430">
        <v>1</v>
      </c>
      <c r="N5" s="430">
        <f>+'OptiMaxx plus'!T7+1</f>
        <v>30</v>
      </c>
      <c r="O5" s="431">
        <f>VLOOKUP(M5,'OptiMaxx plus'!$C$31:$W$55,18,0)</f>
        <v>0</v>
      </c>
      <c r="P5" s="431">
        <f>+O5-AF77</f>
        <v>0</v>
      </c>
      <c r="Q5" s="431">
        <f>IF(N5&gt;=65,((122804.25*3)+(O5-(122804.25*3))*0.8),O5*0.8)</f>
        <v>0</v>
      </c>
      <c r="R5" s="431">
        <f>+O5*0.65</f>
        <v>0</v>
      </c>
      <c r="S5" s="405">
        <v>1</v>
      </c>
      <c r="T5" s="430">
        <v>1</v>
      </c>
      <c r="U5" s="429">
        <f>+'OptiMaxx plus'!G31</f>
        <v>120000</v>
      </c>
      <c r="V5" s="432"/>
      <c r="W5" s="429">
        <f>+'OptiMaxx plus'!G31</f>
        <v>120000</v>
      </c>
      <c r="X5" s="426">
        <f>+Y1</f>
        <v>137694</v>
      </c>
      <c r="Y5" s="426">
        <f>+Y2</f>
        <v>152000</v>
      </c>
      <c r="Z5" s="427">
        <f>IF(W5&gt;X5,X5,W5)</f>
        <v>120000</v>
      </c>
      <c r="AA5" s="427">
        <f>IF(W5&gt;Y5,Y5,W5)</f>
        <v>120000</v>
      </c>
      <c r="AB5" s="433">
        <f>IF($AB4=185,AA5*'OptiMaxx plus'!$T$15,Z5*'OptiMaxx plus'!$T$15)</f>
        <v>12000</v>
      </c>
      <c r="AC5" s="434">
        <f>+'Deducible 151'!L20</f>
        <v>0.1</v>
      </c>
      <c r="AH5" s="425"/>
    </row>
    <row r="6" spans="1:34" x14ac:dyDescent="0.25">
      <c r="A6" s="426">
        <f>+C6/12</f>
        <v>0.16666666666666666</v>
      </c>
      <c r="B6" s="427">
        <f>'OptiMaxx plus'!$T$7+A6</f>
        <v>29.166666666666668</v>
      </c>
      <c r="C6" s="428">
        <f>+C5+1</f>
        <v>2</v>
      </c>
      <c r="D6" s="429">
        <f>+'No Deducible 93'!AD25</f>
        <v>39892.8785574886</v>
      </c>
      <c r="E6" s="429">
        <f>+'Deducible 151'!AD25</f>
        <v>39888.17917390859</v>
      </c>
      <c r="F6" s="429">
        <f>+'Deducible 185'!AD25</f>
        <v>39892.8785574886</v>
      </c>
      <c r="H6" s="428">
        <f>+H5+1</f>
        <v>2</v>
      </c>
      <c r="I6" s="429">
        <f>+'No Deducible 93'!Y25</f>
        <v>0</v>
      </c>
      <c r="J6" s="429">
        <f>+'Deducible 151'!Y25</f>
        <v>0</v>
      </c>
      <c r="K6" s="429">
        <f>+'Deducible 185'!Y25</f>
        <v>0</v>
      </c>
      <c r="M6" s="430">
        <f>+M5+1</f>
        <v>2</v>
      </c>
      <c r="N6" s="430">
        <f>+N5+1</f>
        <v>31</v>
      </c>
      <c r="O6" s="431">
        <f>VLOOKUP(M6,'OptiMaxx plus'!$C$31:$W$55,18,0)</f>
        <v>60996.15221112068</v>
      </c>
      <c r="P6" s="431">
        <f>O6-AG77</f>
        <v>60684.490742511196</v>
      </c>
      <c r="Q6" s="431">
        <f>IF(N6&gt;=65,O6,O6*0.8)</f>
        <v>48796.921768896544</v>
      </c>
      <c r="R6" s="431">
        <f t="shared" ref="R6:R29" si="0">+O6*0.65</f>
        <v>39647.49893722844</v>
      </c>
      <c r="S6" s="405">
        <f>+S5+1</f>
        <v>2</v>
      </c>
      <c r="T6" s="430">
        <f>+T5+1</f>
        <v>2</v>
      </c>
      <c r="U6" s="429">
        <f>+'OptiMaxx plus'!G32</f>
        <v>120000</v>
      </c>
      <c r="V6" s="432">
        <f>+U6*'OptiMaxx plus'!$T$15:$X$15+(V5*(1+'Deducible 151'!$L$20))</f>
        <v>0</v>
      </c>
      <c r="W6" s="429">
        <f>+'OptiMaxx plus'!G32</f>
        <v>120000</v>
      </c>
      <c r="X6" s="426">
        <f>+X5*(1+'No Deducible 93'!$G$18)</f>
        <v>143201.76</v>
      </c>
      <c r="Y6" s="426">
        <f>+Y5*(1+'No Deducible 93'!$G$18)</f>
        <v>158080</v>
      </c>
      <c r="Z6" s="427">
        <f t="shared" ref="Z6:Z29" si="1">IF(W6&gt;X6,X6,W6)</f>
        <v>120000</v>
      </c>
      <c r="AA6" s="427">
        <f t="shared" ref="AA6:AA29" si="2">IF(W6&gt;Y6,Y6,W6)</f>
        <v>120000</v>
      </c>
      <c r="AB6" s="433">
        <f>IF($AB$4=185,AA6*'OptiMaxx plus'!$T$15,Z6*'OptiMaxx plus'!$T$15)+(AB5*(1+$AC$5))</f>
        <v>25200</v>
      </c>
      <c r="AC6" s="435" t="str">
        <f>CONCATENATE(AC4," ",AC5)</f>
        <v>Beneficio Fiscal Re-invertido a una tasa del 0.1</v>
      </c>
      <c r="AH6" s="425"/>
    </row>
    <row r="7" spans="1:28" x14ac:dyDescent="0.25">
      <c r="A7" s="426">
        <f t="shared" ref="A7:A69" si="3">+C7/12</f>
        <v>0.25</v>
      </c>
      <c r="B7" s="427">
        <f>'OptiMaxx plus'!$T$7+A7</f>
        <v>29.25</v>
      </c>
      <c r="C7" s="428">
        <f t="shared" ref="C7:C70" si="4">+C6+1</f>
        <v>3</v>
      </c>
      <c r="D7" s="429">
        <f>+'No Deducible 93'!AD26</f>
        <v>59744.12157992707</v>
      </c>
      <c r="E7" s="429">
        <f>+'Deducible 151'!AD26</f>
        <v>59691.62334982515</v>
      </c>
      <c r="F7" s="429">
        <f>+'Deducible 185'!AD26</f>
        <v>59744.12157992707</v>
      </c>
      <c r="H7" s="428">
        <f t="shared" ref="H7:H70" si="5">+H6+1</f>
        <v>3</v>
      </c>
      <c r="I7" s="429">
        <f>+'No Deducible 93'!Y26</f>
        <v>0</v>
      </c>
      <c r="J7" s="429">
        <f>+'Deducible 151'!Y26</f>
        <v>0</v>
      </c>
      <c r="K7" s="429">
        <f>+'Deducible 185'!Y26</f>
        <v>0</v>
      </c>
      <c r="M7" s="430">
        <f t="shared" ref="M7:M57" si="6">+M6+1</f>
        <v>3</v>
      </c>
      <c r="N7" s="430">
        <f t="shared" ref="N7:N57" si="7">+N6+1</f>
        <v>32</v>
      </c>
      <c r="O7" s="431">
        <f>VLOOKUP(M7,'OptiMaxx plus'!$C$31:$W$55,18,0)</f>
        <v>190842.07582332552</v>
      </c>
      <c r="P7" s="431">
        <f>O7-AH77</f>
        <v>189311.02369792984</v>
      </c>
      <c r="Q7" s="431">
        <f t="shared" ref="Q7:Q29" si="8">IF(N7&gt;=65,O7,O7*0.8)</f>
        <v>152673.66065866043</v>
      </c>
      <c r="R7" s="431">
        <f t="shared" si="0"/>
        <v>124047.34928516159</v>
      </c>
      <c r="S7" s="405">
        <f t="shared" ref="S7:T70" si="9">+S6+1</f>
        <v>3</v>
      </c>
      <c r="T7" s="430">
        <f t="shared" si="9"/>
        <v>3</v>
      </c>
      <c r="U7" s="429">
        <f>+'OptiMaxx plus'!G33</f>
        <v>120000</v>
      </c>
      <c r="V7" s="432">
        <f>+U7*'OptiMaxx plus'!$T$15:$X$15+(V6*(1+'Deducible 151'!$L$20))</f>
        <v>0</v>
      </c>
      <c r="W7" s="429">
        <f>+'OptiMaxx plus'!G33</f>
        <v>120000</v>
      </c>
      <c r="X7" s="426">
        <f>+X6*(1+'No Deducible 93'!$G$18)</f>
        <v>148929.8304</v>
      </c>
      <c r="Y7" s="426">
        <f>+Y6*(1+'No Deducible 93'!$G$18)</f>
        <v>164403.2</v>
      </c>
      <c r="Z7" s="427">
        <f t="shared" si="1"/>
        <v>120000</v>
      </c>
      <c r="AA7" s="427">
        <f t="shared" si="2"/>
        <v>120000</v>
      </c>
      <c r="AB7" s="433">
        <f>IF($AB$4=185,AA7*'OptiMaxx plus'!$T$15,Z7*'OptiMaxx plus'!$T$15)+(AB6*(1+$AC$5))</f>
        <v>39720</v>
      </c>
    </row>
    <row r="8" spans="1:29" x14ac:dyDescent="0.25">
      <c r="A8" s="426">
        <f t="shared" si="3"/>
        <v>0.3333333333333333</v>
      </c>
      <c r="B8" s="427">
        <f>'OptiMaxx plus'!$T$7+A8</f>
        <v>29.333333333333332</v>
      </c>
      <c r="C8" s="428">
        <f t="shared" si="4"/>
        <v>4</v>
      </c>
      <c r="D8" s="429">
        <f>+'No Deducible 93'!AD27</f>
        <v>80268.91384236538</v>
      </c>
      <c r="E8" s="429">
        <f>+'Deducible 151'!AD27</f>
        <v>80209.66471337818</v>
      </c>
      <c r="F8" s="429">
        <f>+'Deducible 185'!AD27</f>
        <v>80268.91384236538</v>
      </c>
      <c r="H8" s="428">
        <f t="shared" si="5"/>
        <v>4</v>
      </c>
      <c r="I8" s="429">
        <f>+'No Deducible 93'!Y27</f>
        <v>0</v>
      </c>
      <c r="J8" s="429">
        <f>+'Deducible 151'!Y27</f>
        <v>0</v>
      </c>
      <c r="K8" s="429">
        <f>+'Deducible 185'!Y27</f>
        <v>0</v>
      </c>
      <c r="M8" s="430">
        <f t="shared" si="6"/>
        <v>4</v>
      </c>
      <c r="N8" s="430">
        <f t="shared" si="7"/>
        <v>33</v>
      </c>
      <c r="O8" s="431">
        <f>VLOOKUP(M8,'OptiMaxx plus'!$C$31:$W$55,18,0)</f>
        <v>331926.9089901394</v>
      </c>
      <c r="P8" s="431">
        <f>O8-AI77</f>
        <v>328075.95633509697</v>
      </c>
      <c r="Q8" s="431">
        <f t="shared" si="8"/>
        <v>265541.52719211153</v>
      </c>
      <c r="R8" s="431">
        <f t="shared" si="0"/>
        <v>215752.4908435906</v>
      </c>
      <c r="S8" s="405">
        <f t="shared" si="9"/>
        <v>4</v>
      </c>
      <c r="T8" s="430">
        <f t="shared" si="9"/>
        <v>4</v>
      </c>
      <c r="U8" s="429">
        <f>+'OptiMaxx plus'!G34</f>
        <v>120000</v>
      </c>
      <c r="V8" s="432">
        <f>+U8*'OptiMaxx plus'!$T$15:$X$15+(V7*(1+'Deducible 151'!$L$20))</f>
        <v>0</v>
      </c>
      <c r="W8" s="429">
        <f>+'OptiMaxx plus'!G34</f>
        <v>120000</v>
      </c>
      <c r="X8" s="426">
        <f>+X7*(1+'No Deducible 93'!$G$18)</f>
        <v>154887.02361600002</v>
      </c>
      <c r="Y8" s="426">
        <f>+Y7*(1+'No Deducible 93'!$G$18)</f>
        <v>170979.328</v>
      </c>
      <c r="Z8" s="427">
        <f t="shared" si="1"/>
        <v>120000</v>
      </c>
      <c r="AA8" s="427">
        <f t="shared" si="2"/>
        <v>120000</v>
      </c>
      <c r="AB8" s="433">
        <f>IF($AB$4=185,AA8*'OptiMaxx plus'!$T$15,Z8*'OptiMaxx plus'!$T$15)+(AB7*(1+$AC$5))</f>
        <v>55692</v>
      </c>
      <c r="AC8" s="404" t="str">
        <f>+"Beneficio Deducibilidad Acumulado Re-invertido a tasa "&amp;ROUND($AC$5,3)*100&amp;"%"</f>
        <v>Beneficio Deducibilidad Acumulado Re-invertido a tasa 10%</v>
      </c>
    </row>
    <row r="9" spans="1:28" x14ac:dyDescent="0.25">
      <c r="A9" s="426">
        <f t="shared" si="3"/>
        <v>0.4166666666666667</v>
      </c>
      <c r="B9" s="427">
        <f>'OptiMaxx plus'!$T$7+A9</f>
        <v>29.416666666666668</v>
      </c>
      <c r="C9" s="428">
        <f t="shared" si="4"/>
        <v>5</v>
      </c>
      <c r="D9" s="429">
        <f>+'No Deducible 93'!AD28</f>
        <v>100928.83425921667</v>
      </c>
      <c r="E9" s="429">
        <f>+'Deducible 151'!AD28</f>
        <v>100861.13099433407</v>
      </c>
      <c r="F9" s="429">
        <f>+'Deducible 185'!AD28</f>
        <v>100928.83425921667</v>
      </c>
      <c r="H9" s="428">
        <f t="shared" si="5"/>
        <v>5</v>
      </c>
      <c r="I9" s="429">
        <f>+'No Deducible 93'!Y28</f>
        <v>0</v>
      </c>
      <c r="J9" s="429">
        <f>+'Deducible 151'!Y28</f>
        <v>0</v>
      </c>
      <c r="K9" s="429">
        <f>+'Deducible 185'!Y28</f>
        <v>0</v>
      </c>
      <c r="M9" s="430">
        <f t="shared" si="6"/>
        <v>5</v>
      </c>
      <c r="N9" s="430">
        <f t="shared" si="7"/>
        <v>34</v>
      </c>
      <c r="O9" s="431">
        <f>VLOOKUP(M9,'OptiMaxx plus'!$C$31:$W$55,18,0)</f>
        <v>485225.35780895554</v>
      </c>
      <c r="P9" s="431">
        <f>O9-AJ77</f>
        <v>477732.06997749023</v>
      </c>
      <c r="Q9" s="431">
        <f>IF(N9&gt;=65,O9,O9*0.8)</f>
        <v>388180.2862471645</v>
      </c>
      <c r="R9" s="431">
        <f t="shared" si="0"/>
        <v>315396.4825758211</v>
      </c>
      <c r="S9" s="405">
        <f t="shared" si="9"/>
        <v>5</v>
      </c>
      <c r="T9" s="430">
        <f t="shared" si="9"/>
        <v>5</v>
      </c>
      <c r="U9" s="429">
        <f>+'OptiMaxx plus'!G35</f>
        <v>120000</v>
      </c>
      <c r="V9" s="432">
        <f>+U9*'OptiMaxx plus'!$T$15:$X$15+(V8*(1+'Deducible 151'!$L$20))</f>
        <v>0</v>
      </c>
      <c r="W9" s="429">
        <f>+'OptiMaxx plus'!G35</f>
        <v>120000</v>
      </c>
      <c r="X9" s="426">
        <f>+X8*(1+'No Deducible 93'!$G$18)</f>
        <v>161082.50456064002</v>
      </c>
      <c r="Y9" s="426">
        <f>+Y8*(1+'No Deducible 93'!$G$18)</f>
        <v>177818.50112</v>
      </c>
      <c r="Z9" s="427">
        <f t="shared" si="1"/>
        <v>120000</v>
      </c>
      <c r="AA9" s="427">
        <f t="shared" si="2"/>
        <v>120000</v>
      </c>
      <c r="AB9" s="433">
        <f>IF($AB$4=185,AA9*'OptiMaxx plus'!$T$15,Z9*'OptiMaxx plus'!$T$15)+(AB8*(1+$AC$5))</f>
        <v>73261.20000000001</v>
      </c>
    </row>
    <row r="10" spans="1:28" x14ac:dyDescent="0.25">
      <c r="A10" s="426">
        <f t="shared" si="3"/>
        <v>0.5</v>
      </c>
      <c r="B10" s="427">
        <f>'OptiMaxx plus'!$T$7+A10</f>
        <v>29.5</v>
      </c>
      <c r="C10" s="428">
        <f t="shared" si="4"/>
        <v>6</v>
      </c>
      <c r="D10" s="429">
        <f>+'No Deducible 93'!AD29</f>
        <v>120628.70261836113</v>
      </c>
      <c r="E10" s="429">
        <f>+'Deducible 151'!AD29</f>
        <v>120464.24127532227</v>
      </c>
      <c r="F10" s="429">
        <f>+'Deducible 185'!AD29</f>
        <v>120628.70261836113</v>
      </c>
      <c r="H10" s="428">
        <f t="shared" si="5"/>
        <v>6</v>
      </c>
      <c r="I10" s="429">
        <f>+'No Deducible 93'!Y29</f>
        <v>0</v>
      </c>
      <c r="J10" s="429">
        <f>+'Deducible 151'!Y29</f>
        <v>0</v>
      </c>
      <c r="K10" s="429">
        <f>+'Deducible 185'!Y29</f>
        <v>0</v>
      </c>
      <c r="M10" s="430">
        <f t="shared" si="6"/>
        <v>6</v>
      </c>
      <c r="N10" s="430">
        <f t="shared" si="7"/>
        <v>35</v>
      </c>
      <c r="O10" s="431">
        <f>VLOOKUP(M10,'OptiMaxx plus'!$C$31:$W$55,18,0)</f>
        <v>651796.7376154108</v>
      </c>
      <c r="P10" s="431">
        <f>O10-AK77</f>
        <v>639147.3365244576</v>
      </c>
      <c r="Q10" s="431">
        <f t="shared" si="8"/>
        <v>521437.39009232866</v>
      </c>
      <c r="R10" s="431">
        <f t="shared" si="0"/>
        <v>423667.87945001706</v>
      </c>
      <c r="S10" s="405">
        <f t="shared" si="9"/>
        <v>6</v>
      </c>
      <c r="T10" s="430">
        <f t="shared" si="9"/>
        <v>6</v>
      </c>
      <c r="U10" s="429">
        <f>+'OptiMaxx plus'!G36</f>
        <v>120000</v>
      </c>
      <c r="V10" s="432">
        <f>+U10*'OptiMaxx plus'!$T$15:$X$15+(V9*(1+'Deducible 151'!$L$20))</f>
        <v>0</v>
      </c>
      <c r="W10" s="429">
        <f>+'OptiMaxx plus'!G36</f>
        <v>120000</v>
      </c>
      <c r="X10" s="426">
        <f>+X9*(1+'No Deducible 93'!$G$18)</f>
        <v>167525.80474306564</v>
      </c>
      <c r="Y10" s="426">
        <f>+Y9*(1+'No Deducible 93'!$G$18)</f>
        <v>184931.2411648</v>
      </c>
      <c r="Z10" s="427">
        <f t="shared" si="1"/>
        <v>120000</v>
      </c>
      <c r="AA10" s="427">
        <f t="shared" si="2"/>
        <v>120000</v>
      </c>
      <c r="AB10" s="433">
        <f>IF($AB$4=185,AA10*'OptiMaxx plus'!$T$15,Z10*'OptiMaxx plus'!$T$15)+(AB9*(1+$AC$5))</f>
        <v>92587.32000000002</v>
      </c>
    </row>
    <row r="11" spans="1:34" x14ac:dyDescent="0.25">
      <c r="A11" s="426">
        <f t="shared" si="3"/>
        <v>0.5833333333333334</v>
      </c>
      <c r="B11" s="427">
        <f>'OptiMaxx plus'!$T$7+A11</f>
        <v>29.583333333333332</v>
      </c>
      <c r="C11" s="428">
        <f t="shared" si="4"/>
        <v>7</v>
      </c>
      <c r="D11" s="429">
        <f>+'No Deducible 93'!AD30</f>
        <v>141554.34901633207</v>
      </c>
      <c r="E11" s="429">
        <f>+'Deducible 151'!AD30</f>
        <v>141377.4563561235</v>
      </c>
      <c r="F11" s="429">
        <f>+'Deducible 185'!AD30</f>
        <v>141554.34901633207</v>
      </c>
      <c r="H11" s="428">
        <f t="shared" si="5"/>
        <v>7</v>
      </c>
      <c r="I11" s="429">
        <f>+'No Deducible 93'!Y30</f>
        <v>0</v>
      </c>
      <c r="J11" s="429">
        <f>+'Deducible 151'!Y30</f>
        <v>0</v>
      </c>
      <c r="K11" s="429">
        <f>+'Deducible 185'!Y30</f>
        <v>0</v>
      </c>
      <c r="M11" s="430">
        <f t="shared" si="6"/>
        <v>7</v>
      </c>
      <c r="N11" s="430">
        <f t="shared" si="7"/>
        <v>36</v>
      </c>
      <c r="O11" s="431">
        <f>VLOOKUP(M11,'OptiMaxx plus'!$C$31:$W$55,18,0)</f>
        <v>832792.320556296</v>
      </c>
      <c r="P11" s="431">
        <f>O11-AL77</f>
        <v>813278.3130079629</v>
      </c>
      <c r="Q11" s="431">
        <f t="shared" si="8"/>
        <v>666233.8564450368</v>
      </c>
      <c r="R11" s="431">
        <f t="shared" si="0"/>
        <v>541315.0083615924</v>
      </c>
      <c r="S11" s="405">
        <f t="shared" si="9"/>
        <v>7</v>
      </c>
      <c r="T11" s="430">
        <f t="shared" si="9"/>
        <v>7</v>
      </c>
      <c r="U11" s="429">
        <f>+'OptiMaxx plus'!G37</f>
        <v>120000</v>
      </c>
      <c r="V11" s="432">
        <f>+U11*'OptiMaxx plus'!$T$15:$X$15+(V10*(1+'Deducible 151'!$L$20))</f>
        <v>0</v>
      </c>
      <c r="W11" s="429">
        <f>+'OptiMaxx plus'!G37</f>
        <v>120000</v>
      </c>
      <c r="X11" s="426">
        <f>+X10*(1+'No Deducible 93'!$G$18)</f>
        <v>174226.83693278828</v>
      </c>
      <c r="Y11" s="426">
        <f>+Y10*(1+'No Deducible 93'!$G$18)</f>
        <v>192328.49081139202</v>
      </c>
      <c r="Z11" s="427">
        <f t="shared" si="1"/>
        <v>120000</v>
      </c>
      <c r="AA11" s="427">
        <f t="shared" si="2"/>
        <v>120000</v>
      </c>
      <c r="AB11" s="433">
        <f>IF($AB$4=185,AA11*'OptiMaxx plus'!$T$15,Z11*'OptiMaxx plus'!$T$15)+(AB10*(1+$AC$5))</f>
        <v>113846.05200000003</v>
      </c>
      <c r="AC11" s="436"/>
      <c r="AE11" s="437"/>
      <c r="AF11" s="438"/>
      <c r="AG11" s="439"/>
      <c r="AH11" s="439"/>
    </row>
    <row r="12" spans="1:32" x14ac:dyDescent="0.25">
      <c r="A12" s="426">
        <f t="shared" si="3"/>
        <v>0.6666666666666666</v>
      </c>
      <c r="B12" s="427">
        <f>'OptiMaxx plus'!$T$7+A12</f>
        <v>29.666666666666668</v>
      </c>
      <c r="C12" s="428">
        <f t="shared" si="4"/>
        <v>8</v>
      </c>
      <c r="D12" s="429">
        <f>+'No Deducible 93'!AD31</f>
        <v>162617.77165910305</v>
      </c>
      <c r="E12" s="429">
        <f>+'Deducible 151'!AD31</f>
        <v>162426.67152685154</v>
      </c>
      <c r="F12" s="429">
        <f>+'Deducible 185'!AD31</f>
        <v>162617.77165910305</v>
      </c>
      <c r="H12" s="428">
        <f t="shared" si="5"/>
        <v>8</v>
      </c>
      <c r="I12" s="429">
        <f>+'No Deducible 93'!Y31</f>
        <v>0</v>
      </c>
      <c r="J12" s="429">
        <f>+'Deducible 151'!Y31</f>
        <v>0</v>
      </c>
      <c r="K12" s="429">
        <f>+'Deducible 185'!Y31</f>
        <v>0</v>
      </c>
      <c r="M12" s="430">
        <f t="shared" si="6"/>
        <v>8</v>
      </c>
      <c r="N12" s="430">
        <f t="shared" si="7"/>
        <v>37</v>
      </c>
      <c r="O12" s="431">
        <f>VLOOKUP(M12,'OptiMaxx plus'!$C$31:$W$55,18,0)</f>
        <v>1029463.3213582018</v>
      </c>
      <c r="P12" s="431">
        <f>O12-AM77</f>
        <v>1001168.3365632633</v>
      </c>
      <c r="Q12" s="431">
        <f t="shared" si="8"/>
        <v>823570.6570865614</v>
      </c>
      <c r="R12" s="431">
        <f t="shared" si="0"/>
        <v>669151.1588828312</v>
      </c>
      <c r="S12" s="405">
        <f t="shared" si="9"/>
        <v>8</v>
      </c>
      <c r="T12" s="430">
        <f t="shared" si="9"/>
        <v>8</v>
      </c>
      <c r="U12" s="429">
        <f>+'OptiMaxx plus'!G38</f>
        <v>120000</v>
      </c>
      <c r="V12" s="432">
        <f>+U12*'OptiMaxx plus'!$T$15:$X$15+(V11*(1+'Deducible 151'!$L$20))</f>
        <v>0</v>
      </c>
      <c r="W12" s="429">
        <f>+'OptiMaxx plus'!G38</f>
        <v>120000</v>
      </c>
      <c r="X12" s="426">
        <f>+X11*(1+'No Deducible 93'!$G$18)</f>
        <v>181195.9104100998</v>
      </c>
      <c r="Y12" s="426">
        <f>+Y11*(1+'No Deducible 93'!$G$18)</f>
        <v>200021.6304438477</v>
      </c>
      <c r="Z12" s="427">
        <f t="shared" si="1"/>
        <v>120000</v>
      </c>
      <c r="AA12" s="427">
        <f t="shared" si="2"/>
        <v>120000</v>
      </c>
      <c r="AB12" s="433">
        <f>IF($AB$4=185,AA12*'OptiMaxx plus'!$T$15,Z12*'OptiMaxx plus'!$T$15)+(AB11*(1+$AC$5))</f>
        <v>137230.65720000002</v>
      </c>
      <c r="AE12" s="440"/>
      <c r="AF12" s="438"/>
    </row>
    <row r="13" spans="1:50" x14ac:dyDescent="0.25">
      <c r="A13" s="426">
        <f t="shared" si="3"/>
        <v>0.75</v>
      </c>
      <c r="B13" s="427">
        <f>'OptiMaxx plus'!$T$7+A13</f>
        <v>29.75</v>
      </c>
      <c r="C13" s="428">
        <f t="shared" si="4"/>
        <v>9</v>
      </c>
      <c r="D13" s="429">
        <f>+'No Deducible 93'!AD32</f>
        <v>182164.67305885348</v>
      </c>
      <c r="E13" s="429">
        <f>+'Deducible 151'!AD32</f>
        <v>181827.49626161612</v>
      </c>
      <c r="F13" s="429">
        <f>+'Deducible 185'!AD32</f>
        <v>182164.67305885348</v>
      </c>
      <c r="H13" s="428">
        <f t="shared" si="5"/>
        <v>9</v>
      </c>
      <c r="I13" s="429">
        <f>+'No Deducible 93'!Y32</f>
        <v>0</v>
      </c>
      <c r="J13" s="429">
        <f>+'Deducible 151'!Y32</f>
        <v>0</v>
      </c>
      <c r="K13" s="429">
        <f>+'Deducible 185'!Y32</f>
        <v>0</v>
      </c>
      <c r="M13" s="430">
        <f t="shared" si="6"/>
        <v>9</v>
      </c>
      <c r="N13" s="430">
        <f t="shared" si="7"/>
        <v>38</v>
      </c>
      <c r="O13" s="431">
        <f>VLOOKUP(M13,'OptiMaxx plus'!$C$31:$W$55,18,0)</f>
        <v>1243169.576729271</v>
      </c>
      <c r="P13" s="431">
        <f>O13-AN77</f>
        <v>1203951.759150113</v>
      </c>
      <c r="Q13" s="431">
        <f t="shared" si="8"/>
        <v>994535.661383417</v>
      </c>
      <c r="R13" s="431">
        <f t="shared" si="0"/>
        <v>808060.2248740263</v>
      </c>
      <c r="S13" s="405">
        <f t="shared" si="9"/>
        <v>9</v>
      </c>
      <c r="T13" s="430">
        <f t="shared" si="9"/>
        <v>9</v>
      </c>
      <c r="U13" s="429">
        <f>+'OptiMaxx plus'!G39</f>
        <v>120000</v>
      </c>
      <c r="V13" s="432">
        <f>+U13*'OptiMaxx plus'!$T$15:$X$15+(V12*(1+'Deducible 151'!$L$20))</f>
        <v>0</v>
      </c>
      <c r="W13" s="429">
        <f>+'OptiMaxx plus'!G39</f>
        <v>120000</v>
      </c>
      <c r="X13" s="426">
        <f>+X12*(1+'No Deducible 93'!$G$18)</f>
        <v>188443.7468265038</v>
      </c>
      <c r="Y13" s="426">
        <f>+Y12*(1+'No Deducible 93'!$G$18)</f>
        <v>208022.49566160163</v>
      </c>
      <c r="Z13" s="427">
        <f t="shared" si="1"/>
        <v>120000</v>
      </c>
      <c r="AA13" s="427">
        <f t="shared" si="2"/>
        <v>120000</v>
      </c>
      <c r="AB13" s="433">
        <f>IF($AB$4=185,AA13*'OptiMaxx plus'!$T$15,Z13*'OptiMaxx plus'!$T$15)+(AB12*(1+$AC$5))</f>
        <v>162953.72292000003</v>
      </c>
      <c r="AE13" s="440"/>
      <c r="AF13" s="438"/>
      <c r="AH13" s="441">
        <v>151</v>
      </c>
      <c r="AI13" s="442" t="str">
        <f>+'Deducible 151'!AK37</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 Dicha retención actualmente es del 20%.</v>
      </c>
      <c r="AJ13" s="443"/>
      <c r="AK13" s="443"/>
      <c r="AL13" s="443"/>
      <c r="AM13" s="443"/>
      <c r="AN13" s="443"/>
      <c r="AO13" s="444" t="str">
        <f>+'Deducible 151'!AK42</f>
        <v>Todo retiro es acumulable al ingreso del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v>
      </c>
      <c r="AP13" s="445"/>
      <c r="AQ13" s="445"/>
      <c r="AR13" s="445"/>
      <c r="AS13" s="445"/>
      <c r="AT13" s="444" t="str">
        <f>+'Deducible 151'!AK32</f>
        <v>De acuerdo a la Ley del Impuesto Sobre la Renta, el monto total de las deducciones personales no podrá exceder de la cantidad que resulte menor entre 5 UMAS anuales o del 10% de los ingresos anuales percibidos. El fondo exento a edad 65 será el equivalente a 15 salarios mínimos anuales (dicha exención se podrá realizar cada año) o 90 salarios mínimos anuales en una sola exhibición. Sobre excedente se pagará 20%.</v>
      </c>
      <c r="AU13" s="445"/>
      <c r="AV13" s="445"/>
      <c r="AW13" s="445"/>
      <c r="AX13" s="445"/>
    </row>
    <row r="14" spans="1:50" x14ac:dyDescent="0.25">
      <c r="A14" s="426">
        <f t="shared" si="3"/>
        <v>0.8333333333333334</v>
      </c>
      <c r="B14" s="427">
        <f>'OptiMaxx plus'!$T$7+A14</f>
        <v>29.833333333333332</v>
      </c>
      <c r="C14" s="428">
        <f t="shared" si="4"/>
        <v>10</v>
      </c>
      <c r="D14" s="429">
        <f>+'No Deducible 93'!AD33</f>
        <v>203495.48924712703</v>
      </c>
      <c r="E14" s="429">
        <f>+'Deducible 151'!AD33</f>
        <v>203139.72899224074</v>
      </c>
      <c r="F14" s="429">
        <f>+'Deducible 185'!AD33</f>
        <v>203495.48924712703</v>
      </c>
      <c r="H14" s="428">
        <f t="shared" si="5"/>
        <v>10</v>
      </c>
      <c r="I14" s="429">
        <f>+'No Deducible 93'!Y33</f>
        <v>0</v>
      </c>
      <c r="J14" s="429">
        <f>+'Deducible 151'!Y33</f>
        <v>0</v>
      </c>
      <c r="K14" s="429">
        <f>+'Deducible 185'!Y33</f>
        <v>0</v>
      </c>
      <c r="M14" s="430">
        <f t="shared" si="6"/>
        <v>10</v>
      </c>
      <c r="N14" s="430">
        <f t="shared" si="7"/>
        <v>39</v>
      </c>
      <c r="O14" s="431">
        <f>VLOOKUP(M14,'OptiMaxx plus'!$C$31:$W$55,18,0)</f>
        <v>1475388.9786472104</v>
      </c>
      <c r="P14" s="431">
        <f>O14-AO77</f>
        <v>1422860.4484239125</v>
      </c>
      <c r="Q14" s="431">
        <f t="shared" si="8"/>
        <v>1180311.1829177684</v>
      </c>
      <c r="R14" s="431">
        <f t="shared" si="0"/>
        <v>959002.8361206868</v>
      </c>
      <c r="S14" s="405">
        <f t="shared" si="9"/>
        <v>10</v>
      </c>
      <c r="T14" s="430">
        <f t="shared" si="9"/>
        <v>10</v>
      </c>
      <c r="U14" s="429">
        <f>+'OptiMaxx plus'!G40</f>
        <v>120000</v>
      </c>
      <c r="V14" s="432">
        <f>+U14*'OptiMaxx plus'!$T$15:$X$15+(V13*(1+'Deducible 151'!$L$20))</f>
        <v>0</v>
      </c>
      <c r="W14" s="429">
        <f>+'OptiMaxx plus'!G40</f>
        <v>120000</v>
      </c>
      <c r="X14" s="426">
        <f>+X13*(1+'No Deducible 93'!$G$18)</f>
        <v>195981.49669956396</v>
      </c>
      <c r="Y14" s="426">
        <f>+Y13*(1+'No Deducible 93'!$G$18)</f>
        <v>216343.3954880657</v>
      </c>
      <c r="Z14" s="427">
        <f t="shared" si="1"/>
        <v>120000</v>
      </c>
      <c r="AA14" s="427">
        <f t="shared" si="2"/>
        <v>120000</v>
      </c>
      <c r="AB14" s="433">
        <f>IF($AB$4=185,AA14*'OptiMaxx plus'!$T$15,Z14*'OptiMaxx plus'!$T$15)+(AB13*(1+$AC$5))</f>
        <v>191249.09521200004</v>
      </c>
      <c r="AE14" s="440"/>
      <c r="AF14" s="438"/>
      <c r="AI14" s="443"/>
      <c r="AJ14" s="443"/>
      <c r="AK14" s="443"/>
      <c r="AL14" s="443"/>
      <c r="AM14" s="443"/>
      <c r="AN14" s="443"/>
      <c r="AO14" s="445"/>
      <c r="AP14" s="445"/>
      <c r="AQ14" s="445"/>
      <c r="AR14" s="445"/>
      <c r="AS14" s="445"/>
      <c r="AT14" s="445"/>
      <c r="AU14" s="445"/>
      <c r="AV14" s="445"/>
      <c r="AW14" s="445"/>
      <c r="AX14" s="445"/>
    </row>
    <row r="15" spans="1:50" x14ac:dyDescent="0.25">
      <c r="A15" s="426">
        <f t="shared" si="3"/>
        <v>0.9166666666666666</v>
      </c>
      <c r="B15" s="427">
        <f>'OptiMaxx plus'!$T$7+A15</f>
        <v>29.916666666666668</v>
      </c>
      <c r="C15" s="428">
        <f t="shared" si="4"/>
        <v>11</v>
      </c>
      <c r="D15" s="429">
        <f>+'No Deducible 93'!AD34</f>
        <v>224966.75845753154</v>
      </c>
      <c r="E15" s="429">
        <f>+'Deducible 151'!AD34</f>
        <v>224590.56205605075</v>
      </c>
      <c r="F15" s="429">
        <f>+'Deducible 185'!AD34</f>
        <v>224966.75845753154</v>
      </c>
      <c r="H15" s="428">
        <f t="shared" si="5"/>
        <v>11</v>
      </c>
      <c r="I15" s="429">
        <f>+'No Deducible 93'!Y34</f>
        <v>0</v>
      </c>
      <c r="J15" s="429">
        <f>+'Deducible 151'!Y34</f>
        <v>0</v>
      </c>
      <c r="K15" s="429">
        <f>+'Deducible 185'!Y34</f>
        <v>0</v>
      </c>
      <c r="M15" s="430">
        <f t="shared" si="6"/>
        <v>11</v>
      </c>
      <c r="N15" s="430">
        <f t="shared" si="7"/>
        <v>40</v>
      </c>
      <c r="O15" s="431">
        <f>VLOOKUP(M15,'OptiMaxx plus'!$C$31:$W$55,18,0)</f>
        <v>1727727.7270209037</v>
      </c>
      <c r="P15" s="431">
        <f>O15-AP77</f>
        <v>1659231.5547009208</v>
      </c>
      <c r="Q15" s="431">
        <f t="shared" si="8"/>
        <v>1382182.181616723</v>
      </c>
      <c r="R15" s="431">
        <f t="shared" si="0"/>
        <v>1123023.0225635874</v>
      </c>
      <c r="S15" s="405">
        <f t="shared" si="9"/>
        <v>11</v>
      </c>
      <c r="T15" s="430">
        <f t="shared" si="9"/>
        <v>11</v>
      </c>
      <c r="U15" s="429">
        <f>+'OptiMaxx plus'!G41</f>
        <v>120000</v>
      </c>
      <c r="V15" s="432">
        <f>+U15*'OptiMaxx plus'!$T$15:$X$15+(V14*(1+'Deducible 151'!$L$20))</f>
        <v>0</v>
      </c>
      <c r="W15" s="429">
        <f>+'OptiMaxx plus'!G41</f>
        <v>120000</v>
      </c>
      <c r="X15" s="426">
        <f>+X14*(1+'No Deducible 93'!$G$18)</f>
        <v>203820.75656754652</v>
      </c>
      <c r="Y15" s="426">
        <f>+Y14*(1+'No Deducible 93'!$G$18)</f>
        <v>224997.13130758834</v>
      </c>
      <c r="Z15" s="427">
        <f t="shared" si="1"/>
        <v>120000</v>
      </c>
      <c r="AA15" s="427">
        <f t="shared" si="2"/>
        <v>120000</v>
      </c>
      <c r="AB15" s="433">
        <f>IF($AB$4=185,AA15*'OptiMaxx plus'!$T$15,Z15*'OptiMaxx plus'!$T$15)+(AB14*(1+$AC$5))</f>
        <v>222374.00473320007</v>
      </c>
      <c r="AI15" s="443"/>
      <c r="AJ15" s="443"/>
      <c r="AK15" s="443"/>
      <c r="AL15" s="443"/>
      <c r="AM15" s="443"/>
      <c r="AN15" s="443"/>
      <c r="AO15" s="445"/>
      <c r="AP15" s="445"/>
      <c r="AQ15" s="445"/>
      <c r="AR15" s="445"/>
      <c r="AS15" s="445"/>
      <c r="AT15" s="445"/>
      <c r="AU15" s="445"/>
      <c r="AV15" s="445"/>
      <c r="AW15" s="445"/>
      <c r="AX15" s="445"/>
    </row>
    <row r="16" spans="1:50" x14ac:dyDescent="0.25">
      <c r="A16" s="426">
        <f t="shared" si="3"/>
        <v>1</v>
      </c>
      <c r="B16" s="427">
        <f>'OptiMaxx plus'!$T$7+A16</f>
        <v>30</v>
      </c>
      <c r="C16" s="428">
        <f t="shared" si="4"/>
        <v>12</v>
      </c>
      <c r="D16" s="429">
        <f>+'No Deducible 93'!AD35</f>
        <v>244359.08365423908</v>
      </c>
      <c r="E16" s="429">
        <f>+'Deducible 151'!AD35</f>
        <v>243787.13057390376</v>
      </c>
      <c r="F16" s="429">
        <f>+'Deducible 185'!AD35</f>
        <v>244359.08365423908</v>
      </c>
      <c r="H16" s="428">
        <f t="shared" si="5"/>
        <v>12</v>
      </c>
      <c r="I16" s="429">
        <f>+'No Deducible 93'!Y35</f>
        <v>0</v>
      </c>
      <c r="J16" s="429">
        <f>+'Deducible 151'!Y35</f>
        <v>0</v>
      </c>
      <c r="K16" s="429">
        <f>+'Deducible 185'!Y35</f>
        <v>0</v>
      </c>
      <c r="M16" s="430">
        <f t="shared" si="6"/>
        <v>12</v>
      </c>
      <c r="N16" s="430">
        <f t="shared" si="7"/>
        <v>41</v>
      </c>
      <c r="O16" s="431">
        <f>VLOOKUP(M16,'OptiMaxx plus'!$C$31:$W$55,18,0)</f>
        <v>2001931.4729017809</v>
      </c>
      <c r="P16" s="431">
        <f>O16-AQ77</f>
        <v>1914516.2478669914</v>
      </c>
      <c r="Q16" s="431">
        <f t="shared" si="8"/>
        <v>1601545.1783214249</v>
      </c>
      <c r="R16" s="431">
        <f t="shared" si="0"/>
        <v>1301255.4573861577</v>
      </c>
      <c r="S16" s="405">
        <f t="shared" si="9"/>
        <v>12</v>
      </c>
      <c r="T16" s="430">
        <f t="shared" si="9"/>
        <v>12</v>
      </c>
      <c r="U16" s="429">
        <f>+'OptiMaxx plus'!G42</f>
        <v>120000</v>
      </c>
      <c r="V16" s="432">
        <f>+U16*'OptiMaxx plus'!$T$15:$X$15+(V15*(1+'Deducible 151'!$L$20))</f>
        <v>0</v>
      </c>
      <c r="W16" s="429">
        <f>+'OptiMaxx plus'!G42</f>
        <v>120000</v>
      </c>
      <c r="X16" s="426">
        <f>+X15*(1+'No Deducible 93'!$G$18)</f>
        <v>211973.5868302484</v>
      </c>
      <c r="Y16" s="426">
        <f>+Y15*(1+'No Deducible 93'!$G$18)</f>
        <v>233997.01655989187</v>
      </c>
      <c r="Z16" s="427">
        <f t="shared" si="1"/>
        <v>120000</v>
      </c>
      <c r="AA16" s="427">
        <f t="shared" si="2"/>
        <v>120000</v>
      </c>
      <c r="AB16" s="433">
        <f>IF($AB$4=185,AA16*'OptiMaxx plus'!$T$15,Z16*'OptiMaxx plus'!$T$15)+(AB15*(1+$AC$5))</f>
        <v>256611.40520652008</v>
      </c>
      <c r="AI16" s="443"/>
      <c r="AJ16" s="443"/>
      <c r="AK16" s="443"/>
      <c r="AL16" s="443"/>
      <c r="AM16" s="443"/>
      <c r="AN16" s="443"/>
      <c r="AO16" s="445"/>
      <c r="AP16" s="445"/>
      <c r="AQ16" s="445"/>
      <c r="AR16" s="445"/>
      <c r="AS16" s="445"/>
      <c r="AT16" s="445"/>
      <c r="AU16" s="445"/>
      <c r="AV16" s="445"/>
      <c r="AW16" s="445"/>
      <c r="AX16" s="445"/>
    </row>
    <row r="17" spans="1:50" x14ac:dyDescent="0.25">
      <c r="A17" s="426">
        <f t="shared" si="3"/>
        <v>1.0833333333333333</v>
      </c>
      <c r="B17" s="427">
        <f>'OptiMaxx plus'!$T$7+A17</f>
        <v>30.083333333333332</v>
      </c>
      <c r="C17" s="428">
        <f t="shared" si="4"/>
        <v>13</v>
      </c>
      <c r="D17" s="429">
        <f>+'No Deducible 93'!AD36</f>
        <v>256037.43112656695</v>
      </c>
      <c r="E17" s="429">
        <f>+'Deducible 151'!AD36</f>
        <v>255440.26113053737</v>
      </c>
      <c r="F17" s="429">
        <f>+'Deducible 185'!AD36</f>
        <v>256037.43112656695</v>
      </c>
      <c r="H17" s="428">
        <f t="shared" si="5"/>
        <v>13</v>
      </c>
      <c r="I17" s="429">
        <f>+'No Deducible 93'!Y36</f>
        <v>0</v>
      </c>
      <c r="J17" s="429">
        <f>+'Deducible 151'!Y36</f>
        <v>0</v>
      </c>
      <c r="K17" s="429">
        <f>+'Deducible 185'!Y36</f>
        <v>0</v>
      </c>
      <c r="M17" s="430">
        <f t="shared" si="6"/>
        <v>13</v>
      </c>
      <c r="N17" s="430">
        <f t="shared" si="7"/>
        <v>42</v>
      </c>
      <c r="O17" s="431">
        <f>VLOOKUP(M17,'OptiMaxx plus'!$C$31:$W$55,18,0)</f>
        <v>2299897.429604201</v>
      </c>
      <c r="P17" s="431">
        <f>O17-AR77</f>
        <v>2190289.3497237735</v>
      </c>
      <c r="Q17" s="431">
        <f t="shared" si="8"/>
        <v>1839917.943683361</v>
      </c>
      <c r="R17" s="431">
        <f t="shared" si="0"/>
        <v>1494933.3292427307</v>
      </c>
      <c r="S17" s="405">
        <f t="shared" si="9"/>
        <v>13</v>
      </c>
      <c r="T17" s="430">
        <f t="shared" si="9"/>
        <v>13</v>
      </c>
      <c r="U17" s="429">
        <f>+'OptiMaxx plus'!G43</f>
        <v>120000</v>
      </c>
      <c r="V17" s="432">
        <f>+U17*'OptiMaxx plus'!$T$15:$X$15+(V16*(1+'Deducible 151'!$L$20))</f>
        <v>0</v>
      </c>
      <c r="W17" s="429">
        <f>+'OptiMaxx plus'!G43</f>
        <v>120000</v>
      </c>
      <c r="X17" s="426">
        <f>+X16*(1+'No Deducible 93'!$G$18)</f>
        <v>220452.53030345833</v>
      </c>
      <c r="Y17" s="426">
        <f>+Y16*(1+'No Deducible 93'!$G$18)</f>
        <v>243356.89722228755</v>
      </c>
      <c r="Z17" s="427">
        <f t="shared" si="1"/>
        <v>120000</v>
      </c>
      <c r="AA17" s="427">
        <f t="shared" si="2"/>
        <v>120000</v>
      </c>
      <c r="AB17" s="433">
        <f>IF($AB$4=185,AA17*'OptiMaxx plus'!$T$15,Z17*'OptiMaxx plus'!$T$15)+(AB16*(1+$AC$5))</f>
        <v>294272.5457271721</v>
      </c>
      <c r="AE17" s="439" t="s">
        <v>141</v>
      </c>
      <c r="AF17" s="439"/>
      <c r="AI17" s="443"/>
      <c r="AJ17" s="443"/>
      <c r="AK17" s="443"/>
      <c r="AL17" s="443"/>
      <c r="AM17" s="443"/>
      <c r="AN17" s="443"/>
      <c r="AO17" s="445"/>
      <c r="AP17" s="445"/>
      <c r="AQ17" s="445"/>
      <c r="AR17" s="445"/>
      <c r="AS17" s="445"/>
      <c r="AT17" s="445"/>
      <c r="AU17" s="445"/>
      <c r="AV17" s="445"/>
      <c r="AW17" s="445"/>
      <c r="AX17" s="445"/>
    </row>
    <row r="18" spans="1:31" x14ac:dyDescent="0.25">
      <c r="A18" s="426">
        <f t="shared" si="3"/>
        <v>1.1666666666666667</v>
      </c>
      <c r="B18" s="427">
        <f>'OptiMaxx plus'!$T$7+A18</f>
        <v>30.166666666666668</v>
      </c>
      <c r="C18" s="428">
        <f t="shared" si="4"/>
        <v>14</v>
      </c>
      <c r="D18" s="429">
        <f>+'No Deducible 93'!AD37</f>
        <v>267796.55182526074</v>
      </c>
      <c r="E18" s="429">
        <f>+'Deducible 151'!AD37</f>
        <v>267172.2320041988</v>
      </c>
      <c r="F18" s="429">
        <f>+'Deducible 185'!AD37</f>
        <v>267796.55182526074</v>
      </c>
      <c r="H18" s="428">
        <f t="shared" si="5"/>
        <v>14</v>
      </c>
      <c r="I18" s="429">
        <f>+'No Deducible 93'!Y37</f>
        <v>0</v>
      </c>
      <c r="J18" s="429">
        <f>+'Deducible 151'!Y37</f>
        <v>0</v>
      </c>
      <c r="K18" s="429">
        <f>+'Deducible 185'!Y37</f>
        <v>0</v>
      </c>
      <c r="M18" s="430">
        <f t="shared" si="6"/>
        <v>14</v>
      </c>
      <c r="N18" s="430">
        <f t="shared" si="7"/>
        <v>43</v>
      </c>
      <c r="O18" s="431">
        <f>VLOOKUP(M18,'OptiMaxx plus'!$C$31:$W$55,18,0)</f>
        <v>2623687.535814255</v>
      </c>
      <c r="P18" s="431">
        <f>O18-AS77</f>
        <v>2488259.870440524</v>
      </c>
      <c r="Q18" s="431">
        <f t="shared" si="8"/>
        <v>2098950.028651404</v>
      </c>
      <c r="R18" s="431">
        <f t="shared" si="0"/>
        <v>1705396.8982792657</v>
      </c>
      <c r="S18" s="405">
        <f t="shared" si="9"/>
        <v>14</v>
      </c>
      <c r="T18" s="430">
        <f t="shared" si="9"/>
        <v>14</v>
      </c>
      <c r="U18" s="429">
        <f>+'OptiMaxx plus'!G44</f>
        <v>120000</v>
      </c>
      <c r="V18" s="432">
        <f>+U18*'OptiMaxx plus'!$T$15:$X$15+(V17*(1+'Deducible 151'!$L$20))</f>
        <v>0</v>
      </c>
      <c r="W18" s="429">
        <f>+'OptiMaxx plus'!G44</f>
        <v>120000</v>
      </c>
      <c r="X18" s="426">
        <f>+X17*(1+'No Deducible 93'!$G$18)</f>
        <v>229270.63151559667</v>
      </c>
      <c r="Y18" s="426">
        <f>+Y17*(1+'No Deducible 93'!$G$18)</f>
        <v>253091.17311117906</v>
      </c>
      <c r="Z18" s="427">
        <f t="shared" si="1"/>
        <v>120000</v>
      </c>
      <c r="AA18" s="427">
        <f t="shared" si="2"/>
        <v>120000</v>
      </c>
      <c r="AB18" s="433">
        <f>IF($AB$4=185,AA18*'OptiMaxx plus'!$T$15,Z18*'OptiMaxx plus'!$T$15)+(AB17*(1+$AC$5))</f>
        <v>335699.80029988935</v>
      </c>
      <c r="AD18" s="446">
        <v>93</v>
      </c>
      <c r="AE18" s="402">
        <f>VLOOKUP(AD25,$B$5:$F$568,3,0)</f>
        <v>25259701.59892304</v>
      </c>
    </row>
    <row r="19" ht="12" customHeight="1" spans="1:62" x14ac:dyDescent="0.25">
      <c r="A19" s="426">
        <f t="shared" si="3"/>
        <v>1.25</v>
      </c>
      <c r="B19" s="427">
        <f>'OptiMaxx plus'!$T$7+A19</f>
        <v>30.25</v>
      </c>
      <c r="C19" s="428">
        <f t="shared" si="4"/>
        <v>15</v>
      </c>
      <c r="D19" s="429">
        <f>+'No Deducible 93'!AD38</f>
        <v>277119.1508974299</v>
      </c>
      <c r="E19" s="429">
        <f>+'Deducible 151'!AD38</f>
        <v>276249.0308818632</v>
      </c>
      <c r="F19" s="429">
        <f>+'Deducible 185'!AD38</f>
        <v>277119.1508974299</v>
      </c>
      <c r="H19" s="428">
        <f t="shared" si="5"/>
        <v>15</v>
      </c>
      <c r="I19" s="429">
        <f>+'No Deducible 93'!Y38</f>
        <v>0</v>
      </c>
      <c r="J19" s="429">
        <f>+'Deducible 151'!Y38</f>
        <v>0</v>
      </c>
      <c r="K19" s="429">
        <f>+'Deducible 185'!Y38</f>
        <v>0</v>
      </c>
      <c r="M19" s="430">
        <f t="shared" si="6"/>
        <v>15</v>
      </c>
      <c r="N19" s="430">
        <f t="shared" si="7"/>
        <v>44</v>
      </c>
      <c r="O19" s="431">
        <f>VLOOKUP(M19,'OptiMaxx plus'!$C$31:$W$55,18,0)</f>
        <v>2975542.762070385</v>
      </c>
      <c r="P19" s="431">
        <f>O19-AT77</f>
        <v>2810282.4948707875</v>
      </c>
      <c r="Q19" s="431">
        <f t="shared" si="8"/>
        <v>2380434.209656308</v>
      </c>
      <c r="R19" s="431">
        <f t="shared" si="0"/>
        <v>1934102.7953457502</v>
      </c>
      <c r="S19" s="405">
        <f t="shared" si="9"/>
        <v>15</v>
      </c>
      <c r="T19" s="430">
        <f t="shared" si="9"/>
        <v>15</v>
      </c>
      <c r="U19" s="429">
        <f>+'OptiMaxx plus'!G45</f>
        <v>120000</v>
      </c>
      <c r="V19" s="432">
        <f>+U19*'OptiMaxx plus'!$T$15:$X$15+(V18*(1+'Deducible 151'!$L$20))</f>
        <v>0</v>
      </c>
      <c r="W19" s="429">
        <f>+'OptiMaxx plus'!G45</f>
        <v>120000</v>
      </c>
      <c r="X19" s="426">
        <f>+X18*(1+'No Deducible 93'!$G$18)</f>
        <v>238441.45677622056</v>
      </c>
      <c r="Y19" s="426">
        <f>+Y18*(1+'No Deducible 93'!$G$18)</f>
        <v>263214.82003562624</v>
      </c>
      <c r="Z19" s="427">
        <f t="shared" si="1"/>
        <v>120000</v>
      </c>
      <c r="AA19" s="427">
        <f t="shared" si="2"/>
        <v>120000</v>
      </c>
      <c r="AB19" s="433">
        <f>IF($AB$4=185,AA19*'OptiMaxx plus'!$T$15,Z19*'OptiMaxx plus'!$T$15)+(AB18*(1+$AC$5))</f>
        <v>381269.7803298783</v>
      </c>
      <c r="AD19" s="446">
        <v>151</v>
      </c>
      <c r="AE19" s="402">
        <f>VLOOKUP(AD25,$B$5:$F$568,4,0)</f>
        <v>23887644.023316383</v>
      </c>
      <c r="AH19" s="441">
        <v>185</v>
      </c>
      <c r="AI19" s="442" t="str">
        <f>+'Deducible 185'!AK31</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v>
      </c>
      <c r="AJ19" s="443"/>
      <c r="AK19" s="443"/>
      <c r="AL19" s="443"/>
      <c r="AM19" s="443"/>
      <c r="AN19" s="443"/>
      <c r="AO19" s="444" t="str">
        <f>+'Deducible 185'!AK36</f>
        <v>Todo retiro es acumulable al ingreso de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v>
      </c>
      <c r="AP19" s="445"/>
      <c r="AQ19" s="445"/>
      <c r="AR19" s="445"/>
      <c r="AS19" s="445"/>
      <c r="AT19" s="444" t="s">
        <v>142</v>
      </c>
      <c r="AU19" s="445"/>
      <c r="AV19" s="445"/>
      <c r="AW19" s="445"/>
      <c r="AX19" s="445"/>
      <c r="AY19" s="444"/>
      <c r="AZ19" s="445"/>
      <c r="BA19" s="445"/>
      <c r="BB19" s="445"/>
      <c r="BC19" s="445"/>
      <c r="BD19" s="444"/>
      <c r="BE19" s="445"/>
      <c r="BF19" s="445"/>
      <c r="BG19" s="445"/>
      <c r="BH19" s="445"/>
      <c r="BI19" s="444"/>
      <c r="BJ19" s="445"/>
    </row>
    <row r="20" ht="12" customHeight="1" spans="1:62" x14ac:dyDescent="0.25">
      <c r="A20" s="426">
        <f t="shared" si="3"/>
        <v>1.3333333333333333</v>
      </c>
      <c r="B20" s="427">
        <f>'OptiMaxx plus'!$T$7+A20</f>
        <v>30.333333333333332</v>
      </c>
      <c r="C20" s="428">
        <f t="shared" si="4"/>
        <v>16</v>
      </c>
      <c r="D20" s="429">
        <f>+'No Deducible 93'!AD39</f>
        <v>289024.81804147916</v>
      </c>
      <c r="E20" s="429">
        <f>+'Deducible 151'!AD39</f>
        <v>288122.3565858541</v>
      </c>
      <c r="F20" s="429">
        <f>+'Deducible 185'!AD39</f>
        <v>289024.81804147916</v>
      </c>
      <c r="H20" s="428">
        <f t="shared" si="5"/>
        <v>16</v>
      </c>
      <c r="I20" s="429">
        <f>+'No Deducible 93'!Y39</f>
        <v>0</v>
      </c>
      <c r="J20" s="429">
        <f>+'Deducible 151'!Y39</f>
        <v>0</v>
      </c>
      <c r="K20" s="429">
        <f>+'Deducible 185'!Y39</f>
        <v>0</v>
      </c>
      <c r="M20" s="430">
        <f t="shared" si="6"/>
        <v>16</v>
      </c>
      <c r="N20" s="430">
        <f t="shared" si="7"/>
        <v>45</v>
      </c>
      <c r="O20" s="431">
        <f>VLOOKUP(M20,'OptiMaxx plus'!$C$31:$W$55,18,0)</f>
        <v>3357898.6599376677</v>
      </c>
      <c r="P20" s="431">
        <f>O20-AU77</f>
        <v>3158370.084561844</v>
      </c>
      <c r="Q20" s="431">
        <f t="shared" si="8"/>
        <v>2686318.9279501345</v>
      </c>
      <c r="R20" s="431">
        <f t="shared" si="0"/>
        <v>2182634.128959484</v>
      </c>
      <c r="S20" s="405">
        <f t="shared" si="9"/>
        <v>16</v>
      </c>
      <c r="T20" s="430">
        <f t="shared" si="9"/>
        <v>16</v>
      </c>
      <c r="U20" s="429">
        <f>+'OptiMaxx plus'!G46</f>
        <v>120000</v>
      </c>
      <c r="V20" s="432">
        <f>+U20*'OptiMaxx plus'!$T$15:$X$15+(V19*(1+'Deducible 151'!$L$20))</f>
        <v>0</v>
      </c>
      <c r="W20" s="429">
        <f>+'OptiMaxx plus'!G46</f>
        <v>120000</v>
      </c>
      <c r="X20" s="426">
        <f>+X19*(1+'No Deducible 93'!$G$18)</f>
        <v>247979.11504726938</v>
      </c>
      <c r="Y20" s="426">
        <f>+Y19*(1+'No Deducible 93'!$G$18)</f>
        <v>273743.4128370513</v>
      </c>
      <c r="Z20" s="427">
        <f t="shared" si="1"/>
        <v>120000</v>
      </c>
      <c r="AA20" s="427">
        <f t="shared" si="2"/>
        <v>120000</v>
      </c>
      <c r="AB20" s="433">
        <f>IF($AB$4=185,AA20*'OptiMaxx plus'!$T$15,Z20*'OptiMaxx plus'!$T$15)+(AB19*(1+$AC$5))</f>
        <v>431396.7583628662</v>
      </c>
      <c r="AD20" s="446">
        <v>185</v>
      </c>
      <c r="AE20" s="402">
        <f>VLOOKUP(AD25,$B$5:$F$568,5,0)</f>
        <v>25259701.59892304</v>
      </c>
      <c r="AI20" s="443"/>
      <c r="AJ20" s="443"/>
      <c r="AK20" s="443"/>
      <c r="AL20" s="443"/>
      <c r="AM20" s="443"/>
      <c r="AN20" s="443"/>
      <c r="AO20" s="445"/>
      <c r="AP20" s="445"/>
      <c r="AQ20" s="445"/>
      <c r="AR20" s="445"/>
      <c r="AS20" s="445"/>
      <c r="AT20" s="445"/>
      <c r="AU20" s="445"/>
      <c r="AV20" s="445"/>
      <c r="AW20" s="445"/>
      <c r="AX20" s="445"/>
      <c r="AY20" s="445"/>
      <c r="AZ20" s="445"/>
      <c r="BA20" s="445"/>
      <c r="BB20" s="445"/>
      <c r="BC20" s="445"/>
      <c r="BD20" s="445"/>
      <c r="BE20" s="445"/>
      <c r="BF20" s="445"/>
      <c r="BG20" s="445"/>
      <c r="BH20" s="445"/>
      <c r="BI20" s="445"/>
      <c r="BJ20" s="445"/>
    </row>
    <row r="21" ht="12" customHeight="1" spans="1:62" x14ac:dyDescent="0.25">
      <c r="A21" s="426">
        <f t="shared" si="3"/>
        <v>1.4166666666666667</v>
      </c>
      <c r="B21" s="427">
        <f>'OptiMaxx plus'!$T$7+A21</f>
        <v>30.416666666666668</v>
      </c>
      <c r="C21" s="428">
        <f t="shared" si="4"/>
        <v>17</v>
      </c>
      <c r="D21" s="429">
        <f>+'No Deducible 93'!AD40</f>
        <v>301012.8364255179</v>
      </c>
      <c r="E21" s="429">
        <f>+'Deducible 151'!AD40</f>
        <v>300076.0166425721</v>
      </c>
      <c r="F21" s="429">
        <f>+'Deducible 185'!AD40</f>
        <v>301012.8364255179</v>
      </c>
      <c r="H21" s="428">
        <f t="shared" si="5"/>
        <v>17</v>
      </c>
      <c r="I21" s="429">
        <f>+'No Deducible 93'!Y40</f>
        <v>0</v>
      </c>
      <c r="J21" s="429">
        <f>+'Deducible 151'!Y40</f>
        <v>0</v>
      </c>
      <c r="K21" s="429">
        <f>+'Deducible 185'!Y40</f>
        <v>0</v>
      </c>
      <c r="M21" s="430">
        <f t="shared" si="6"/>
        <v>17</v>
      </c>
      <c r="N21" s="430">
        <f t="shared" si="7"/>
        <v>46</v>
      </c>
      <c r="O21" s="431">
        <f>VLOOKUP(M21,'OptiMaxx plus'!$C$31:$W$55,18,0)</f>
        <v>3773402.2618257343</v>
      </c>
      <c r="P21" s="431">
        <f>O21-AV77</f>
        <v>3534707.274662452</v>
      </c>
      <c r="Q21" s="431">
        <f t="shared" si="8"/>
        <v>3018721.809460588</v>
      </c>
      <c r="R21" s="431">
        <f t="shared" si="0"/>
        <v>2452711.4701867276</v>
      </c>
      <c r="S21" s="405">
        <f t="shared" si="9"/>
        <v>17</v>
      </c>
      <c r="T21" s="430">
        <f t="shared" si="9"/>
        <v>17</v>
      </c>
      <c r="U21" s="429">
        <f>+'OptiMaxx plus'!G47</f>
        <v>120000</v>
      </c>
      <c r="V21" s="432">
        <f>+U21*'OptiMaxx plus'!$T$15:$X$15+(V20*(1+'Deducible 151'!$L$20))</f>
        <v>0</v>
      </c>
      <c r="W21" s="429">
        <f>+'OptiMaxx plus'!G47</f>
        <v>120000</v>
      </c>
      <c r="X21" s="426">
        <f>+X20*(1+'No Deducible 93'!$G$18)</f>
        <v>257898.27964916016</v>
      </c>
      <c r="Y21" s="426">
        <f>+Y20*(1+'No Deducible 93'!$G$18)</f>
        <v>284693.1493505334</v>
      </c>
      <c r="Z21" s="427">
        <f t="shared" si="1"/>
        <v>120000</v>
      </c>
      <c r="AA21" s="427">
        <f t="shared" si="2"/>
        <v>120000</v>
      </c>
      <c r="AB21" s="433">
        <f>IF($AB$4=185,AA21*'OptiMaxx plus'!$T$15,Z21*'OptiMaxx plus'!$T$15)+(AB20*(1+$AC$5))</f>
        <v>486536.43419915286</v>
      </c>
      <c r="AI21" s="443"/>
      <c r="AJ21" s="443"/>
      <c r="AK21" s="443"/>
      <c r="AL21" s="443"/>
      <c r="AM21" s="443"/>
      <c r="AN21" s="443"/>
      <c r="AO21" s="445"/>
      <c r="AP21" s="445"/>
      <c r="AQ21" s="445"/>
      <c r="AR21" s="445"/>
      <c r="AS21" s="445"/>
      <c r="AT21" s="445"/>
      <c r="AU21" s="445"/>
      <c r="AV21" s="445"/>
      <c r="AW21" s="445"/>
      <c r="AX21" s="445"/>
      <c r="AY21" s="445"/>
      <c r="AZ21" s="445"/>
      <c r="BA21" s="445"/>
      <c r="BB21" s="445"/>
      <c r="BC21" s="445"/>
      <c r="BD21" s="445"/>
      <c r="BE21" s="445"/>
      <c r="BF21" s="445"/>
      <c r="BG21" s="445"/>
      <c r="BH21" s="445"/>
      <c r="BI21" s="445"/>
      <c r="BJ21" s="445"/>
    </row>
    <row r="22" ht="12" customHeight="1" spans="1:62" x14ac:dyDescent="0.25">
      <c r="A22" s="426">
        <f t="shared" si="3"/>
        <v>1.5</v>
      </c>
      <c r="B22" s="427">
        <f>'OptiMaxx plus'!$T$7+A22</f>
        <v>30.5</v>
      </c>
      <c r="C22" s="428">
        <f t="shared" si="4"/>
        <v>18</v>
      </c>
      <c r="D22" s="429">
        <f>+'No Deducible 93'!AD41</f>
        <v>310264.89052233915</v>
      </c>
      <c r="E22" s="429">
        <f>+'Deducible 151'!AD41</f>
        <v>309031.86144999554</v>
      </c>
      <c r="F22" s="429">
        <f>+'Deducible 185'!AD41</f>
        <v>310264.89052233915</v>
      </c>
      <c r="H22" s="428">
        <f t="shared" si="5"/>
        <v>18</v>
      </c>
      <c r="I22" s="429">
        <f>+'No Deducible 93'!Y41</f>
        <v>0</v>
      </c>
      <c r="J22" s="429">
        <f>+'Deducible 151'!Y41</f>
        <v>0</v>
      </c>
      <c r="K22" s="429">
        <f>+'Deducible 185'!Y41</f>
        <v>0</v>
      </c>
      <c r="M22" s="430">
        <f t="shared" si="6"/>
        <v>18</v>
      </c>
      <c r="N22" s="430">
        <f t="shared" si="7"/>
        <v>47</v>
      </c>
      <c r="O22" s="431">
        <f>VLOOKUP(M22,'OptiMaxx plus'!$C$31:$W$55,18,0)</f>
        <v>4224930.448777985</v>
      </c>
      <c r="P22" s="431">
        <f>O22-AW77</f>
        <v>3941665.255683691</v>
      </c>
      <c r="Q22" s="431">
        <f t="shared" si="8"/>
        <v>3379944.3590223882</v>
      </c>
      <c r="R22" s="431">
        <f t="shared" si="0"/>
        <v>2746204.7917056903</v>
      </c>
      <c r="S22" s="405">
        <f t="shared" si="9"/>
        <v>18</v>
      </c>
      <c r="T22" s="430">
        <f t="shared" si="9"/>
        <v>18</v>
      </c>
      <c r="U22" s="429">
        <f>+'OptiMaxx plus'!G48</f>
        <v>120000</v>
      </c>
      <c r="V22" s="432">
        <f>+U22*'OptiMaxx plus'!$T$15:$X$15+(V21*(1+'Deducible 151'!$L$20))</f>
        <v>0</v>
      </c>
      <c r="W22" s="429">
        <f>+'OptiMaxx plus'!G48</f>
        <v>120000</v>
      </c>
      <c r="X22" s="426">
        <f>+X21*(1+'No Deducible 93'!$G$18)</f>
        <v>268214.2108351266</v>
      </c>
      <c r="Y22" s="426">
        <f>+Y21*(1+'No Deducible 93'!$G$18)</f>
        <v>296080.87532455474</v>
      </c>
      <c r="Z22" s="427">
        <f t="shared" si="1"/>
        <v>120000</v>
      </c>
      <c r="AA22" s="427">
        <f t="shared" si="2"/>
        <v>120000</v>
      </c>
      <c r="AB22" s="433">
        <f>IF($AB$4=185,AA22*'OptiMaxx plus'!$T$15,Z22*'OptiMaxx plus'!$T$15)+(AB21*(1+$AC$5))</f>
        <v>547190.0776190682</v>
      </c>
      <c r="AD22" s="447" t="s">
        <v>143</v>
      </c>
      <c r="AF22" s="447" t="s">
        <v>134</v>
      </c>
      <c r="AI22" s="443"/>
      <c r="AJ22" s="443"/>
      <c r="AK22" s="443"/>
      <c r="AL22" s="443"/>
      <c r="AM22" s="443"/>
      <c r="AN22" s="443"/>
      <c r="AO22" s="445"/>
      <c r="AP22" s="445"/>
      <c r="AQ22" s="445"/>
      <c r="AR22" s="445"/>
      <c r="AS22" s="445"/>
      <c r="AT22" s="445"/>
      <c r="AU22" s="445"/>
      <c r="AV22" s="445"/>
      <c r="AW22" s="445"/>
      <c r="AX22" s="445"/>
      <c r="AY22" s="445"/>
      <c r="AZ22" s="445"/>
      <c r="BA22" s="445"/>
      <c r="BB22" s="445"/>
      <c r="BC22" s="445"/>
      <c r="BD22" s="445"/>
      <c r="BE22" s="445"/>
      <c r="BF22" s="445"/>
      <c r="BG22" s="445"/>
      <c r="BH22" s="445"/>
      <c r="BI22" s="445"/>
      <c r="BJ22" s="445"/>
    </row>
    <row r="23" ht="12" customHeight="1" spans="1:62" x14ac:dyDescent="0.25">
      <c r="A23" s="426">
        <f t="shared" si="3"/>
        <v>1.5833333333333333</v>
      </c>
      <c r="B23" s="427">
        <f>'OptiMaxx plus'!$T$7+A23</f>
        <v>30.583333333333332</v>
      </c>
      <c r="C23" s="428">
        <f t="shared" si="4"/>
        <v>19</v>
      </c>
      <c r="D23" s="429">
        <f>+'No Deducible 93'!AD42</f>
        <v>322321.30748404266</v>
      </c>
      <c r="E23" s="429">
        <f>+'Deducible 151'!AD42</f>
        <v>321035.7384327221</v>
      </c>
      <c r="F23" s="429">
        <f>+'Deducible 185'!AD42</f>
        <v>322321.30748404266</v>
      </c>
      <c r="H23" s="428">
        <f t="shared" si="5"/>
        <v>19</v>
      </c>
      <c r="I23" s="429">
        <f>+'No Deducible 93'!Y42</f>
        <v>9990.41366288475</v>
      </c>
      <c r="J23" s="429">
        <f>+'Deducible 151'!Y42</f>
        <v>9976.227860368861</v>
      </c>
      <c r="K23" s="429">
        <f>+'Deducible 185'!Y42</f>
        <v>9990.41366288475</v>
      </c>
      <c r="M23" s="430">
        <f t="shared" si="6"/>
        <v>19</v>
      </c>
      <c r="N23" s="430">
        <f t="shared" si="7"/>
        <v>48</v>
      </c>
      <c r="O23" s="431">
        <f>VLOOKUP(M23,'OptiMaxx plus'!$C$31:$W$55,18,0)</f>
        <v>4715609.913751885</v>
      </c>
      <c r="P23" s="431">
        <f>O23-AX77</f>
        <v>4381817.839935919</v>
      </c>
      <c r="Q23" s="431">
        <f t="shared" si="8"/>
        <v>3772487.9310015086</v>
      </c>
      <c r="R23" s="431">
        <f t="shared" si="0"/>
        <v>3065146.4439387256</v>
      </c>
      <c r="S23" s="405">
        <f t="shared" si="9"/>
        <v>19</v>
      </c>
      <c r="T23" s="430">
        <f t="shared" si="9"/>
        <v>19</v>
      </c>
      <c r="U23" s="429">
        <f>+'OptiMaxx plus'!G49</f>
        <v>120000</v>
      </c>
      <c r="V23" s="432">
        <f>+U23*'OptiMaxx plus'!$T$15:$X$15+(V22*(1+'Deducible 151'!$L$20))</f>
        <v>0</v>
      </c>
      <c r="W23" s="429">
        <f>+'OptiMaxx plus'!G49</f>
        <v>120000</v>
      </c>
      <c r="X23" s="426">
        <f>+X22*(1+'No Deducible 93'!$G$18)</f>
        <v>278942.77926853165</v>
      </c>
      <c r="Y23" s="426">
        <f>+Y22*(1+'No Deducible 93'!$G$18)</f>
        <v>307924.11033753696</v>
      </c>
      <c r="Z23" s="427">
        <f t="shared" si="1"/>
        <v>120000</v>
      </c>
      <c r="AA23" s="427">
        <f t="shared" si="2"/>
        <v>120000</v>
      </c>
      <c r="AB23" s="433">
        <f>IF($AB$4=185,AA23*'OptiMaxx plus'!$T$15,Z23*'OptiMaxx plus'!$T$15)+(AB22*(1+$AC$5))</f>
        <v>613909.085380975</v>
      </c>
      <c r="AD23" s="448">
        <f>('OptiMaxx plus'!D15+'OptiMaxx plus'!T7)</f>
        <v>54</v>
      </c>
      <c r="AF23" s="447">
        <v>65</v>
      </c>
      <c r="AI23" s="443"/>
      <c r="AJ23" s="443"/>
      <c r="AK23" s="443"/>
      <c r="AL23" s="443"/>
      <c r="AM23" s="443"/>
      <c r="AN23" s="443"/>
      <c r="AT23" s="445"/>
      <c r="AU23" s="445"/>
      <c r="AV23" s="445"/>
      <c r="AW23" s="445"/>
      <c r="AX23" s="445"/>
      <c r="AY23" s="445"/>
      <c r="AZ23" s="445"/>
      <c r="BA23" s="445"/>
      <c r="BB23" s="445"/>
      <c r="BC23" s="445"/>
      <c r="BD23" s="445"/>
      <c r="BE23" s="445"/>
      <c r="BF23" s="445"/>
      <c r="BG23" s="445"/>
      <c r="BH23" s="445"/>
      <c r="BI23" s="445"/>
      <c r="BJ23" s="445"/>
    </row>
    <row r="24" spans="1:36" x14ac:dyDescent="0.25">
      <c r="A24" s="426">
        <f t="shared" si="3"/>
        <v>1.6666666666666667</v>
      </c>
      <c r="B24" s="427">
        <f>'OptiMaxx plus'!$T$7+A24</f>
        <v>30.666666666666668</v>
      </c>
      <c r="C24" s="428">
        <f t="shared" si="4"/>
        <v>20</v>
      </c>
      <c r="D24" s="429">
        <f>+'No Deducible 93'!AD43</f>
        <v>334461.12024824764</v>
      </c>
      <c r="E24" s="429">
        <f>+'Deducible 151'!AD43</f>
        <v>333120.83374550723</v>
      </c>
      <c r="F24" s="429">
        <f>+'Deducible 185'!AD43</f>
        <v>334461.12024824764</v>
      </c>
      <c r="H24" s="428">
        <f t="shared" si="5"/>
        <v>20</v>
      </c>
      <c r="I24" s="429">
        <f>+'No Deducible 93'!Y43</f>
        <v>20050.422208635802</v>
      </c>
      <c r="J24" s="429">
        <f>+'Deducible 151'!Y43</f>
        <v>20020.342858192405</v>
      </c>
      <c r="K24" s="429">
        <f>+'Deducible 185'!Y43</f>
        <v>20050.422208635802</v>
      </c>
      <c r="M24" s="430">
        <f t="shared" si="6"/>
        <v>20</v>
      </c>
      <c r="N24" s="430">
        <f t="shared" si="7"/>
        <v>49</v>
      </c>
      <c r="O24" s="431">
        <f>VLOOKUP(M24,'OptiMaxx plus'!$C$31:$W$55,18,0)</f>
        <v>5248838.858988065</v>
      </c>
      <c r="P24" s="431">
        <f>O24-AY77</f>
        <v>4857958.922274027</v>
      </c>
      <c r="Q24" s="431">
        <f t="shared" si="8"/>
        <v>4199071.087190452</v>
      </c>
      <c r="R24" s="431">
        <f t="shared" si="0"/>
        <v>3411745.2583422423</v>
      </c>
      <c r="S24" s="405">
        <f t="shared" si="9"/>
        <v>20</v>
      </c>
      <c r="T24" s="430">
        <f t="shared" si="9"/>
        <v>20</v>
      </c>
      <c r="U24" s="429">
        <f>+'OptiMaxx plus'!G50</f>
        <v>120000</v>
      </c>
      <c r="V24" s="432">
        <f>+U24*'OptiMaxx plus'!$T$15:$X$15+(V23*(1+'Deducible 151'!$L$20))</f>
        <v>0</v>
      </c>
      <c r="W24" s="429">
        <f>+'OptiMaxx plus'!G50</f>
        <v>120000</v>
      </c>
      <c r="X24" s="426">
        <f>+X23*(1+'No Deducible 93'!$G$18)</f>
        <v>290100.49043927295</v>
      </c>
      <c r="Y24" s="426">
        <f>+Y23*(1+'No Deducible 93'!$G$18)</f>
        <v>320241.07475103845</v>
      </c>
      <c r="Z24" s="427">
        <f t="shared" si="1"/>
        <v>120000</v>
      </c>
      <c r="AA24" s="427">
        <f t="shared" si="2"/>
        <v>120000</v>
      </c>
      <c r="AB24" s="433">
        <f>IF($AB$4=185,AA24*'OptiMaxx plus'!$T$15,Z24*'OptiMaxx plus'!$T$15)+(AB23*(1+$AC$5))</f>
        <v>687299.9939190726</v>
      </c>
      <c r="AI24" s="404"/>
      <c r="AJ24" s="404"/>
    </row>
    <row r="25" spans="1:45" x14ac:dyDescent="0.25">
      <c r="A25" s="426">
        <f t="shared" si="3"/>
        <v>1.75</v>
      </c>
      <c r="B25" s="427">
        <f>'OptiMaxx plus'!$T$7+A25</f>
        <v>30.75</v>
      </c>
      <c r="C25" s="428">
        <f t="shared" si="4"/>
        <v>21</v>
      </c>
      <c r="D25" s="429">
        <f>+'No Deducible 93'!AD44</f>
        <v>343835.22416029003</v>
      </c>
      <c r="E25" s="429">
        <f>+'Deducible 151'!AD44</f>
        <v>342178.9353328852</v>
      </c>
      <c r="F25" s="429">
        <f>+'Deducible 185'!AD44</f>
        <v>343835.22416029003</v>
      </c>
      <c r="H25" s="428">
        <f t="shared" si="5"/>
        <v>21</v>
      </c>
      <c r="I25" s="429">
        <f>+'No Deducible 93'!Y44</f>
        <v>30180.510446780037</v>
      </c>
      <c r="J25" s="429">
        <f>+'Deducible 151'!Y44</f>
        <v>30132.806958002344</v>
      </c>
      <c r="K25" s="429">
        <f>+'Deducible 185'!Y44</f>
        <v>30180.510446780037</v>
      </c>
      <c r="M25" s="430">
        <f t="shared" si="6"/>
        <v>21</v>
      </c>
      <c r="N25" s="430">
        <f t="shared" si="7"/>
        <v>50</v>
      </c>
      <c r="O25" s="431">
        <f>VLOOKUP(M25,'OptiMaxx plus'!$C$31:$W$55,18,0)</f>
        <v>5828310.578105759</v>
      </c>
      <c r="P25" s="431">
        <f>O25-AZ77</f>
        <v>5373121.45495905</v>
      </c>
      <c r="Q25" s="431">
        <f t="shared" si="8"/>
        <v>4662648.4624846075</v>
      </c>
      <c r="R25" s="431">
        <f t="shared" si="0"/>
        <v>3788401.8757687435</v>
      </c>
      <c r="S25" s="405">
        <f t="shared" si="9"/>
        <v>21</v>
      </c>
      <c r="T25" s="430">
        <f t="shared" si="9"/>
        <v>21</v>
      </c>
      <c r="U25" s="429">
        <f>+'OptiMaxx plus'!G51</f>
        <v>120000</v>
      </c>
      <c r="V25" s="432">
        <f>+U25*'OptiMaxx plus'!$T$15:$X$15+(V24*(1+'Deducible 151'!$L$20))</f>
        <v>0</v>
      </c>
      <c r="W25" s="429">
        <f>+'OptiMaxx plus'!G51</f>
        <v>120000</v>
      </c>
      <c r="X25" s="426">
        <f>+X24*(1+'No Deducible 93'!$G$18)</f>
        <v>301704.51005684386</v>
      </c>
      <c r="Y25" s="426">
        <f>+Y24*(1+'No Deducible 93'!$G$18)</f>
        <v>333050.71774108</v>
      </c>
      <c r="Z25" s="427">
        <f t="shared" si="1"/>
        <v>120000</v>
      </c>
      <c r="AA25" s="427">
        <f t="shared" si="2"/>
        <v>120000</v>
      </c>
      <c r="AB25" s="433">
        <f>IF($AB$4=185,AA25*'OptiMaxx plus'!$T$15,Z25*'OptiMaxx plus'!$T$15)+(AB24*(1+$AC$5))</f>
        <v>768029.9933109799</v>
      </c>
      <c r="AD25" s="448">
        <f>MAX(AD23:AF23)</f>
        <v>65</v>
      </c>
      <c r="AH25" s="441" t="s">
        <v>133</v>
      </c>
      <c r="AI25" s="449" t="str">
        <f>+'No Deducible 93'!AK32</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exento de impuestos.</v>
      </c>
      <c r="AJ25" s="450"/>
      <c r="AK25" s="450"/>
      <c r="AL25" s="450"/>
      <c r="AM25" s="450"/>
      <c r="AN25" s="450"/>
      <c r="AO25" s="444" t="str">
        <f>+'No Deducible 93'!AK42</f>
        <v>La presente ilustración se ofrece únicamente a modo de guía y no debe ser considerada como un contrato desde el punto de vista legal. Para mayores detalles vea el folleto del cliente y las Condiciones de la Póliza. La presente ilustración se ofrece únicamente a modo de guía y no debe ser considerada como un contrato desde el punto de vista legal. Para mayores detalles vea el folleto del cliente y las Condiciones de la Póliza.</v>
      </c>
      <c r="AP25" s="445"/>
      <c r="AQ25" s="445"/>
      <c r="AR25" s="445"/>
      <c r="AS25" s="445"/>
    </row>
    <row r="26" spans="1:45" x14ac:dyDescent="0.25">
      <c r="A26" s="426">
        <f t="shared" si="3"/>
        <v>1.8333333333333333</v>
      </c>
      <c r="B26" s="427">
        <f>'OptiMaxx plus'!$T$7+A26</f>
        <v>30.833333333333332</v>
      </c>
      <c r="C26" s="428">
        <f t="shared" si="4"/>
        <v>22</v>
      </c>
      <c r="D26" s="429">
        <f>+'No Deducible 93'!AD45</f>
        <v>356124.5881389468</v>
      </c>
      <c r="E26" s="429">
        <f>+'Deducible 151'!AD45</f>
        <v>354407.6564900016</v>
      </c>
      <c r="F26" s="429">
        <f>+'Deducible 185'!AD45</f>
        <v>356124.5881389468</v>
      </c>
      <c r="H26" s="428">
        <f t="shared" si="5"/>
        <v>22</v>
      </c>
      <c r="I26" s="429">
        <f>+'No Deducible 93'!Y45</f>
        <v>40381.16656410811</v>
      </c>
      <c r="J26" s="429">
        <f>+'Deducible 151'!Y45</f>
        <v>40314.08526794841</v>
      </c>
      <c r="K26" s="429">
        <f>+'Deducible 185'!Y45</f>
        <v>40381.16656410811</v>
      </c>
      <c r="M26" s="430">
        <f t="shared" si="6"/>
        <v>22</v>
      </c>
      <c r="N26" s="430">
        <f t="shared" si="7"/>
        <v>51</v>
      </c>
      <c r="O26" s="431">
        <f>VLOOKUP(M26,'OptiMaxx plus'!$C$31:$W$55,18,0)</f>
        <v>6458039.086648262</v>
      </c>
      <c r="P26" s="431">
        <f>O26-BA77</f>
        <v>5930598.067237324</v>
      </c>
      <c r="Q26" s="431">
        <f t="shared" si="8"/>
        <v>5166431.26931861</v>
      </c>
      <c r="R26" s="431">
        <f t="shared" si="0"/>
        <v>4197725.406321371</v>
      </c>
      <c r="S26" s="405">
        <f t="shared" si="9"/>
        <v>22</v>
      </c>
      <c r="T26" s="430">
        <f t="shared" si="9"/>
        <v>22</v>
      </c>
      <c r="U26" s="429">
        <f>+'OptiMaxx plus'!G52</f>
        <v>120000</v>
      </c>
      <c r="V26" s="432">
        <f>+U26*'OptiMaxx plus'!$T$15:$X$15+(V25*(1+'Deducible 151'!$L$20))</f>
        <v>0</v>
      </c>
      <c r="W26" s="429">
        <f>+'OptiMaxx plus'!G52</f>
        <v>120000</v>
      </c>
      <c r="X26" s="426">
        <f>+X25*(1+'No Deducible 93'!$G$18)</f>
        <v>313772.69045911764</v>
      </c>
      <c r="Y26" s="426">
        <f>+Y25*(1+'No Deducible 93'!$G$18)</f>
        <v>346372.7464507232</v>
      </c>
      <c r="Z26" s="427">
        <f t="shared" si="1"/>
        <v>120000</v>
      </c>
      <c r="AA26" s="427">
        <f t="shared" si="2"/>
        <v>120000</v>
      </c>
      <c r="AB26" s="433">
        <f>IF($AB$4=185,AA26*'OptiMaxx plus'!$T$15,Z26*'OptiMaxx plus'!$T$15)+(AB25*(1+$AC$5))</f>
        <v>856832.992642078</v>
      </c>
      <c r="AI26" s="450"/>
      <c r="AJ26" s="450"/>
      <c r="AK26" s="450"/>
      <c r="AL26" s="450"/>
      <c r="AM26" s="450"/>
      <c r="AN26" s="450"/>
      <c r="AO26" s="445"/>
      <c r="AP26" s="445"/>
      <c r="AQ26" s="445"/>
      <c r="AR26" s="445"/>
      <c r="AS26" s="445"/>
    </row>
    <row r="27" spans="1:45" x14ac:dyDescent="0.25">
      <c r="A27" s="426">
        <f t="shared" si="3"/>
        <v>1.9166666666666667</v>
      </c>
      <c r="B27" s="427">
        <f>'OptiMaxx plus'!$T$7+A27</f>
        <v>30.916666666666668</v>
      </c>
      <c r="C27" s="428">
        <f t="shared" si="4"/>
        <v>23</v>
      </c>
      <c r="D27" s="429">
        <f>+'No Deducible 93'!AD46</f>
        <v>368498.9650286969</v>
      </c>
      <c r="E27" s="429">
        <f>+'Deducible 151'!AD46</f>
        <v>366719.1215652688</v>
      </c>
      <c r="F27" s="429">
        <f>+'Deducible 185'!AD46</f>
        <v>368498.9650286969</v>
      </c>
      <c r="H27" s="428">
        <f t="shared" si="5"/>
        <v>23</v>
      </c>
      <c r="I27" s="429">
        <f>+'No Deducible 93'!Y46</f>
        <v>50652.882148201046</v>
      </c>
      <c r="J27" s="429">
        <f>+'Deducible 151'!Y46</f>
        <v>50564.64606119033</v>
      </c>
      <c r="K27" s="429">
        <f>+'Deducible 185'!Y46</f>
        <v>50652.882148201046</v>
      </c>
      <c r="M27" s="430">
        <f t="shared" si="6"/>
        <v>23</v>
      </c>
      <c r="N27" s="430">
        <f t="shared" si="7"/>
        <v>52</v>
      </c>
      <c r="O27" s="431">
        <f>VLOOKUP(M27,'OptiMaxx plus'!$C$31:$W$55,18,0)</f>
        <v>7142386.979024759</v>
      </c>
      <c r="P27" s="431">
        <f>O27-BB77</f>
        <v>6533963.471816339</v>
      </c>
      <c r="Q27" s="431">
        <f t="shared" si="8"/>
        <v>5713909.583219808</v>
      </c>
      <c r="R27" s="431">
        <f t="shared" si="0"/>
        <v>4642551.536366093</v>
      </c>
      <c r="S27" s="405">
        <f t="shared" si="9"/>
        <v>23</v>
      </c>
      <c r="T27" s="430">
        <f t="shared" si="9"/>
        <v>23</v>
      </c>
      <c r="U27" s="429">
        <f>+'OptiMaxx plus'!G53</f>
        <v>120000</v>
      </c>
      <c r="V27" s="432">
        <f>+U27*'OptiMaxx plus'!$T$15:$X$15+(V26*(1+'Deducible 151'!$L$20))</f>
        <v>0</v>
      </c>
      <c r="W27" s="429">
        <f>+'OptiMaxx plus'!G53</f>
        <v>120000</v>
      </c>
      <c r="X27" s="426">
        <f>+X26*(1+'No Deducible 93'!$G$18)</f>
        <v>326323.59807748237</v>
      </c>
      <c r="Y27" s="426">
        <f>+Y26*(1+'No Deducible 93'!$G$18)</f>
        <v>360227.65630875214</v>
      </c>
      <c r="Z27" s="427">
        <f t="shared" si="1"/>
        <v>120000</v>
      </c>
      <c r="AA27" s="427">
        <f t="shared" si="2"/>
        <v>120000</v>
      </c>
      <c r="AB27" s="433">
        <f>IF($AB$4=185,AA27*'OptiMaxx plus'!$T$15,Z27*'OptiMaxx plus'!$T$15)+(AB26*(1+$AC$5))</f>
        <v>954516.2919062858</v>
      </c>
      <c r="AD27" s="439" t="s">
        <v>144</v>
      </c>
      <c r="AI27" s="450"/>
      <c r="AJ27" s="450"/>
      <c r="AK27" s="450"/>
      <c r="AL27" s="450"/>
      <c r="AM27" s="450"/>
      <c r="AN27" s="450"/>
      <c r="AO27" s="445"/>
      <c r="AP27" s="445"/>
      <c r="AQ27" s="445"/>
      <c r="AR27" s="445"/>
      <c r="AS27" s="445"/>
    </row>
    <row r="28" spans="1:45" x14ac:dyDescent="0.25">
      <c r="A28" s="426">
        <f t="shared" si="3"/>
        <v>2</v>
      </c>
      <c r="B28" s="427">
        <f>'OptiMaxx plus'!$T$7+A28</f>
        <v>31</v>
      </c>
      <c r="C28" s="428">
        <f t="shared" si="4"/>
        <v>24</v>
      </c>
      <c r="D28" s="429">
        <f>+'No Deducible 93'!AD47</f>
        <v>378078.12494931207</v>
      </c>
      <c r="E28" s="429">
        <f>+'Deducible 151'!AD47</f>
        <v>375974.7666551555</v>
      </c>
      <c r="F28" s="429">
        <f>+'Deducible 185'!AD47</f>
        <v>378078.12494931207</v>
      </c>
      <c r="H28" s="428">
        <f t="shared" si="5"/>
        <v>24</v>
      </c>
      <c r="I28" s="429">
        <f>+'No Deducible 93'!Y47</f>
        <v>60996.15221112068</v>
      </c>
      <c r="J28" s="429">
        <f>+'Deducible 151'!Y47</f>
        <v>60884.96079743538</v>
      </c>
      <c r="K28" s="429">
        <f>+'Deducible 185'!Y47</f>
        <v>60996.15221112068</v>
      </c>
      <c r="M28" s="430">
        <f t="shared" si="6"/>
        <v>24</v>
      </c>
      <c r="N28" s="430">
        <f t="shared" si="7"/>
        <v>53</v>
      </c>
      <c r="O28" s="431">
        <f>VLOOKUP(M28,'OptiMaxx plus'!$C$31:$W$55,18,0)</f>
        <v>7886095.705253298</v>
      </c>
      <c r="P28" s="431">
        <f>O28-BC77</f>
        <v>7187098.812910654</v>
      </c>
      <c r="Q28" s="431">
        <f t="shared" si="8"/>
        <v>6308876.564202639</v>
      </c>
      <c r="R28" s="431">
        <f t="shared" si="0"/>
        <v>5125962.208414644</v>
      </c>
      <c r="S28" s="405">
        <f t="shared" si="9"/>
        <v>24</v>
      </c>
      <c r="T28" s="430">
        <f t="shared" si="9"/>
        <v>24</v>
      </c>
      <c r="U28" s="429">
        <f>+'OptiMaxx plus'!G54</f>
        <v>120000</v>
      </c>
      <c r="V28" s="432">
        <f>+U28*'OptiMaxx plus'!$T$15:$X$15+(V27*(1+'Deducible 151'!$L$20))</f>
        <v>0</v>
      </c>
      <c r="W28" s="429">
        <f>+'OptiMaxx plus'!G54</f>
        <v>120000</v>
      </c>
      <c r="X28" s="426">
        <f>+X27*(1+'No Deducible 93'!$G$18)</f>
        <v>339376.5420005817</v>
      </c>
      <c r="Y28" s="426">
        <f>+Y27*(1+'No Deducible 93'!$G$18)</f>
        <v>374636.7625611022</v>
      </c>
      <c r="Z28" s="427">
        <f t="shared" si="1"/>
        <v>120000</v>
      </c>
      <c r="AA28" s="427">
        <f t="shared" si="2"/>
        <v>120000</v>
      </c>
      <c r="AB28" s="433">
        <f>IF($AB$4=185,AA28*'OptiMaxx plus'!$T$15,Z28*'OptiMaxx plus'!$T$15)+(AB27*(1+$AC$5))</f>
        <v>1061967.9210969144</v>
      </c>
      <c r="AD28" s="451">
        <f>+'OptiMaxx plus'!AA24</f>
        <v>120000</v>
      </c>
      <c r="AI28" s="450"/>
      <c r="AJ28" s="450"/>
      <c r="AK28" s="450"/>
      <c r="AL28" s="450"/>
      <c r="AM28" s="450"/>
      <c r="AN28" s="450"/>
      <c r="AO28" s="445"/>
      <c r="AP28" s="445"/>
      <c r="AQ28" s="445"/>
      <c r="AR28" s="445"/>
      <c r="AS28" s="445"/>
    </row>
    <row r="29" spans="1:40" x14ac:dyDescent="0.25">
      <c r="A29" s="426">
        <f t="shared" si="3"/>
        <v>2.0833333333333335</v>
      </c>
      <c r="B29" s="427">
        <f>'OptiMaxx plus'!$T$7+A29</f>
        <v>31.083333333333332</v>
      </c>
      <c r="C29" s="428">
        <f t="shared" si="4"/>
        <v>25</v>
      </c>
      <c r="D29" s="429">
        <f>+'No Deducible 93'!AD48</f>
        <v>390601.94256437104</v>
      </c>
      <c r="E29" s="429">
        <f>+'Deducible 151'!AD48</f>
        <v>388429.06701940333</v>
      </c>
      <c r="F29" s="429">
        <f>+'Deducible 185'!AD48</f>
        <v>390601.94256437104</v>
      </c>
      <c r="H29" s="428">
        <f t="shared" si="5"/>
        <v>25</v>
      </c>
      <c r="I29" s="429">
        <f>+'No Deducible 93'!Y48</f>
        <v>71408.3052932652</v>
      </c>
      <c r="J29" s="429">
        <f>+'Deducible 151'!Y48</f>
        <v>71271.83130286682</v>
      </c>
      <c r="K29" s="429">
        <f>+'Deducible 185'!Y48</f>
        <v>71408.3052932652</v>
      </c>
      <c r="M29" s="430">
        <f t="shared" si="6"/>
        <v>25</v>
      </c>
      <c r="N29" s="430">
        <f t="shared" si="7"/>
        <v>54</v>
      </c>
      <c r="O29" s="431">
        <f>VLOOKUP(M29,'OptiMaxx plus'!$C$31:$W$55,18,0)</f>
        <v>9560669.335121633</v>
      </c>
      <c r="P29" s="431">
        <f>O29-BD77</f>
        <v>8760568.981466994</v>
      </c>
      <c r="Q29" s="431">
        <f t="shared" si="8"/>
        <v>7648535.468097307</v>
      </c>
      <c r="R29" s="431">
        <f t="shared" si="0"/>
        <v>6214435.067829062</v>
      </c>
      <c r="S29" s="405">
        <f t="shared" si="9"/>
        <v>25</v>
      </c>
      <c r="T29" s="430">
        <f t="shared" si="9"/>
        <v>25</v>
      </c>
      <c r="U29" s="429">
        <f>+'OptiMaxx plus'!G55</f>
        <v>120000</v>
      </c>
      <c r="V29" s="432">
        <f>+U29*'OptiMaxx plus'!$T$15:$X$15+(V28*(1+'Deducible 151'!$L$20))</f>
        <v>0</v>
      </c>
      <c r="W29" s="429">
        <f>+'OptiMaxx plus'!G55</f>
        <v>120000</v>
      </c>
      <c r="X29" s="426">
        <f>+X28*(1+'No Deducible 93'!$G$18)</f>
        <v>352951.60368060495</v>
      </c>
      <c r="Y29" s="426">
        <f>+Y28*(1+'No Deducible 93'!$G$18)</f>
        <v>389622.2330635463</v>
      </c>
      <c r="Z29" s="427">
        <f t="shared" si="1"/>
        <v>120000</v>
      </c>
      <c r="AA29" s="427">
        <f t="shared" si="2"/>
        <v>120000</v>
      </c>
      <c r="AB29" s="433">
        <f>IF($AB$4=185,AA29*'OptiMaxx plus'!$T$15,Z29*'OptiMaxx plus'!$T$15)+(AB28*(1+$AC$5))</f>
        <v>1180164.713206606</v>
      </c>
      <c r="AI29" s="450"/>
      <c r="AJ29" s="450"/>
      <c r="AK29" s="450"/>
      <c r="AL29" s="450"/>
      <c r="AM29" s="450"/>
      <c r="AN29" s="450"/>
    </row>
    <row r="30" spans="1:40" x14ac:dyDescent="0.25">
      <c r="A30" s="426">
        <f t="shared" si="3"/>
        <v>2.1666666666666665</v>
      </c>
      <c r="B30" s="427">
        <f>'OptiMaxx plus'!$T$7+A30</f>
        <v>31.166666666666668</v>
      </c>
      <c r="C30" s="428">
        <f t="shared" si="4"/>
        <v>26</v>
      </c>
      <c r="D30" s="429">
        <f>+'No Deducible 93'!AD49</f>
        <v>403212.4006406899</v>
      </c>
      <c r="E30" s="429">
        <f>+'Deducible 151'!AD49</f>
        <v>400967.6418492481</v>
      </c>
      <c r="F30" s="429">
        <f>+'Deducible 185'!AD49</f>
        <v>403212.4006406899</v>
      </c>
      <c r="H30" s="428">
        <f t="shared" si="5"/>
        <v>26</v>
      </c>
      <c r="I30" s="429">
        <f>+'No Deducible 93'!Y49</f>
        <v>81892.99116520102</v>
      </c>
      <c r="J30" s="429">
        <f>+'Deducible 151'!Y49</f>
        <v>81729.38332395685</v>
      </c>
      <c r="K30" s="429">
        <f>+'Deducible 185'!Y49</f>
        <v>81892.99116520102</v>
      </c>
      <c r="M30" s="405">
        <f t="shared" si="6"/>
        <v>26</v>
      </c>
      <c r="N30" s="405">
        <f t="shared" si="7"/>
        <v>55</v>
      </c>
      <c r="O30" s="452"/>
      <c r="Q30" s="452"/>
      <c r="T30" s="405">
        <f t="shared" si="9"/>
        <v>26</v>
      </c>
      <c r="U30" s="453"/>
      <c r="V30" s="453"/>
      <c r="W30" s="453"/>
      <c r="X30" s="402"/>
      <c r="Y30" s="402"/>
      <c r="Z30" s="454"/>
      <c r="AA30" s="402"/>
      <c r="AI30" s="445"/>
      <c r="AJ30" s="445"/>
      <c r="AK30" s="445"/>
      <c r="AL30" s="445"/>
      <c r="AM30" s="445"/>
      <c r="AN30" s="445"/>
    </row>
    <row r="31" spans="1:40" x14ac:dyDescent="0.25">
      <c r="A31" s="426">
        <f t="shared" si="3"/>
        <v>2.25</v>
      </c>
      <c r="B31" s="427">
        <f>'OptiMaxx plus'!$T$7+A31</f>
        <v>31.25</v>
      </c>
      <c r="C31" s="428">
        <f t="shared" si="4"/>
        <v>27</v>
      </c>
      <c r="D31" s="429">
        <f>+'No Deducible 93'!AD50</f>
        <v>412997.8002654316</v>
      </c>
      <c r="E31" s="429">
        <f>+'Deducible 151'!AD50</f>
        <v>410421.2787952649</v>
      </c>
      <c r="F31" s="429">
        <f>+'Deducible 185'!AD50</f>
        <v>412997.8002654316</v>
      </c>
      <c r="H31" s="428">
        <f t="shared" si="5"/>
        <v>27</v>
      </c>
      <c r="I31" s="429">
        <f>+'No Deducible 93'!Y50</f>
        <v>92450.71510240315</v>
      </c>
      <c r="J31" s="429">
        <f>+'Deducible 151'!Y50</f>
        <v>92258.09784067464</v>
      </c>
      <c r="K31" s="429">
        <f>+'Deducible 185'!Y50</f>
        <v>92450.71510240315</v>
      </c>
      <c r="M31" s="405">
        <f t="shared" si="6"/>
        <v>27</v>
      </c>
      <c r="N31" s="405">
        <f t="shared" si="7"/>
        <v>56</v>
      </c>
      <c r="O31" s="452"/>
      <c r="P31" s="452"/>
      <c r="Q31" s="453"/>
      <c r="T31" s="405">
        <f t="shared" si="9"/>
        <v>27</v>
      </c>
      <c r="U31" s="453"/>
      <c r="V31" s="453"/>
      <c r="W31" s="453"/>
      <c r="X31" s="402"/>
      <c r="Y31" s="402"/>
      <c r="Z31" s="454"/>
      <c r="AA31" s="402"/>
      <c r="AI31" s="445"/>
      <c r="AJ31" s="445"/>
      <c r="AK31" s="445"/>
      <c r="AL31" s="445"/>
      <c r="AM31" s="445"/>
      <c r="AN31" s="445"/>
    </row>
    <row r="32" spans="1:40" x14ac:dyDescent="0.25">
      <c r="A32" s="426">
        <f t="shared" si="3"/>
        <v>2.3333333333333335</v>
      </c>
      <c r="B32" s="427">
        <f>'OptiMaxx plus'!$T$7+A32</f>
        <v>31.333333333333332</v>
      </c>
      <c r="C32" s="428">
        <f t="shared" si="4"/>
        <v>28</v>
      </c>
      <c r="D32" s="429">
        <f>+'No Deducible 93'!AD51</f>
        <v>425763.94720287656</v>
      </c>
      <c r="E32" s="429">
        <f>+'Deducible 151'!AD51</f>
        <v>423109.25210595084</v>
      </c>
      <c r="F32" s="429">
        <f>+'Deducible 185'!AD51</f>
        <v>425763.94720287656</v>
      </c>
      <c r="H32" s="428">
        <f t="shared" si="5"/>
        <v>28</v>
      </c>
      <c r="I32" s="429">
        <f>+'No Deducible 93'!Y51</f>
        <v>103081.98590017964</v>
      </c>
      <c r="J32" s="429">
        <f>+'Deducible 151'!Y51</f>
        <v>102858.45910600541</v>
      </c>
      <c r="K32" s="429">
        <f>+'Deducible 185'!Y51</f>
        <v>103081.98590017964</v>
      </c>
      <c r="M32" s="405">
        <f t="shared" si="6"/>
        <v>28</v>
      </c>
      <c r="N32" s="405">
        <f t="shared" si="7"/>
        <v>57</v>
      </c>
      <c r="O32" s="452"/>
      <c r="P32" s="452"/>
      <c r="Q32" s="453"/>
      <c r="T32" s="405">
        <f t="shared" si="9"/>
        <v>28</v>
      </c>
      <c r="U32" s="453"/>
      <c r="V32" s="453"/>
      <c r="W32" s="453"/>
      <c r="X32" s="402"/>
      <c r="Y32" s="402"/>
      <c r="Z32" s="454"/>
      <c r="AA32" s="402"/>
      <c r="AH32" s="455"/>
      <c r="AI32" s="445"/>
      <c r="AJ32" s="445"/>
      <c r="AK32" s="445"/>
      <c r="AL32" s="445"/>
      <c r="AM32" s="445"/>
      <c r="AN32" s="445"/>
    </row>
    <row r="33" spans="1:27" x14ac:dyDescent="0.25">
      <c r="A33" s="426">
        <f t="shared" si="3"/>
        <v>2.4166666666666665</v>
      </c>
      <c r="B33" s="427">
        <f>'OptiMaxx plus'!$T$7+A33</f>
        <v>31.416666666666668</v>
      </c>
      <c r="C33" s="428">
        <f t="shared" si="4"/>
        <v>29</v>
      </c>
      <c r="D33" s="429">
        <f>+'No Deducible 93'!AD52</f>
        <v>438618.4169607862</v>
      </c>
      <c r="E33" s="429">
        <f>+'Deducible 151'!AD52</f>
        <v>435883.0854638205</v>
      </c>
      <c r="F33" s="429">
        <f>+'Deducible 185'!AD52</f>
        <v>438618.4169607862</v>
      </c>
      <c r="H33" s="428">
        <f t="shared" si="5"/>
        <v>29</v>
      </c>
      <c r="I33" s="429">
        <f>+'No Deducible 93'!Y52</f>
        <v>113787.31589819126</v>
      </c>
      <c r="J33" s="429">
        <f>+'Deducible 151'!Y52</f>
        <v>113530.95466822282</v>
      </c>
      <c r="K33" s="429">
        <f>+'Deducible 185'!Y52</f>
        <v>113787.31589819126</v>
      </c>
      <c r="M33" s="405">
        <f t="shared" si="6"/>
        <v>29</v>
      </c>
      <c r="N33" s="405">
        <f t="shared" si="7"/>
        <v>58</v>
      </c>
      <c r="O33" s="452"/>
      <c r="P33" s="452"/>
      <c r="Q33" s="453"/>
      <c r="T33" s="405">
        <f t="shared" si="9"/>
        <v>29</v>
      </c>
      <c r="U33" s="453"/>
      <c r="V33" s="453"/>
      <c r="W33" s="453"/>
      <c r="X33" s="402"/>
      <c r="Y33" s="402"/>
      <c r="Z33" s="454"/>
      <c r="AA33" s="402"/>
    </row>
    <row r="34" spans="1:27" x14ac:dyDescent="0.25">
      <c r="A34" s="426">
        <f t="shared" si="3"/>
        <v>2.5</v>
      </c>
      <c r="B34" s="427">
        <f>'OptiMaxx plus'!$T$7+A34</f>
        <v>31.5</v>
      </c>
      <c r="C34" s="428">
        <f t="shared" si="4"/>
        <v>30</v>
      </c>
      <c r="D34" s="429">
        <f>+'No Deducible 93'!AD53</f>
        <v>448617.6942598234</v>
      </c>
      <c r="E34" s="429">
        <f>+'Deducible 151'!AD53</f>
        <v>445542.6189175522</v>
      </c>
      <c r="F34" s="429">
        <f>+'Deducible 185'!AD53</f>
        <v>448617.6942598234</v>
      </c>
      <c r="H34" s="428">
        <f t="shared" si="5"/>
        <v>30</v>
      </c>
      <c r="I34" s="429">
        <f>+'No Deducible 93'!Y53</f>
        <v>124567.22100514201</v>
      </c>
      <c r="J34" s="429">
        <f>+'Deducible 151'!Y53</f>
        <v>124276.07539331316</v>
      </c>
      <c r="K34" s="429">
        <f>+'Deducible 185'!Y53</f>
        <v>124567.22100514201</v>
      </c>
      <c r="M34" s="405">
        <f t="shared" si="6"/>
        <v>30</v>
      </c>
      <c r="N34" s="405">
        <f t="shared" si="7"/>
        <v>59</v>
      </c>
      <c r="O34" s="452"/>
      <c r="P34" s="452"/>
      <c r="Q34" s="453"/>
      <c r="T34" s="405">
        <f t="shared" si="9"/>
        <v>30</v>
      </c>
      <c r="U34" s="453"/>
      <c r="V34" s="453"/>
      <c r="W34" s="453"/>
      <c r="X34" s="402"/>
      <c r="Y34" s="402"/>
      <c r="Z34" s="454"/>
      <c r="AA34" s="402"/>
    </row>
    <row r="35" spans="1:33" x14ac:dyDescent="0.25">
      <c r="A35" s="426">
        <f t="shared" si="3"/>
        <v>2.5833333333333335</v>
      </c>
      <c r="B35" s="427">
        <f>'OptiMaxx plus'!$T$7+A35</f>
        <v>31.583333333333332</v>
      </c>
      <c r="C35" s="428">
        <f t="shared" si="4"/>
        <v>31</v>
      </c>
      <c r="D35" s="429">
        <f>+'No Deducible 93'!AD54</f>
        <v>461631.03951795853</v>
      </c>
      <c r="E35" s="429">
        <f>+'Deducible 151'!AD54</f>
        <v>458468.8503250859</v>
      </c>
      <c r="F35" s="429">
        <f>+'Deducible 185'!AD54</f>
        <v>461631.03951795853</v>
      </c>
      <c r="H35" s="428">
        <f t="shared" si="5"/>
        <v>31</v>
      </c>
      <c r="I35" s="429">
        <f>+'No Deducible 93'!Y54</f>
        <v>135422.22072364177</v>
      </c>
      <c r="J35" s="429">
        <f>+'Deducible 151'!Y54</f>
        <v>135094.31548755197</v>
      </c>
      <c r="K35" s="429">
        <f>+'Deducible 185'!Y54</f>
        <v>135422.22072364177</v>
      </c>
      <c r="M35" s="405">
        <f t="shared" si="6"/>
        <v>31</v>
      </c>
      <c r="N35" s="405">
        <f t="shared" si="7"/>
        <v>60</v>
      </c>
      <c r="O35" s="452"/>
      <c r="P35" s="452"/>
      <c r="Q35" s="453"/>
      <c r="T35" s="405">
        <f t="shared" si="9"/>
        <v>31</v>
      </c>
      <c r="U35" s="453"/>
      <c r="V35" s="453"/>
      <c r="W35" s="453"/>
      <c r="X35" s="402"/>
      <c r="Y35" s="402"/>
      <c r="Z35" s="454"/>
      <c r="AA35" s="402"/>
      <c r="AF35" s="404" t="s">
        <v>145</v>
      </c>
      <c r="AG35" s="435">
        <f>+'No Deducible 93'!G18</f>
        <v>0.04</v>
      </c>
    </row>
    <row r="36" spans="1:33" x14ac:dyDescent="0.25">
      <c r="A36" s="426">
        <f t="shared" si="3"/>
        <v>2.6666666666666665</v>
      </c>
      <c r="B36" s="427">
        <f>'OptiMaxx plus'!$T$7+A36</f>
        <v>31.666666666666668</v>
      </c>
      <c r="C36" s="428">
        <f t="shared" si="4"/>
        <v>32</v>
      </c>
      <c r="D36" s="429">
        <f>+'No Deducible 93'!AD55</f>
        <v>474734.4238191965</v>
      </c>
      <c r="E36" s="429">
        <f>+'Deducible 151'!AD55</f>
        <v>471482.55851955916</v>
      </c>
      <c r="F36" s="429">
        <f>+'Deducible 185'!AD55</f>
        <v>474734.4238191965</v>
      </c>
      <c r="H36" s="428">
        <f t="shared" si="5"/>
        <v>32</v>
      </c>
      <c r="I36" s="429">
        <f>+'No Deducible 93'!Y55</f>
        <v>146352.83817524195</v>
      </c>
      <c r="J36" s="429">
        <f>+'Deducible 151'!Y55</f>
        <v>145986.1725202343</v>
      </c>
      <c r="K36" s="429">
        <f>+'Deducible 185'!Y55</f>
        <v>146352.83817524195</v>
      </c>
      <c r="M36" s="405">
        <f t="shared" si="6"/>
        <v>32</v>
      </c>
      <c r="N36" s="405">
        <f t="shared" si="7"/>
        <v>61</v>
      </c>
      <c r="O36" s="452"/>
      <c r="P36" s="452"/>
      <c r="Q36" s="453"/>
      <c r="T36" s="405">
        <f t="shared" si="9"/>
        <v>32</v>
      </c>
      <c r="U36" s="453"/>
      <c r="V36" s="453"/>
      <c r="W36" s="453"/>
      <c r="X36" s="402"/>
      <c r="Y36" s="402"/>
      <c r="Z36" s="454"/>
      <c r="AA36" s="402"/>
      <c r="AB36" s="381" t="s">
        <v>9</v>
      </c>
      <c r="AC36" s="381">
        <v>12</v>
      </c>
      <c r="AF36" s="404" t="s">
        <v>26</v>
      </c>
      <c r="AG36" s="453">
        <f>+'No Deducible 93'!G3</f>
        <v>10000</v>
      </c>
    </row>
    <row r="37" spans="1:33" x14ac:dyDescent="0.25">
      <c r="A37" s="426">
        <f t="shared" si="3"/>
        <v>2.75</v>
      </c>
      <c r="B37" s="427">
        <f>'OptiMaxx plus'!$T$7+A37</f>
        <v>31.75</v>
      </c>
      <c r="C37" s="428">
        <f t="shared" si="4"/>
        <v>33</v>
      </c>
      <c r="D37" s="429">
        <f>+'No Deducible 93'!AD56</f>
        <v>484952.1641588035</v>
      </c>
      <c r="E37" s="429">
        <f>+'Deducible 151'!AD56</f>
        <v>481352.33370200807</v>
      </c>
      <c r="F37" s="429">
        <f>+'Deducible 185'!AD56</f>
        <v>484952.1641588035</v>
      </c>
      <c r="H37" s="428">
        <f t="shared" si="5"/>
        <v>33</v>
      </c>
      <c r="I37" s="429">
        <f>+'No Deducible 93'!Y56</f>
        <v>157359.6001256457</v>
      </c>
      <c r="J37" s="429">
        <f>+'Deducible 151'!Y56</f>
        <v>156952.14744655977</v>
      </c>
      <c r="K37" s="429">
        <f>+'Deducible 185'!Y56</f>
        <v>157359.6001256457</v>
      </c>
      <c r="M37" s="405">
        <f t="shared" si="6"/>
        <v>33</v>
      </c>
      <c r="N37" s="405">
        <f t="shared" si="7"/>
        <v>62</v>
      </c>
      <c r="O37" s="452"/>
      <c r="P37" s="452"/>
      <c r="Q37" s="453"/>
      <c r="T37" s="405">
        <f t="shared" si="9"/>
        <v>33</v>
      </c>
      <c r="U37" s="453"/>
      <c r="V37" s="453"/>
      <c r="W37" s="453"/>
      <c r="X37" s="435"/>
      <c r="Y37" s="402"/>
      <c r="Z37" s="454"/>
      <c r="AA37" s="402"/>
      <c r="AB37" s="381" t="s">
        <v>14</v>
      </c>
      <c r="AC37" s="381">
        <v>4</v>
      </c>
      <c r="AF37" s="404" t="s">
        <v>146</v>
      </c>
      <c r="AG37" s="456" t="str">
        <f>'No Deducible 93'!G4</f>
        <v>Mensual</v>
      </c>
    </row>
    <row r="38" spans="1:33" x14ac:dyDescent="0.25">
      <c r="A38" s="426">
        <f t="shared" si="3"/>
        <v>2.8333333333333335</v>
      </c>
      <c r="B38" s="427">
        <f>'OptiMaxx plus'!$T$7+A38</f>
        <v>31.833333333333332</v>
      </c>
      <c r="C38" s="428">
        <f t="shared" si="4"/>
        <v>34</v>
      </c>
      <c r="D38" s="429">
        <f>+'No Deducible 93'!AD57</f>
        <v>498217.67666642624</v>
      </c>
      <c r="E38" s="429">
        <f>+'Deducible 151'!AD57</f>
        <v>494521.50047389424</v>
      </c>
      <c r="F38" s="429">
        <f>+'Deducible 185'!AD57</f>
        <v>498217.67666642624</v>
      </c>
      <c r="H38" s="428">
        <f t="shared" si="5"/>
        <v>34</v>
      </c>
      <c r="I38" s="429">
        <f>+'No Deducible 93'!Y57</f>
        <v>168443.0370100936</v>
      </c>
      <c r="J38" s="429">
        <f>+'Deducible 151'!Y57</f>
        <v>167992.7446306732</v>
      </c>
      <c r="K38" s="429">
        <f>+'Deducible 185'!Y57</f>
        <v>168443.0370100936</v>
      </c>
      <c r="M38" s="405">
        <f t="shared" si="6"/>
        <v>34</v>
      </c>
      <c r="N38" s="405">
        <f t="shared" si="7"/>
        <v>63</v>
      </c>
      <c r="O38" s="452"/>
      <c r="P38" s="452"/>
      <c r="Q38" s="453"/>
      <c r="T38" s="405">
        <f t="shared" si="9"/>
        <v>34</v>
      </c>
      <c r="U38" s="453"/>
      <c r="V38" s="453"/>
      <c r="W38" s="453"/>
      <c r="X38" s="402"/>
      <c r="Y38" s="402"/>
      <c r="Z38" s="454"/>
      <c r="AA38" s="402"/>
      <c r="AB38" s="381" t="s">
        <v>18</v>
      </c>
      <c r="AC38" s="381">
        <v>2</v>
      </c>
      <c r="AF38" s="404" t="s">
        <v>92</v>
      </c>
      <c r="AG38" s="456" t="str">
        <f>'No Deducible 93'!G17</f>
        <v>No</v>
      </c>
    </row>
    <row r="39" spans="1:33" x14ac:dyDescent="0.25">
      <c r="A39" s="426">
        <f t="shared" si="3"/>
        <v>2.9166666666666665</v>
      </c>
      <c r="B39" s="427">
        <f>'OptiMaxx plus'!$T$7+A39</f>
        <v>31.916666666666668</v>
      </c>
      <c r="C39" s="428">
        <f t="shared" si="4"/>
        <v>35</v>
      </c>
      <c r="D39" s="429">
        <f>+'No Deducible 93'!AD58</f>
        <v>511574.9789988337</v>
      </c>
      <c r="E39" s="429">
        <f>+'Deducible 151'!AD58</f>
        <v>507779.79255707865</v>
      </c>
      <c r="F39" s="429">
        <f>+'Deducible 185'!AD58</f>
        <v>511574.9789988337</v>
      </c>
      <c r="H39" s="428">
        <f t="shared" si="5"/>
        <v>35</v>
      </c>
      <c r="I39" s="429">
        <f>+'No Deducible 93'!Y58</f>
        <v>179603.68295892637</v>
      </c>
      <c r="J39" s="429">
        <f>+'Deducible 151'!Y58</f>
        <v>179108.47186886222</v>
      </c>
      <c r="K39" s="429">
        <f>+'Deducible 185'!Y58</f>
        <v>179603.68295892637</v>
      </c>
      <c r="M39" s="405">
        <f t="shared" si="6"/>
        <v>35</v>
      </c>
      <c r="N39" s="405">
        <f t="shared" si="7"/>
        <v>64</v>
      </c>
      <c r="O39" s="452"/>
      <c r="P39" s="452"/>
      <c r="Q39" s="453"/>
      <c r="T39" s="405">
        <f t="shared" si="9"/>
        <v>35</v>
      </c>
      <c r="U39" s="453"/>
      <c r="V39" s="453"/>
      <c r="W39" s="453"/>
      <c r="X39" s="402"/>
      <c r="Y39" s="402"/>
      <c r="Z39" s="454"/>
      <c r="AA39" s="402"/>
      <c r="AB39" s="381" t="s">
        <v>21</v>
      </c>
      <c r="AC39" s="381">
        <v>1</v>
      </c>
      <c r="AE39" s="457"/>
      <c r="AG39" s="402"/>
    </row>
    <row r="40" spans="1:56" x14ac:dyDescent="0.25">
      <c r="A40" s="426">
        <f t="shared" si="3"/>
        <v>3</v>
      </c>
      <c r="B40" s="427">
        <f>'OptiMaxx plus'!$T$7+A40</f>
        <v>32</v>
      </c>
      <c r="C40" s="428">
        <f t="shared" si="4"/>
        <v>36</v>
      </c>
      <c r="D40" s="429">
        <f>+'No Deducible 93'!AD59</f>
        <v>522015.8651490789</v>
      </c>
      <c r="E40" s="429">
        <f>+'Deducible 151'!AD59</f>
        <v>517864.245107588</v>
      </c>
      <c r="F40" s="429">
        <f>+'Deducible 185'!AD59</f>
        <v>522015.8651490789</v>
      </c>
      <c r="H40" s="428">
        <f t="shared" si="5"/>
        <v>36</v>
      </c>
      <c r="I40" s="429">
        <f>+'No Deducible 93'!Y59</f>
        <v>190842.07582332552</v>
      </c>
      <c r="J40" s="429">
        <f>+'Deducible 151'!Y59</f>
        <v>190299.84041291248</v>
      </c>
      <c r="K40" s="429">
        <f>+'Deducible 185'!Y59</f>
        <v>190842.07582332552</v>
      </c>
      <c r="M40" s="405">
        <f t="shared" si="6"/>
        <v>36</v>
      </c>
      <c r="N40" s="405">
        <f t="shared" si="7"/>
        <v>65</v>
      </c>
      <c r="O40" s="452"/>
      <c r="P40" s="452"/>
      <c r="Q40" s="453"/>
      <c r="T40" s="405">
        <f t="shared" si="9"/>
        <v>36</v>
      </c>
      <c r="U40" s="453"/>
      <c r="V40" s="453"/>
      <c r="W40" s="453"/>
      <c r="X40" s="402"/>
      <c r="Y40" s="402"/>
      <c r="Z40" s="454"/>
      <c r="AA40" s="402"/>
      <c r="AC40" s="458" t="s">
        <v>147</v>
      </c>
      <c r="AD40" s="439" t="s">
        <v>55</v>
      </c>
      <c r="AE40" s="459" t="s">
        <v>148</v>
      </c>
      <c r="AF40" s="439" t="s">
        <v>149</v>
      </c>
      <c r="AG40" s="439" t="s">
        <v>149</v>
      </c>
      <c r="AH40" s="439" t="s">
        <v>149</v>
      </c>
      <c r="AI40" s="439" t="s">
        <v>149</v>
      </c>
      <c r="AJ40" s="439" t="s">
        <v>149</v>
      </c>
      <c r="AK40" s="439" t="s">
        <v>149</v>
      </c>
      <c r="AL40" s="439" t="s">
        <v>149</v>
      </c>
      <c r="AM40" s="439" t="s">
        <v>149</v>
      </c>
      <c r="AN40" s="439" t="s">
        <v>149</v>
      </c>
      <c r="AO40" s="439" t="s">
        <v>149</v>
      </c>
      <c r="AP40" s="439" t="s">
        <v>149</v>
      </c>
      <c r="AQ40" s="439" t="s">
        <v>149</v>
      </c>
      <c r="AR40" s="439" t="s">
        <v>149</v>
      </c>
      <c r="AS40" s="439" t="s">
        <v>149</v>
      </c>
      <c r="AT40" s="439" t="s">
        <v>149</v>
      </c>
      <c r="AU40" s="439" t="s">
        <v>149</v>
      </c>
      <c r="AV40" s="439" t="s">
        <v>149</v>
      </c>
      <c r="AW40" s="439" t="s">
        <v>149</v>
      </c>
      <c r="AX40" s="439" t="s">
        <v>149</v>
      </c>
      <c r="AY40" s="439" t="s">
        <v>149</v>
      </c>
      <c r="AZ40" s="439" t="s">
        <v>149</v>
      </c>
      <c r="BA40" s="439" t="s">
        <v>149</v>
      </c>
      <c r="BB40" s="439" t="s">
        <v>149</v>
      </c>
      <c r="BC40" s="439" t="s">
        <v>149</v>
      </c>
      <c r="BD40" s="439" t="s">
        <v>149</v>
      </c>
    </row>
    <row r="41" spans="1:56" x14ac:dyDescent="0.25">
      <c r="A41" s="426">
        <f t="shared" si="3"/>
        <v>3.0833333333333335</v>
      </c>
      <c r="B41" s="427">
        <f>'OptiMaxx plus'!$T$7+A41</f>
        <v>32.083333333333336</v>
      </c>
      <c r="C41" s="428">
        <f t="shared" si="4"/>
        <v>37</v>
      </c>
      <c r="D41" s="429">
        <f>+'No Deducible 93'!AD60</f>
        <v>535535.3191235176</v>
      </c>
      <c r="E41" s="429">
        <f>+'Deducible 151'!AD60</f>
        <v>531277.2987456088</v>
      </c>
      <c r="F41" s="429">
        <f>+'Deducible 185'!AD60</f>
        <v>535535.3191235176</v>
      </c>
      <c r="H41" s="428">
        <f t="shared" si="5"/>
        <v>37</v>
      </c>
      <c r="I41" s="429">
        <f>+'No Deducible 93'!Y60</f>
        <v>202155.46048443328</v>
      </c>
      <c r="J41" s="429">
        <f>+'Deducible 151'!Y60</f>
        <v>201563.54523819618</v>
      </c>
      <c r="K41" s="429">
        <f>+'Deducible 185'!Y60</f>
        <v>202155.46048443328</v>
      </c>
      <c r="M41" s="405">
        <f t="shared" si="6"/>
        <v>37</v>
      </c>
      <c r="N41" s="405">
        <f t="shared" si="7"/>
        <v>66</v>
      </c>
      <c r="O41" s="452"/>
      <c r="P41" s="452"/>
      <c r="Q41" s="453"/>
      <c r="T41" s="405">
        <f t="shared" si="9"/>
        <v>37</v>
      </c>
      <c r="U41" s="453"/>
      <c r="V41" s="453"/>
      <c r="W41" s="453"/>
      <c r="X41" s="402"/>
      <c r="Y41" s="402"/>
      <c r="Z41" s="454"/>
      <c r="AA41" s="402"/>
      <c r="AC41" s="460"/>
      <c r="AD41" s="439"/>
      <c r="AE41" s="459"/>
      <c r="AF41" s="447">
        <v>1</v>
      </c>
      <c r="AG41" s="447">
        <v>2</v>
      </c>
      <c r="AH41" s="447">
        <v>3</v>
      </c>
      <c r="AI41" s="447">
        <v>4</v>
      </c>
      <c r="AJ41" s="447">
        <v>5</v>
      </c>
      <c r="AK41" s="447">
        <v>6</v>
      </c>
      <c r="AL41" s="447">
        <v>7</v>
      </c>
      <c r="AM41" s="447">
        <v>8</v>
      </c>
      <c r="AN41" s="447">
        <v>9</v>
      </c>
      <c r="AO41" s="447">
        <v>10</v>
      </c>
      <c r="AP41" s="447">
        <v>11</v>
      </c>
      <c r="AQ41" s="447">
        <v>12</v>
      </c>
      <c r="AR41" s="447">
        <v>13</v>
      </c>
      <c r="AS41" s="447">
        <v>14</v>
      </c>
      <c r="AT41" s="447">
        <v>15</v>
      </c>
      <c r="AU41" s="447">
        <v>16</v>
      </c>
      <c r="AV41" s="447">
        <v>17</v>
      </c>
      <c r="AW41" s="447">
        <v>18</v>
      </c>
      <c r="AX41" s="447">
        <v>19</v>
      </c>
      <c r="AY41" s="447">
        <v>20</v>
      </c>
      <c r="AZ41" s="447">
        <v>21</v>
      </c>
      <c r="BA41" s="447">
        <v>22</v>
      </c>
      <c r="BB41" s="447">
        <v>23</v>
      </c>
      <c r="BC41" s="447">
        <v>24</v>
      </c>
      <c r="BD41" s="447">
        <v>25</v>
      </c>
    </row>
    <row r="42" spans="1:56" x14ac:dyDescent="0.25">
      <c r="A42" s="426">
        <f t="shared" si="3"/>
        <v>3.1666666666666665</v>
      </c>
      <c r="B42" s="427">
        <f>'OptiMaxx plus'!$T$7+A42</f>
        <v>32.166666666666664</v>
      </c>
      <c r="C42" s="428">
        <f t="shared" si="4"/>
        <v>38</v>
      </c>
      <c r="D42" s="429">
        <f>+'No Deducible 93'!AD61</f>
        <v>549148.3260080474</v>
      </c>
      <c r="E42" s="429">
        <f>+'Deducible 151'!AD61</f>
        <v>544781.1326500451</v>
      </c>
      <c r="F42" s="429">
        <f>+'Deducible 185'!AD61</f>
        <v>549148.3260080474</v>
      </c>
      <c r="H42" s="428">
        <f t="shared" si="5"/>
        <v>38</v>
      </c>
      <c r="I42" s="429">
        <f>+'No Deducible 93'!Y61</f>
        <v>213547.6560643758</v>
      </c>
      <c r="J42" s="429">
        <f>+'Deducible 151'!Y61</f>
        <v>212903.8983406068</v>
      </c>
      <c r="K42" s="429">
        <f>+'Deducible 185'!Y61</f>
        <v>213547.6560643758</v>
      </c>
      <c r="M42" s="405">
        <f t="shared" si="6"/>
        <v>38</v>
      </c>
      <c r="N42" s="405">
        <f t="shared" si="7"/>
        <v>67</v>
      </c>
      <c r="O42" s="452"/>
      <c r="P42" s="452"/>
      <c r="Q42" s="453"/>
      <c r="T42" s="405">
        <f t="shared" si="9"/>
        <v>38</v>
      </c>
      <c r="U42" s="453"/>
      <c r="V42" s="453"/>
      <c r="W42" s="453"/>
      <c r="X42" s="402"/>
      <c r="Y42" s="402"/>
      <c r="Z42" s="454"/>
      <c r="AA42" s="402"/>
      <c r="AC42" s="461">
        <f>+D16-Bono!J35</f>
        <v>122225.84785710416</v>
      </c>
      <c r="AD42" s="439">
        <v>1</v>
      </c>
      <c r="AE42" s="462">
        <f>VLOOKUP(AG37,AB36:AC39,2,0)*AG36</f>
        <v>120000</v>
      </c>
      <c r="AF42" s="463">
        <f>+AE42</f>
        <v>120000</v>
      </c>
      <c r="AG42" s="463">
        <f>+$AE$42*((1+$AG$35))^AF41</f>
        <v>124800</v>
      </c>
      <c r="AH42" s="463">
        <f>+$AE$42*((1+$AG$35))^AG41</f>
        <v>129792.00000000001</v>
      </c>
      <c r="AI42" s="463">
        <f t="shared" ref="AI42:BD42" si="10">+$AE$42*((1+$AG$35))^AH41</f>
        <v>134983.68000000002</v>
      </c>
      <c r="AJ42" s="463">
        <f t="shared" si="10"/>
        <v>140383.0272</v>
      </c>
      <c r="AK42" s="463">
        <f t="shared" si="10"/>
        <v>145998.34828800004</v>
      </c>
      <c r="AL42" s="463">
        <f t="shared" si="10"/>
        <v>151838.28221952004</v>
      </c>
      <c r="AM42" s="463">
        <f t="shared" si="10"/>
        <v>157911.81350830084</v>
      </c>
      <c r="AN42" s="463">
        <f t="shared" si="10"/>
        <v>164228.2860486329</v>
      </c>
      <c r="AO42" s="463">
        <f t="shared" si="10"/>
        <v>170797.41749057823</v>
      </c>
      <c r="AP42" s="463">
        <f t="shared" si="10"/>
        <v>177629.31419020134</v>
      </c>
      <c r="AQ42" s="463">
        <f t="shared" si="10"/>
        <v>184734.48675780938</v>
      </c>
      <c r="AR42" s="463">
        <f t="shared" si="10"/>
        <v>192123.8662281218</v>
      </c>
      <c r="AS42" s="463">
        <f t="shared" si="10"/>
        <v>199808.82087724668</v>
      </c>
      <c r="AT42" s="463">
        <f t="shared" si="10"/>
        <v>207801.17371233655</v>
      </c>
      <c r="AU42" s="463">
        <f t="shared" si="10"/>
        <v>216113.22066083</v>
      </c>
      <c r="AV42" s="463">
        <f t="shared" si="10"/>
        <v>224757.74948726324</v>
      </c>
      <c r="AW42" s="463">
        <f t="shared" si="10"/>
        <v>233748.0594667538</v>
      </c>
      <c r="AX42" s="463">
        <f t="shared" si="10"/>
        <v>243097.98184542396</v>
      </c>
      <c r="AY42" s="463">
        <f t="shared" si="10"/>
        <v>252821.9011192409</v>
      </c>
      <c r="AZ42" s="463">
        <f t="shared" si="10"/>
        <v>262934.77716401056</v>
      </c>
      <c r="BA42" s="463">
        <f t="shared" si="10"/>
        <v>273452.16825057106</v>
      </c>
      <c r="BB42" s="463">
        <f t="shared" si="10"/>
        <v>284390.25498059386</v>
      </c>
      <c r="BC42" s="463">
        <f t="shared" si="10"/>
        <v>295765.8651798176</v>
      </c>
      <c r="BD42" s="463">
        <f t="shared" si="10"/>
        <v>307596.4997870103</v>
      </c>
    </row>
    <row r="43" spans="1:56" x14ac:dyDescent="0.25">
      <c r="A43" s="426">
        <f t="shared" si="3"/>
        <v>3.25</v>
      </c>
      <c r="B43" s="427">
        <f>'OptiMaxx plus'!$T$7+A43</f>
        <v>32.25</v>
      </c>
      <c r="C43" s="428">
        <f t="shared" si="4"/>
        <v>39</v>
      </c>
      <c r="D43" s="429">
        <f>+'No Deducible 93'!AD62</f>
        <v>559813.7973947291</v>
      </c>
      <c r="E43" s="429">
        <f>+'Deducible 151'!AD62</f>
        <v>555080.9185772357</v>
      </c>
      <c r="F43" s="429">
        <f>+'Deducible 185'!AD62</f>
        <v>559813.7973947291</v>
      </c>
      <c r="H43" s="428">
        <f t="shared" si="5"/>
        <v>39</v>
      </c>
      <c r="I43" s="429">
        <f>+'No Deducible 93'!Y62</f>
        <v>225019.21157311904</v>
      </c>
      <c r="J43" s="429">
        <f>+'Deducible 151'!Y62</f>
        <v>224321.42130327155</v>
      </c>
      <c r="K43" s="429">
        <f>+'Deducible 185'!Y62</f>
        <v>225019.21157311904</v>
      </c>
      <c r="M43" s="405">
        <f t="shared" si="6"/>
        <v>39</v>
      </c>
      <c r="N43" s="405">
        <f t="shared" si="7"/>
        <v>68</v>
      </c>
      <c r="O43" s="452"/>
      <c r="P43" s="452"/>
      <c r="Q43" s="453"/>
      <c r="T43" s="405">
        <f t="shared" si="9"/>
        <v>39</v>
      </c>
      <c r="U43" s="453"/>
      <c r="V43" s="453"/>
      <c r="W43" s="453"/>
      <c r="X43" s="402"/>
      <c r="Y43" s="402"/>
      <c r="Z43" s="454"/>
      <c r="AA43" s="402"/>
      <c r="AC43" s="461">
        <f>+D28-Bono!J47</f>
        <v>251218.02606444966</v>
      </c>
      <c r="AD43" s="439">
        <v>2</v>
      </c>
      <c r="AE43" s="462">
        <f>IF($AG$38="Si",AE42*(1+$AG$35),AE42)</f>
        <v>120000</v>
      </c>
      <c r="AF43" s="463"/>
      <c r="AG43" s="463">
        <f>+AE43</f>
        <v>120000</v>
      </c>
      <c r="AH43" s="463">
        <f>+$AE$43*((1+$AG$35))^AF41</f>
        <v>124800</v>
      </c>
      <c r="AI43" s="463">
        <f>+$AE$43*((1+$AG$35))^AG41</f>
        <v>129792.00000000001</v>
      </c>
      <c r="AJ43" s="463">
        <f t="shared" ref="AJ43:BD43" si="11">+$AE$43*((1+$AG$35))^AH41</f>
        <v>134983.68000000002</v>
      </c>
      <c r="AK43" s="463">
        <f t="shared" si="11"/>
        <v>140383.0272</v>
      </c>
      <c r="AL43" s="463">
        <f t="shared" si="11"/>
        <v>145998.34828800004</v>
      </c>
      <c r="AM43" s="463">
        <f t="shared" si="11"/>
        <v>151838.28221952004</v>
      </c>
      <c r="AN43" s="463">
        <f t="shared" si="11"/>
        <v>157911.81350830084</v>
      </c>
      <c r="AO43" s="463">
        <f t="shared" si="11"/>
        <v>164228.2860486329</v>
      </c>
      <c r="AP43" s="463">
        <f t="shared" si="11"/>
        <v>170797.41749057823</v>
      </c>
      <c r="AQ43" s="463">
        <f t="shared" si="11"/>
        <v>177629.31419020134</v>
      </c>
      <c r="AR43" s="463">
        <f t="shared" si="11"/>
        <v>184734.48675780938</v>
      </c>
      <c r="AS43" s="463">
        <f t="shared" si="11"/>
        <v>192123.8662281218</v>
      </c>
      <c r="AT43" s="463">
        <f t="shared" si="11"/>
        <v>199808.82087724668</v>
      </c>
      <c r="AU43" s="463">
        <f t="shared" si="11"/>
        <v>207801.17371233655</v>
      </c>
      <c r="AV43" s="463">
        <f t="shared" si="11"/>
        <v>216113.22066083</v>
      </c>
      <c r="AW43" s="463">
        <f t="shared" si="11"/>
        <v>224757.74948726324</v>
      </c>
      <c r="AX43" s="463">
        <f t="shared" si="11"/>
        <v>233748.0594667538</v>
      </c>
      <c r="AY43" s="463">
        <f t="shared" si="11"/>
        <v>243097.98184542396</v>
      </c>
      <c r="AZ43" s="463">
        <f t="shared" si="11"/>
        <v>252821.9011192409</v>
      </c>
      <c r="BA43" s="463">
        <f t="shared" si="11"/>
        <v>262934.77716401056</v>
      </c>
      <c r="BB43" s="463">
        <f t="shared" si="11"/>
        <v>273452.16825057106</v>
      </c>
      <c r="BC43" s="463">
        <f t="shared" si="11"/>
        <v>284390.25498059386</v>
      </c>
      <c r="BD43" s="463">
        <f t="shared" si="11"/>
        <v>295765.8651798176</v>
      </c>
    </row>
    <row r="44" spans="1:56" x14ac:dyDescent="0.25">
      <c r="A44" s="426">
        <f t="shared" si="3"/>
        <v>3.3333333333333335</v>
      </c>
      <c r="B44" s="427">
        <f>'OptiMaxx plus'!$T$7+A44</f>
        <v>32.333333333333336</v>
      </c>
      <c r="C44" s="428">
        <f t="shared" si="4"/>
        <v>40</v>
      </c>
      <c r="D44" s="429">
        <f>+'No Deducible 93'!AD63</f>
        <v>573595.5952329382</v>
      </c>
      <c r="E44" s="429">
        <f>+'Deducible 151'!AD63</f>
        <v>568746.4674837289</v>
      </c>
      <c r="F44" s="429">
        <f>+'Deducible 185'!AD63</f>
        <v>573595.5952329382</v>
      </c>
      <c r="H44" s="428">
        <f t="shared" si="5"/>
        <v>40</v>
      </c>
      <c r="I44" s="429">
        <f>+'No Deducible 93'!Y63</f>
        <v>236570.67984512364</v>
      </c>
      <c r="J44" s="429">
        <f>+'Deducible 151'!Y63</f>
        <v>235816.63925863363</v>
      </c>
      <c r="K44" s="429">
        <f>+'Deducible 185'!Y63</f>
        <v>236570.67984512364</v>
      </c>
      <c r="M44" s="405">
        <f t="shared" si="6"/>
        <v>40</v>
      </c>
      <c r="N44" s="405">
        <f t="shared" si="7"/>
        <v>69</v>
      </c>
      <c r="O44" s="452"/>
      <c r="P44" s="452"/>
      <c r="Q44" s="453"/>
      <c r="T44" s="405">
        <f t="shared" si="9"/>
        <v>40</v>
      </c>
      <c r="U44" s="453"/>
      <c r="V44" s="453"/>
      <c r="W44" s="453"/>
      <c r="X44" s="402"/>
      <c r="Y44" s="402"/>
      <c r="Z44" s="454"/>
      <c r="AA44" s="402"/>
      <c r="AC44" s="461">
        <f>+D40-Bono!J59</f>
        <v>390245.96169864887</v>
      </c>
      <c r="AD44" s="439">
        <v>3</v>
      </c>
      <c r="AE44" s="462">
        <f t="shared" ref="AE44:AE66" si="12">IF($AG$38="Si",AE43*(1+$AG$35),AE43)</f>
        <v>120000</v>
      </c>
      <c r="AF44" s="463"/>
      <c r="AG44" s="463"/>
      <c r="AH44" s="463">
        <f>+AE44</f>
        <v>120000</v>
      </c>
      <c r="AI44" s="463">
        <f>+$AE$44*((1+$AG$35))^AF41</f>
        <v>124800</v>
      </c>
      <c r="AJ44" s="463">
        <f>+$AE$44*((1+$AG$35))^AG41</f>
        <v>129792.00000000001</v>
      </c>
      <c r="AK44" s="463">
        <f t="shared" ref="AK44:BD44" si="13">+$AE$44*((1+$AG$35))^AH41</f>
        <v>134983.68000000002</v>
      </c>
      <c r="AL44" s="463">
        <f t="shared" si="13"/>
        <v>140383.0272</v>
      </c>
      <c r="AM44" s="463">
        <f t="shared" si="13"/>
        <v>145998.34828800004</v>
      </c>
      <c r="AN44" s="463">
        <f t="shared" si="13"/>
        <v>151838.28221952004</v>
      </c>
      <c r="AO44" s="463">
        <f t="shared" si="13"/>
        <v>157911.81350830084</v>
      </c>
      <c r="AP44" s="463">
        <f t="shared" si="13"/>
        <v>164228.2860486329</v>
      </c>
      <c r="AQ44" s="463">
        <f t="shared" si="13"/>
        <v>170797.41749057823</v>
      </c>
      <c r="AR44" s="463">
        <f t="shared" si="13"/>
        <v>177629.31419020134</v>
      </c>
      <c r="AS44" s="463">
        <f t="shared" si="13"/>
        <v>184734.48675780938</v>
      </c>
      <c r="AT44" s="463">
        <f t="shared" si="13"/>
        <v>192123.8662281218</v>
      </c>
      <c r="AU44" s="463">
        <f t="shared" si="13"/>
        <v>199808.82087724668</v>
      </c>
      <c r="AV44" s="463">
        <f t="shared" si="13"/>
        <v>207801.17371233655</v>
      </c>
      <c r="AW44" s="463">
        <f t="shared" si="13"/>
        <v>216113.22066083</v>
      </c>
      <c r="AX44" s="463">
        <f t="shared" si="13"/>
        <v>224757.74948726324</v>
      </c>
      <c r="AY44" s="463">
        <f t="shared" si="13"/>
        <v>233748.0594667538</v>
      </c>
      <c r="AZ44" s="463">
        <f t="shared" si="13"/>
        <v>243097.98184542396</v>
      </c>
      <c r="BA44" s="463">
        <f t="shared" si="13"/>
        <v>252821.9011192409</v>
      </c>
      <c r="BB44" s="463">
        <f t="shared" si="13"/>
        <v>262934.77716401056</v>
      </c>
      <c r="BC44" s="463">
        <f t="shared" si="13"/>
        <v>273452.16825057106</v>
      </c>
      <c r="BD44" s="463">
        <f t="shared" si="13"/>
        <v>284390.25498059386</v>
      </c>
    </row>
    <row r="45" spans="1:56" x14ac:dyDescent="0.25">
      <c r="A45" s="426">
        <f t="shared" si="3"/>
        <v>3.4166666666666665</v>
      </c>
      <c r="B45" s="427">
        <f>'OptiMaxx plus'!$T$7+A45</f>
        <v>32.416666666666664</v>
      </c>
      <c r="C45" s="428">
        <f t="shared" si="4"/>
        <v>41</v>
      </c>
      <c r="D45" s="429">
        <f>+'No Deducible 93'!AD64</f>
        <v>587472.7675426373</v>
      </c>
      <c r="E45" s="429">
        <f>+'Deducible 151'!AD64</f>
        <v>582504.5101464621</v>
      </c>
      <c r="F45" s="429">
        <f>+'Deducible 185'!AD64</f>
        <v>587472.7675426373</v>
      </c>
      <c r="H45" s="428">
        <f t="shared" si="5"/>
        <v>41</v>
      </c>
      <c r="I45" s="429">
        <f>+'No Deducible 93'!Y64</f>
        <v>248202.61756598708</v>
      </c>
      <c r="J45" s="429">
        <f>+'Deducible 151'!Y64</f>
        <v>247390.08091260502</v>
      </c>
      <c r="K45" s="429">
        <f>+'Deducible 185'!Y64</f>
        <v>248202.61756598708</v>
      </c>
      <c r="M45" s="405">
        <f t="shared" si="6"/>
        <v>41</v>
      </c>
      <c r="N45" s="405">
        <f t="shared" si="7"/>
        <v>70</v>
      </c>
      <c r="O45" s="452"/>
      <c r="P45" s="452"/>
      <c r="Q45" s="453"/>
      <c r="T45" s="405">
        <f t="shared" si="9"/>
        <v>41</v>
      </c>
      <c r="U45" s="453"/>
      <c r="V45" s="453"/>
      <c r="W45" s="453"/>
      <c r="X45" s="402"/>
      <c r="Y45" s="402"/>
      <c r="Z45" s="454"/>
      <c r="AA45" s="402"/>
      <c r="AC45" s="461">
        <f>+D52-Bono!J71</f>
        <v>540956.0227125576</v>
      </c>
      <c r="AD45" s="439">
        <v>4</v>
      </c>
      <c r="AE45" s="462">
        <f t="shared" si="12"/>
        <v>120000</v>
      </c>
      <c r="AF45" s="463"/>
      <c r="AG45" s="463"/>
      <c r="AH45" s="463"/>
      <c r="AI45" s="464">
        <f>+AE45</f>
        <v>120000</v>
      </c>
      <c r="AJ45" s="463">
        <f>+$AE$45*((1+$AG$35))^AF41</f>
        <v>124800</v>
      </c>
      <c r="AK45" s="463">
        <f>+$AE$45*((1+$AG$35))^AG41</f>
        <v>129792.00000000001</v>
      </c>
      <c r="AL45" s="463">
        <f t="shared" ref="AL45:BD45" si="14">+$AE$45*((1+$AG$35))^AH41</f>
        <v>134983.68000000002</v>
      </c>
      <c r="AM45" s="463">
        <f t="shared" si="14"/>
        <v>140383.0272</v>
      </c>
      <c r="AN45" s="463">
        <f t="shared" si="14"/>
        <v>145998.34828800004</v>
      </c>
      <c r="AO45" s="463">
        <f t="shared" si="14"/>
        <v>151838.28221952004</v>
      </c>
      <c r="AP45" s="463">
        <f t="shared" si="14"/>
        <v>157911.81350830084</v>
      </c>
      <c r="AQ45" s="463">
        <f t="shared" si="14"/>
        <v>164228.2860486329</v>
      </c>
      <c r="AR45" s="463">
        <f t="shared" si="14"/>
        <v>170797.41749057823</v>
      </c>
      <c r="AS45" s="463">
        <f t="shared" si="14"/>
        <v>177629.31419020134</v>
      </c>
      <c r="AT45" s="463">
        <f t="shared" si="14"/>
        <v>184734.48675780938</v>
      </c>
      <c r="AU45" s="463">
        <f t="shared" si="14"/>
        <v>192123.8662281218</v>
      </c>
      <c r="AV45" s="463">
        <f t="shared" si="14"/>
        <v>199808.82087724668</v>
      </c>
      <c r="AW45" s="463">
        <f t="shared" si="14"/>
        <v>207801.17371233655</v>
      </c>
      <c r="AX45" s="463">
        <f t="shared" si="14"/>
        <v>216113.22066083</v>
      </c>
      <c r="AY45" s="463">
        <f t="shared" si="14"/>
        <v>224757.74948726324</v>
      </c>
      <c r="AZ45" s="463">
        <f t="shared" si="14"/>
        <v>233748.0594667538</v>
      </c>
      <c r="BA45" s="463">
        <f t="shared" si="14"/>
        <v>243097.98184542396</v>
      </c>
      <c r="BB45" s="463">
        <f t="shared" si="14"/>
        <v>252821.9011192409</v>
      </c>
      <c r="BC45" s="463">
        <f t="shared" si="14"/>
        <v>262934.77716401056</v>
      </c>
      <c r="BD45" s="463">
        <f t="shared" si="14"/>
        <v>273452.16825057106</v>
      </c>
    </row>
    <row r="46" spans="1:56" x14ac:dyDescent="0.25">
      <c r="A46" s="426">
        <f t="shared" si="3"/>
        <v>3.5</v>
      </c>
      <c r="B46" s="427">
        <f>'OptiMaxx plus'!$T$7+A46</f>
        <v>32.5</v>
      </c>
      <c r="C46" s="428">
        <f t="shared" si="4"/>
        <v>42</v>
      </c>
      <c r="D46" s="429">
        <f>+'No Deducible 93'!AD65</f>
        <v>598370.9804261688</v>
      </c>
      <c r="E46" s="429">
        <f>+'Deducible 151'!AD65</f>
        <v>593028.0439080088</v>
      </c>
      <c r="F46" s="429">
        <f>+'Deducible 185'!AD65</f>
        <v>598370.9804261688</v>
      </c>
      <c r="H46" s="428">
        <f t="shared" si="5"/>
        <v>42</v>
      </c>
      <c r="I46" s="429">
        <f>+'No Deducible 93'!Y65</f>
        <v>259915.58529927122</v>
      </c>
      <c r="J46" s="429">
        <f>+'Deducible 151'!Y65</f>
        <v>259042.27856888346</v>
      </c>
      <c r="K46" s="429">
        <f>+'Deducible 185'!Y65</f>
        <v>259915.58529927122</v>
      </c>
      <c r="M46" s="405">
        <f t="shared" si="6"/>
        <v>42</v>
      </c>
      <c r="N46" s="405">
        <f t="shared" si="7"/>
        <v>71</v>
      </c>
      <c r="O46" s="452"/>
      <c r="P46" s="452"/>
      <c r="Q46" s="453"/>
      <c r="T46" s="405">
        <f t="shared" si="9"/>
        <v>42</v>
      </c>
      <c r="U46" s="453"/>
      <c r="V46" s="453"/>
      <c r="W46" s="453"/>
      <c r="X46" s="402"/>
      <c r="Y46" s="402"/>
      <c r="Z46" s="454"/>
      <c r="AA46" s="402"/>
      <c r="AC46" s="461">
        <f>+D64-Bono!J83</f>
        <v>704344.3092365053</v>
      </c>
      <c r="AD46" s="439">
        <v>5</v>
      </c>
      <c r="AE46" s="462">
        <f t="shared" si="12"/>
        <v>120000</v>
      </c>
      <c r="AF46" s="463"/>
      <c r="AG46" s="463"/>
      <c r="AH46" s="463"/>
      <c r="AI46" s="463"/>
      <c r="AJ46" s="462">
        <f>+AE46</f>
        <v>120000</v>
      </c>
      <c r="AK46" s="462">
        <f>+$AE$46*((1+$AG$35))^AF41</f>
        <v>124800</v>
      </c>
      <c r="AL46" s="462">
        <f>+$AE$46*((1+$AG$35))^AG41</f>
        <v>129792.00000000001</v>
      </c>
      <c r="AM46" s="462">
        <f t="shared" ref="AM46:BD46" si="15">+$AE$46*((1+$AG$35))^AH41</f>
        <v>134983.68000000002</v>
      </c>
      <c r="AN46" s="462">
        <f t="shared" si="15"/>
        <v>140383.0272</v>
      </c>
      <c r="AO46" s="462">
        <f t="shared" si="15"/>
        <v>145998.34828800004</v>
      </c>
      <c r="AP46" s="462">
        <f t="shared" si="15"/>
        <v>151838.28221952004</v>
      </c>
      <c r="AQ46" s="462">
        <f t="shared" si="15"/>
        <v>157911.81350830084</v>
      </c>
      <c r="AR46" s="462">
        <f t="shared" si="15"/>
        <v>164228.2860486329</v>
      </c>
      <c r="AS46" s="462">
        <f t="shared" si="15"/>
        <v>170797.41749057823</v>
      </c>
      <c r="AT46" s="462">
        <f t="shared" si="15"/>
        <v>177629.31419020134</v>
      </c>
      <c r="AU46" s="462">
        <f t="shared" si="15"/>
        <v>184734.48675780938</v>
      </c>
      <c r="AV46" s="462">
        <f t="shared" si="15"/>
        <v>192123.8662281218</v>
      </c>
      <c r="AW46" s="462">
        <f t="shared" si="15"/>
        <v>199808.82087724668</v>
      </c>
      <c r="AX46" s="462">
        <f t="shared" si="15"/>
        <v>207801.17371233655</v>
      </c>
      <c r="AY46" s="462">
        <f t="shared" si="15"/>
        <v>216113.22066083</v>
      </c>
      <c r="AZ46" s="462">
        <f t="shared" si="15"/>
        <v>224757.74948726324</v>
      </c>
      <c r="BA46" s="462">
        <f t="shared" si="15"/>
        <v>233748.0594667538</v>
      </c>
      <c r="BB46" s="462">
        <f t="shared" si="15"/>
        <v>243097.98184542396</v>
      </c>
      <c r="BC46" s="462">
        <f t="shared" si="15"/>
        <v>252821.9011192409</v>
      </c>
      <c r="BD46" s="462">
        <f t="shared" si="15"/>
        <v>262934.77716401056</v>
      </c>
    </row>
    <row r="47" spans="1:56" x14ac:dyDescent="0.25">
      <c r="A47" s="426">
        <f t="shared" si="3"/>
        <v>3.5833333333333335</v>
      </c>
      <c r="B47" s="427">
        <f>'OptiMaxx plus'!$T$7+A47</f>
        <v>32.583333333333336</v>
      </c>
      <c r="C47" s="428">
        <f t="shared" si="4"/>
        <v>43</v>
      </c>
      <c r="D47" s="429">
        <f>+'No Deducible 93'!AD66</f>
        <v>612420.4020117433</v>
      </c>
      <c r="E47" s="429">
        <f>+'Deducible 151'!AD66</f>
        <v>606951.0514776394</v>
      </c>
      <c r="F47" s="429">
        <f>+'Deducible 185'!AD66</f>
        <v>612420.4020117433</v>
      </c>
      <c r="H47" s="428">
        <f t="shared" si="5"/>
        <v>43</v>
      </c>
      <c r="I47" s="429">
        <f>+'No Deducible 93'!Y66</f>
        <v>271710.14751351695</v>
      </c>
      <c r="J47" s="429">
        <f>+'Deducible 151'!Y66</f>
        <v>270773.76815343497</v>
      </c>
      <c r="K47" s="429">
        <f>+'Deducible 185'!Y66</f>
        <v>271710.14751351695</v>
      </c>
      <c r="M47" s="405">
        <f t="shared" si="6"/>
        <v>43</v>
      </c>
      <c r="N47" s="405">
        <f t="shared" si="7"/>
        <v>72</v>
      </c>
      <c r="O47" s="452"/>
      <c r="P47" s="452"/>
      <c r="Q47" s="453"/>
      <c r="T47" s="405">
        <f t="shared" si="9"/>
        <v>43</v>
      </c>
      <c r="U47" s="453"/>
      <c r="V47" s="453"/>
      <c r="W47" s="453"/>
      <c r="X47" s="402"/>
      <c r="Y47" s="402"/>
      <c r="Z47" s="454"/>
      <c r="AA47" s="402"/>
      <c r="AC47" s="461">
        <f>+D76-Bono!J95</f>
        <v>881492.563329279</v>
      </c>
      <c r="AD47" s="439">
        <v>6</v>
      </c>
      <c r="AE47" s="462">
        <f t="shared" si="12"/>
        <v>120000</v>
      </c>
      <c r="AF47" s="463"/>
      <c r="AG47" s="463"/>
      <c r="AH47" s="463"/>
      <c r="AI47" s="463"/>
      <c r="AJ47" s="463"/>
      <c r="AK47" s="462">
        <f>+AE47</f>
        <v>120000</v>
      </c>
      <c r="AL47" s="462">
        <f>+$AE$47*((1+$AG$35))^AF41</f>
        <v>124800</v>
      </c>
      <c r="AM47" s="462">
        <f>+$AE$47*((1+$AG$35))^AG41</f>
        <v>129792.00000000001</v>
      </c>
      <c r="AN47" s="462">
        <f t="shared" ref="AN47:BD47" si="16">+$AE$47*((1+$AG$35))^AH41</f>
        <v>134983.68000000002</v>
      </c>
      <c r="AO47" s="462">
        <f t="shared" si="16"/>
        <v>140383.0272</v>
      </c>
      <c r="AP47" s="462">
        <f t="shared" si="16"/>
        <v>145998.34828800004</v>
      </c>
      <c r="AQ47" s="462">
        <f t="shared" si="16"/>
        <v>151838.28221952004</v>
      </c>
      <c r="AR47" s="462">
        <f t="shared" si="16"/>
        <v>157911.81350830084</v>
      </c>
      <c r="AS47" s="462">
        <f t="shared" si="16"/>
        <v>164228.2860486329</v>
      </c>
      <c r="AT47" s="462">
        <f t="shared" si="16"/>
        <v>170797.41749057823</v>
      </c>
      <c r="AU47" s="462">
        <f t="shared" si="16"/>
        <v>177629.31419020134</v>
      </c>
      <c r="AV47" s="462">
        <f t="shared" si="16"/>
        <v>184734.48675780938</v>
      </c>
      <c r="AW47" s="462">
        <f t="shared" si="16"/>
        <v>192123.8662281218</v>
      </c>
      <c r="AX47" s="462">
        <f t="shared" si="16"/>
        <v>199808.82087724668</v>
      </c>
      <c r="AY47" s="462">
        <f t="shared" si="16"/>
        <v>207801.17371233655</v>
      </c>
      <c r="AZ47" s="462">
        <f t="shared" si="16"/>
        <v>216113.22066083</v>
      </c>
      <c r="BA47" s="462">
        <f t="shared" si="16"/>
        <v>224757.74948726324</v>
      </c>
      <c r="BB47" s="462">
        <f t="shared" si="16"/>
        <v>233748.0594667538</v>
      </c>
      <c r="BC47" s="462">
        <f t="shared" si="16"/>
        <v>243097.98184542396</v>
      </c>
      <c r="BD47" s="462">
        <f t="shared" si="16"/>
        <v>252821.9011192409</v>
      </c>
    </row>
    <row r="48" spans="1:56" x14ac:dyDescent="0.25">
      <c r="A48" s="426">
        <f t="shared" si="3"/>
        <v>3.6666666666666665</v>
      </c>
      <c r="B48" s="427">
        <f>'OptiMaxx plus'!$T$7+A48</f>
        <v>32.666666666666664</v>
      </c>
      <c r="C48" s="428">
        <f t="shared" si="4"/>
        <v>44</v>
      </c>
      <c r="D48" s="429">
        <f>+'No Deducible 93'!AD67</f>
        <v>626567.0563538141</v>
      </c>
      <c r="E48" s="429">
        <f>+'Deducible 151'!AD67</f>
        <v>620968.3000237391</v>
      </c>
      <c r="F48" s="429">
        <f>+'Deducible 185'!AD67</f>
        <v>626567.0563538141</v>
      </c>
      <c r="H48" s="428">
        <f t="shared" si="5"/>
        <v>44</v>
      </c>
      <c r="I48" s="429">
        <f>+'No Deducible 93'!Y67</f>
        <v>283586.8726094469</v>
      </c>
      <c r="J48" s="429">
        <f>+'Deducible 151'!Y67</f>
        <v>282585.08923914324</v>
      </c>
      <c r="K48" s="429">
        <f>+'Deducible 185'!Y67</f>
        <v>283586.8726094469</v>
      </c>
      <c r="M48" s="405">
        <f t="shared" si="6"/>
        <v>44</v>
      </c>
      <c r="N48" s="405">
        <f t="shared" si="7"/>
        <v>73</v>
      </c>
      <c r="O48" s="452"/>
      <c r="P48" s="452"/>
      <c r="Q48" s="453"/>
      <c r="T48" s="405">
        <f t="shared" si="9"/>
        <v>44</v>
      </c>
      <c r="U48" s="453"/>
      <c r="V48" s="453"/>
      <c r="W48" s="453"/>
      <c r="X48" s="402"/>
      <c r="Y48" s="402"/>
      <c r="Z48" s="454"/>
      <c r="AA48" s="402"/>
      <c r="AC48" s="461">
        <f>+D88-Bono!J107</f>
        <v>1073575.5663990022</v>
      </c>
      <c r="AD48" s="439">
        <v>7</v>
      </c>
      <c r="AE48" s="462">
        <f t="shared" si="12"/>
        <v>120000</v>
      </c>
      <c r="AF48" s="463"/>
      <c r="AG48" s="463"/>
      <c r="AH48" s="463"/>
      <c r="AI48" s="463"/>
      <c r="AJ48" s="463"/>
      <c r="AK48" s="462"/>
      <c r="AL48" s="462">
        <f>+AE48</f>
        <v>120000</v>
      </c>
      <c r="AM48" s="462">
        <f>+$AE$48*((1+$AG$35))^AF41</f>
        <v>124800</v>
      </c>
      <c r="AN48" s="462">
        <f>+$AE$48*((1+$AG$35))^AG41</f>
        <v>129792.00000000001</v>
      </c>
      <c r="AO48" s="462">
        <f t="shared" ref="AO48:BD48" si="17">+$AE$48*((1+$AG$35))^AH41</f>
        <v>134983.68000000002</v>
      </c>
      <c r="AP48" s="462">
        <f t="shared" si="17"/>
        <v>140383.0272</v>
      </c>
      <c r="AQ48" s="462">
        <f t="shared" si="17"/>
        <v>145998.34828800004</v>
      </c>
      <c r="AR48" s="462">
        <f t="shared" si="17"/>
        <v>151838.28221952004</v>
      </c>
      <c r="AS48" s="462">
        <f t="shared" si="17"/>
        <v>157911.81350830084</v>
      </c>
      <c r="AT48" s="462">
        <f t="shared" si="17"/>
        <v>164228.2860486329</v>
      </c>
      <c r="AU48" s="462">
        <f t="shared" si="17"/>
        <v>170797.41749057823</v>
      </c>
      <c r="AV48" s="462">
        <f t="shared" si="17"/>
        <v>177629.31419020134</v>
      </c>
      <c r="AW48" s="462">
        <f t="shared" si="17"/>
        <v>184734.48675780938</v>
      </c>
      <c r="AX48" s="462">
        <f t="shared" si="17"/>
        <v>192123.8662281218</v>
      </c>
      <c r="AY48" s="462">
        <f t="shared" si="17"/>
        <v>199808.82087724668</v>
      </c>
      <c r="AZ48" s="462">
        <f t="shared" si="17"/>
        <v>207801.17371233655</v>
      </c>
      <c r="BA48" s="462">
        <f t="shared" si="17"/>
        <v>216113.22066083</v>
      </c>
      <c r="BB48" s="462">
        <f t="shared" si="17"/>
        <v>224757.74948726324</v>
      </c>
      <c r="BC48" s="462">
        <f t="shared" si="17"/>
        <v>233748.0594667538</v>
      </c>
      <c r="BD48" s="462">
        <f t="shared" si="17"/>
        <v>243097.98184542396</v>
      </c>
    </row>
    <row r="49" spans="1:56" x14ac:dyDescent="0.25">
      <c r="A49" s="426">
        <f t="shared" si="3"/>
        <v>3.75</v>
      </c>
      <c r="B49" s="427">
        <f>'OptiMaxx plus'!$T$7+A49</f>
        <v>32.75</v>
      </c>
      <c r="C49" s="428">
        <f t="shared" si="4"/>
        <v>45</v>
      </c>
      <c r="D49" s="429">
        <f>+'No Deducible 93'!AD68</f>
        <v>637702.9967679828</v>
      </c>
      <c r="E49" s="429">
        <f>+'Deducible 151'!AD68</f>
        <v>631720.298248823</v>
      </c>
      <c r="F49" s="429">
        <f>+'Deducible 185'!AD68</f>
        <v>637702.9967679828</v>
      </c>
      <c r="H49" s="428">
        <f t="shared" si="5"/>
        <v>45</v>
      </c>
      <c r="I49" s="429">
        <f>+'No Deducible 93'!Y68</f>
        <v>295546.33294735756</v>
      </c>
      <c r="J49" s="429">
        <f>+'Deducible 151'!Y68</f>
        <v>294476.7850706261</v>
      </c>
      <c r="K49" s="429">
        <f>+'Deducible 185'!Y68</f>
        <v>295546.33294735756</v>
      </c>
      <c r="M49" s="405">
        <f t="shared" si="6"/>
        <v>45</v>
      </c>
      <c r="N49" s="405">
        <f t="shared" si="7"/>
        <v>74</v>
      </c>
      <c r="O49" s="452"/>
      <c r="P49" s="452"/>
      <c r="Q49" s="453"/>
      <c r="T49" s="405">
        <f t="shared" si="9"/>
        <v>45</v>
      </c>
      <c r="U49" s="453"/>
      <c r="V49" s="453"/>
      <c r="W49" s="453"/>
      <c r="X49" s="402"/>
      <c r="Y49" s="402"/>
      <c r="Z49" s="454"/>
      <c r="AA49" s="402"/>
      <c r="AB49" s="402"/>
      <c r="AC49" s="461">
        <f>+D100-Bono!J119</f>
        <v>1281869.177225911</v>
      </c>
      <c r="AD49" s="439">
        <v>8</v>
      </c>
      <c r="AE49" s="462">
        <f t="shared" si="12"/>
        <v>120000</v>
      </c>
      <c r="AF49" s="463"/>
      <c r="AG49" s="463"/>
      <c r="AH49" s="463"/>
      <c r="AI49" s="463"/>
      <c r="AJ49" s="463"/>
      <c r="AK49" s="462"/>
      <c r="AL49" s="462"/>
      <c r="AM49" s="462">
        <f>+AE49</f>
        <v>120000</v>
      </c>
      <c r="AN49" s="462">
        <f>+$AE$49*((1+$AG$35))^AF41</f>
        <v>124800</v>
      </c>
      <c r="AO49" s="462">
        <f>+$AE$49*((1+$AG$35))^AG41</f>
        <v>129792.00000000001</v>
      </c>
      <c r="AP49" s="462">
        <f t="shared" ref="AP49:BD49" si="18">+$AE$49*((1+$AG$35))^AH41</f>
        <v>134983.68000000002</v>
      </c>
      <c r="AQ49" s="462">
        <f t="shared" si="18"/>
        <v>140383.0272</v>
      </c>
      <c r="AR49" s="462">
        <f t="shared" si="18"/>
        <v>145998.34828800004</v>
      </c>
      <c r="AS49" s="462">
        <f t="shared" si="18"/>
        <v>151838.28221952004</v>
      </c>
      <c r="AT49" s="462">
        <f t="shared" si="18"/>
        <v>157911.81350830084</v>
      </c>
      <c r="AU49" s="462">
        <f t="shared" si="18"/>
        <v>164228.2860486329</v>
      </c>
      <c r="AV49" s="462">
        <f t="shared" si="18"/>
        <v>170797.41749057823</v>
      </c>
      <c r="AW49" s="462">
        <f t="shared" si="18"/>
        <v>177629.31419020134</v>
      </c>
      <c r="AX49" s="462">
        <f t="shared" si="18"/>
        <v>184734.48675780938</v>
      </c>
      <c r="AY49" s="462">
        <f t="shared" si="18"/>
        <v>192123.8662281218</v>
      </c>
      <c r="AZ49" s="462">
        <f t="shared" si="18"/>
        <v>199808.82087724668</v>
      </c>
      <c r="BA49" s="462">
        <f t="shared" si="18"/>
        <v>207801.17371233655</v>
      </c>
      <c r="BB49" s="462">
        <f t="shared" si="18"/>
        <v>216113.22066083</v>
      </c>
      <c r="BC49" s="462">
        <f t="shared" si="18"/>
        <v>224757.74948726324</v>
      </c>
      <c r="BD49" s="462">
        <f t="shared" si="18"/>
        <v>233748.0594667538</v>
      </c>
    </row>
    <row r="50" spans="1:56" x14ac:dyDescent="0.25">
      <c r="A50" s="426">
        <f t="shared" si="3"/>
        <v>3.8333333333333335</v>
      </c>
      <c r="B50" s="427">
        <f>'OptiMaxx plus'!$T$7+A50</f>
        <v>32.833333333333336</v>
      </c>
      <c r="C50" s="428">
        <f t="shared" si="4"/>
        <v>46</v>
      </c>
      <c r="D50" s="429">
        <f>+'No Deducible 93'!AD69</f>
        <v>652025.430447379</v>
      </c>
      <c r="E50" s="429">
        <f>+'Deducible 151'!AD69</f>
        <v>645905.8276834914</v>
      </c>
      <c r="F50" s="429">
        <f>+'Deducible 185'!AD69</f>
        <v>652025.430447379</v>
      </c>
      <c r="H50" s="428">
        <f t="shared" si="5"/>
        <v>46</v>
      </c>
      <c r="I50" s="429">
        <f>+'No Deducible 93'!Y69</f>
        <v>307589.1048747026</v>
      </c>
      <c r="J50" s="429">
        <f>+'Deducible 151'!Y69</f>
        <v>306449.4025892216</v>
      </c>
      <c r="K50" s="429">
        <f>+'Deducible 185'!Y69</f>
        <v>307589.1048747026</v>
      </c>
      <c r="M50" s="405">
        <f t="shared" si="6"/>
        <v>46</v>
      </c>
      <c r="N50" s="405">
        <f t="shared" si="7"/>
        <v>75</v>
      </c>
      <c r="O50" s="452"/>
      <c r="P50" s="452"/>
      <c r="Q50" s="453"/>
      <c r="T50" s="405">
        <f t="shared" si="9"/>
        <v>46</v>
      </c>
      <c r="U50" s="453"/>
      <c r="V50" s="453"/>
      <c r="W50" s="453"/>
      <c r="X50" s="402"/>
      <c r="Y50" s="402"/>
      <c r="Z50" s="454"/>
      <c r="AA50" s="402"/>
      <c r="AC50" s="461">
        <f>+D112-Bono!J131</f>
        <v>1507759.0661405446</v>
      </c>
      <c r="AD50" s="439">
        <v>9</v>
      </c>
      <c r="AE50" s="462">
        <f t="shared" si="12"/>
        <v>120000</v>
      </c>
      <c r="AF50" s="463"/>
      <c r="AG50" s="463"/>
      <c r="AH50" s="463"/>
      <c r="AI50" s="463"/>
      <c r="AJ50" s="463"/>
      <c r="AK50" s="462"/>
      <c r="AL50" s="462"/>
      <c r="AM50" s="462"/>
      <c r="AN50" s="462">
        <f>+AE50</f>
        <v>120000</v>
      </c>
      <c r="AO50" s="462">
        <f>+$AE$50*((1+$AG$35))^AF41</f>
        <v>124800</v>
      </c>
      <c r="AP50" s="462">
        <f>+$AE$50*((1+$AG$35))^AG41</f>
        <v>129792.00000000001</v>
      </c>
      <c r="AQ50" s="462">
        <f t="shared" ref="AQ50:BD50" si="19">+$AE$50*((1+$AG$35))^AH41</f>
        <v>134983.68000000002</v>
      </c>
      <c r="AR50" s="462">
        <f t="shared" si="19"/>
        <v>140383.0272</v>
      </c>
      <c r="AS50" s="462">
        <f t="shared" si="19"/>
        <v>145998.34828800004</v>
      </c>
      <c r="AT50" s="462">
        <f t="shared" si="19"/>
        <v>151838.28221952004</v>
      </c>
      <c r="AU50" s="462">
        <f t="shared" si="19"/>
        <v>157911.81350830084</v>
      </c>
      <c r="AV50" s="462">
        <f t="shared" si="19"/>
        <v>164228.2860486329</v>
      </c>
      <c r="AW50" s="462">
        <f t="shared" si="19"/>
        <v>170797.41749057823</v>
      </c>
      <c r="AX50" s="462">
        <f t="shared" si="19"/>
        <v>177629.31419020134</v>
      </c>
      <c r="AY50" s="462">
        <f t="shared" si="19"/>
        <v>184734.48675780938</v>
      </c>
      <c r="AZ50" s="462">
        <f t="shared" si="19"/>
        <v>192123.8662281218</v>
      </c>
      <c r="BA50" s="462">
        <f t="shared" si="19"/>
        <v>199808.82087724668</v>
      </c>
      <c r="BB50" s="462">
        <f t="shared" si="19"/>
        <v>207801.17371233655</v>
      </c>
      <c r="BC50" s="462">
        <f t="shared" si="19"/>
        <v>216113.22066083</v>
      </c>
      <c r="BD50" s="462">
        <f t="shared" si="19"/>
        <v>224757.74948726324</v>
      </c>
    </row>
    <row r="51" spans="1:56" x14ac:dyDescent="0.25">
      <c r="A51" s="426">
        <f t="shared" si="3"/>
        <v>3.9166666666666665</v>
      </c>
      <c r="B51" s="427">
        <f>'OptiMaxx plus'!$T$7+A51</f>
        <v>32.916666666666664</v>
      </c>
      <c r="C51" s="428">
        <f t="shared" si="4"/>
        <v>47</v>
      </c>
      <c r="D51" s="429">
        <f>+'No Deducible 93'!AD70</f>
        <v>666446.9926469127</v>
      </c>
      <c r="E51" s="429">
        <f>+'Deducible 151'!AD70</f>
        <v>660187.3797240115</v>
      </c>
      <c r="F51" s="429">
        <f>+'Deducible 185'!AD70</f>
        <v>666446.9926469127</v>
      </c>
      <c r="H51" s="428">
        <f t="shared" si="5"/>
        <v>47</v>
      </c>
      <c r="I51" s="429">
        <f>+'No Deducible 93'!Y70</f>
        <v>319715.7687538676</v>
      </c>
      <c r="J51" s="429">
        <f>+'Deducible 151'!Y70</f>
        <v>318503.4924581437</v>
      </c>
      <c r="K51" s="429">
        <f>+'Deducible 185'!Y70</f>
        <v>319715.7687538676</v>
      </c>
      <c r="M51" s="405">
        <f t="shared" si="6"/>
        <v>47</v>
      </c>
      <c r="N51" s="405">
        <f t="shared" si="7"/>
        <v>76</v>
      </c>
      <c r="O51" s="452"/>
      <c r="P51" s="452"/>
      <c r="Q51" s="453"/>
      <c r="T51" s="405">
        <f t="shared" si="9"/>
        <v>47</v>
      </c>
      <c r="U51" s="453"/>
      <c r="V51" s="453"/>
      <c r="W51" s="453"/>
      <c r="X51" s="402"/>
      <c r="Y51" s="402"/>
      <c r="Z51" s="454"/>
      <c r="AA51" s="402"/>
      <c r="AC51" s="461">
        <f>+D124-Bono!J143</f>
        <v>1752750.205732254</v>
      </c>
      <c r="AD51" s="439">
        <v>10</v>
      </c>
      <c r="AE51" s="462">
        <f t="shared" si="12"/>
        <v>120000</v>
      </c>
      <c r="AF51" s="463"/>
      <c r="AG51" s="463"/>
      <c r="AH51" s="463"/>
      <c r="AI51" s="463"/>
      <c r="AJ51" s="463"/>
      <c r="AK51" s="462"/>
      <c r="AL51" s="462"/>
      <c r="AM51" s="462"/>
      <c r="AN51" s="462"/>
      <c r="AO51" s="462">
        <f>+AE51</f>
        <v>120000</v>
      </c>
      <c r="AP51" s="462">
        <f>+$AE$51*((1+$AG$35))^AF41</f>
        <v>124800</v>
      </c>
      <c r="AQ51" s="462">
        <f>+$AE$51*((1+$AG$35))^AG41</f>
        <v>129792.00000000001</v>
      </c>
      <c r="AR51" s="462">
        <f t="shared" ref="AR51:BD51" si="20">+$AE$51*((1+$AG$35))^AH41</f>
        <v>134983.68000000002</v>
      </c>
      <c r="AS51" s="462">
        <f t="shared" si="20"/>
        <v>140383.0272</v>
      </c>
      <c r="AT51" s="462">
        <f t="shared" si="20"/>
        <v>145998.34828800004</v>
      </c>
      <c r="AU51" s="462">
        <f t="shared" si="20"/>
        <v>151838.28221952004</v>
      </c>
      <c r="AV51" s="462">
        <f t="shared" si="20"/>
        <v>157911.81350830084</v>
      </c>
      <c r="AW51" s="462">
        <f t="shared" si="20"/>
        <v>164228.2860486329</v>
      </c>
      <c r="AX51" s="462">
        <f t="shared" si="20"/>
        <v>170797.41749057823</v>
      </c>
      <c r="AY51" s="462">
        <f t="shared" si="20"/>
        <v>177629.31419020134</v>
      </c>
      <c r="AZ51" s="462">
        <f t="shared" si="20"/>
        <v>184734.48675780938</v>
      </c>
      <c r="BA51" s="462">
        <f t="shared" si="20"/>
        <v>192123.8662281218</v>
      </c>
      <c r="BB51" s="462">
        <f t="shared" si="20"/>
        <v>199808.82087724668</v>
      </c>
      <c r="BC51" s="462">
        <f t="shared" si="20"/>
        <v>207801.17371233655</v>
      </c>
      <c r="BD51" s="462">
        <f t="shared" si="20"/>
        <v>216113.22066083</v>
      </c>
    </row>
    <row r="52" spans="1:56" x14ac:dyDescent="0.25">
      <c r="A52" s="426">
        <f t="shared" si="3"/>
        <v>4</v>
      </c>
      <c r="B52" s="427">
        <f>'OptiMaxx plus'!$T$7+A52</f>
        <v>33</v>
      </c>
      <c r="C52" s="428">
        <f t="shared" si="4"/>
        <v>48</v>
      </c>
      <c r="D52" s="429">
        <f>+'No Deducible 93'!AD71</f>
        <v>677825.752501232</v>
      </c>
      <c r="E52" s="429">
        <f>+'Deducible 151'!AD71</f>
        <v>671172.657137988</v>
      </c>
      <c r="F52" s="429">
        <f>+'Deducible 185'!AD71</f>
        <v>677825.752501232</v>
      </c>
      <c r="H52" s="428">
        <f t="shared" si="5"/>
        <v>48</v>
      </c>
      <c r="I52" s="429">
        <f>+'No Deducible 93'!Y71</f>
        <v>331926.9089901394</v>
      </c>
      <c r="J52" s="429">
        <f>+'Deducible 151'!Y71</f>
        <v>330639.609087809</v>
      </c>
      <c r="K52" s="429">
        <f>+'Deducible 185'!Y71</f>
        <v>331926.9089901394</v>
      </c>
      <c r="M52" s="405">
        <f t="shared" si="6"/>
        <v>48</v>
      </c>
      <c r="N52" s="405">
        <f t="shared" si="7"/>
        <v>77</v>
      </c>
      <c r="O52" s="452"/>
      <c r="P52" s="452"/>
      <c r="Q52" s="453"/>
      <c r="T52" s="405">
        <f t="shared" si="9"/>
        <v>48</v>
      </c>
      <c r="U52" s="453"/>
      <c r="V52" s="453"/>
      <c r="W52" s="453"/>
      <c r="X52" s="402"/>
      <c r="Y52" s="402"/>
      <c r="Z52" s="454"/>
      <c r="AA52" s="402"/>
      <c r="AC52" s="461">
        <f>+D136-Bono!J155</f>
        <v>2018477.1837030002</v>
      </c>
      <c r="AD52" s="439">
        <v>11</v>
      </c>
      <c r="AE52" s="462">
        <f t="shared" si="12"/>
        <v>120000</v>
      </c>
      <c r="AF52" s="463"/>
      <c r="AG52" s="463"/>
      <c r="AH52" s="463"/>
      <c r="AI52" s="463"/>
      <c r="AJ52" s="463"/>
      <c r="AK52" s="462"/>
      <c r="AL52" s="462"/>
      <c r="AM52" s="462"/>
      <c r="AN52" s="462"/>
      <c r="AO52" s="462"/>
      <c r="AP52" s="462">
        <f>+AE52</f>
        <v>120000</v>
      </c>
      <c r="AQ52" s="462">
        <f>+$AE$52*((1+$AG$35))^AF41</f>
        <v>124800</v>
      </c>
      <c r="AR52" s="462">
        <f>+$AE$52*((1+$AG$35))^AG41</f>
        <v>129792.00000000001</v>
      </c>
      <c r="AS52" s="462">
        <f t="shared" ref="AS52:BD52" si="21">+$AE$52*((1+$AG$35))^AH41</f>
        <v>134983.68000000002</v>
      </c>
      <c r="AT52" s="462">
        <f t="shared" si="21"/>
        <v>140383.0272</v>
      </c>
      <c r="AU52" s="462">
        <f t="shared" si="21"/>
        <v>145998.34828800004</v>
      </c>
      <c r="AV52" s="462">
        <f t="shared" si="21"/>
        <v>151838.28221952004</v>
      </c>
      <c r="AW52" s="462">
        <f t="shared" si="21"/>
        <v>157911.81350830084</v>
      </c>
      <c r="AX52" s="462">
        <f t="shared" si="21"/>
        <v>164228.2860486329</v>
      </c>
      <c r="AY52" s="462">
        <f t="shared" si="21"/>
        <v>170797.41749057823</v>
      </c>
      <c r="AZ52" s="462">
        <f t="shared" si="21"/>
        <v>177629.31419020134</v>
      </c>
      <c r="BA52" s="462">
        <f t="shared" si="21"/>
        <v>184734.48675780938</v>
      </c>
      <c r="BB52" s="462">
        <f t="shared" si="21"/>
        <v>192123.8662281218</v>
      </c>
      <c r="BC52" s="462">
        <f t="shared" si="21"/>
        <v>199808.82087724668</v>
      </c>
      <c r="BD52" s="462">
        <f t="shared" si="21"/>
        <v>207801.17371233655</v>
      </c>
    </row>
    <row r="53" spans="1:56" x14ac:dyDescent="0.25">
      <c r="A53" s="426">
        <f t="shared" si="3"/>
        <v>4.083333333333333</v>
      </c>
      <c r="B53" s="427">
        <f>'OptiMaxx plus'!$T$7+A53</f>
        <v>33.083333333333336</v>
      </c>
      <c r="C53" s="428">
        <f t="shared" si="4"/>
        <v>49</v>
      </c>
      <c r="D53" s="429">
        <f>+'No Deducible 93'!AD72</f>
        <v>692423.2687514082</v>
      </c>
      <c r="E53" s="429">
        <f>+'Deducible 151'!AD72</f>
        <v>685621.9009310347</v>
      </c>
      <c r="F53" s="429">
        <f>+'Deducible 185'!AD72</f>
        <v>692423.2687514082</v>
      </c>
      <c r="H53" s="428">
        <f t="shared" si="5"/>
        <v>49</v>
      </c>
      <c r="I53" s="429">
        <f>+'No Deducible 93'!Y72</f>
        <v>344219.6854743969</v>
      </c>
      <c r="J53" s="429">
        <f>+'Deducible 151'!Y72</f>
        <v>342854.3381156935</v>
      </c>
      <c r="K53" s="429">
        <f>+'Deducible 185'!Y72</f>
        <v>344219.6854743969</v>
      </c>
      <c r="M53" s="405">
        <f t="shared" si="6"/>
        <v>49</v>
      </c>
      <c r="N53" s="405">
        <f t="shared" si="7"/>
        <v>78</v>
      </c>
      <c r="O53" s="452"/>
      <c r="P53" s="452"/>
      <c r="Q53" s="453"/>
      <c r="T53" s="405">
        <f t="shared" si="9"/>
        <v>49</v>
      </c>
      <c r="U53" s="453"/>
      <c r="V53" s="453"/>
      <c r="W53" s="453"/>
      <c r="X53" s="402"/>
      <c r="Y53" s="402"/>
      <c r="Z53" s="454"/>
      <c r="AA53" s="402"/>
      <c r="AC53" s="461">
        <f>+D148-Bono!J167</f>
        <v>2306715.4091763864</v>
      </c>
      <c r="AD53" s="439">
        <v>12</v>
      </c>
      <c r="AE53" s="462">
        <f t="shared" si="12"/>
        <v>120000</v>
      </c>
      <c r="AF53" s="463"/>
      <c r="AG53" s="463"/>
      <c r="AH53" s="463"/>
      <c r="AI53" s="463"/>
      <c r="AJ53" s="463"/>
      <c r="AK53" s="462"/>
      <c r="AL53" s="462"/>
      <c r="AM53" s="462"/>
      <c r="AN53" s="462"/>
      <c r="AO53" s="462"/>
      <c r="AP53" s="462"/>
      <c r="AQ53" s="462">
        <f>+AE53</f>
        <v>120000</v>
      </c>
      <c r="AR53" s="462">
        <f>+$AE$53*((1+$AG$35))^AF41</f>
        <v>124800</v>
      </c>
      <c r="AS53" s="462">
        <f>+$AE$53*((1+$AG$35))^AG41</f>
        <v>129792.00000000001</v>
      </c>
      <c r="AT53" s="462">
        <f t="shared" ref="AT53:BD53" si="22">+$AE$53*((1+$AG$35))^AH41</f>
        <v>134983.68000000002</v>
      </c>
      <c r="AU53" s="462">
        <f t="shared" si="22"/>
        <v>140383.0272</v>
      </c>
      <c r="AV53" s="462">
        <f t="shared" si="22"/>
        <v>145998.34828800004</v>
      </c>
      <c r="AW53" s="462">
        <f t="shared" si="22"/>
        <v>151838.28221952004</v>
      </c>
      <c r="AX53" s="462">
        <f t="shared" si="22"/>
        <v>157911.81350830084</v>
      </c>
      <c r="AY53" s="462">
        <f t="shared" si="22"/>
        <v>164228.2860486329</v>
      </c>
      <c r="AZ53" s="462">
        <f t="shared" si="22"/>
        <v>170797.41749057823</v>
      </c>
      <c r="BA53" s="462">
        <f t="shared" si="22"/>
        <v>177629.31419020134</v>
      </c>
      <c r="BB53" s="462">
        <f t="shared" si="22"/>
        <v>184734.48675780938</v>
      </c>
      <c r="BC53" s="462">
        <f t="shared" si="22"/>
        <v>192123.8662281218</v>
      </c>
      <c r="BD53" s="462">
        <f t="shared" si="22"/>
        <v>199808.82087724668</v>
      </c>
    </row>
    <row r="54" spans="1:56" x14ac:dyDescent="0.25">
      <c r="A54" s="426">
        <f t="shared" si="3"/>
        <v>4.166666666666667</v>
      </c>
      <c r="B54" s="427">
        <f>'OptiMaxx plus'!$T$7+A54</f>
        <v>33.166666666666664</v>
      </c>
      <c r="C54" s="428">
        <f t="shared" si="4"/>
        <v>50</v>
      </c>
      <c r="D54" s="429">
        <f>+'No Deducible 93'!AD73</f>
        <v>707121.8236506189</v>
      </c>
      <c r="E54" s="429">
        <f>+'Deducible 151'!AD73</f>
        <v>700168.9570282882</v>
      </c>
      <c r="F54" s="429">
        <f>+'Deducible 185'!AD73</f>
        <v>707121.8236506189</v>
      </c>
      <c r="H54" s="428">
        <f t="shared" si="5"/>
        <v>50</v>
      </c>
      <c r="I54" s="429">
        <f>+'No Deducible 93'!Y73</f>
        <v>356598.09548379085</v>
      </c>
      <c r="J54" s="429">
        <f>+'Deducible 151'!Y73</f>
        <v>355152.18703619606</v>
      </c>
      <c r="K54" s="429">
        <f>+'Deducible 185'!Y73</f>
        <v>356598.09548379085</v>
      </c>
      <c r="M54" s="405">
        <f t="shared" si="6"/>
        <v>50</v>
      </c>
      <c r="N54" s="405">
        <f t="shared" si="7"/>
        <v>79</v>
      </c>
      <c r="O54" s="452"/>
      <c r="P54" s="452"/>
      <c r="Q54" s="453"/>
      <c r="T54" s="405">
        <f t="shared" si="9"/>
        <v>50</v>
      </c>
      <c r="U54" s="453"/>
      <c r="V54" s="453"/>
      <c r="W54" s="453"/>
      <c r="X54" s="402"/>
      <c r="Y54" s="402"/>
      <c r="Z54" s="454"/>
      <c r="AA54" s="402"/>
      <c r="AC54" s="461">
        <f>+D160-Bono!J179</f>
        <v>2619393.2899614284</v>
      </c>
      <c r="AD54" s="439">
        <v>13</v>
      </c>
      <c r="AE54" s="462">
        <f t="shared" si="12"/>
        <v>120000</v>
      </c>
      <c r="AF54" s="463"/>
      <c r="AG54" s="463"/>
      <c r="AH54" s="463"/>
      <c r="AI54" s="463"/>
      <c r="AJ54" s="463"/>
      <c r="AK54" s="462"/>
      <c r="AL54" s="462"/>
      <c r="AM54" s="462"/>
      <c r="AN54" s="462"/>
      <c r="AO54" s="462"/>
      <c r="AP54" s="462"/>
      <c r="AQ54" s="462"/>
      <c r="AR54" s="462">
        <f>+AE54</f>
        <v>120000</v>
      </c>
      <c r="AS54" s="462">
        <f>+$AE$54*((1+$AG$35))^AF41</f>
        <v>124800</v>
      </c>
      <c r="AT54" s="462">
        <f>+$AE$54*((1+$AG$35))^AG41</f>
        <v>129792.00000000001</v>
      </c>
      <c r="AU54" s="462">
        <f t="shared" ref="AU54:BD54" si="23">+$AE$54*((1+$AG$35))^AH41</f>
        <v>134983.68000000002</v>
      </c>
      <c r="AV54" s="462">
        <f t="shared" si="23"/>
        <v>140383.0272</v>
      </c>
      <c r="AW54" s="462">
        <f t="shared" si="23"/>
        <v>145998.34828800004</v>
      </c>
      <c r="AX54" s="462">
        <f t="shared" si="23"/>
        <v>151838.28221952004</v>
      </c>
      <c r="AY54" s="462">
        <f t="shared" si="23"/>
        <v>157911.81350830084</v>
      </c>
      <c r="AZ54" s="462">
        <f t="shared" si="23"/>
        <v>164228.2860486329</v>
      </c>
      <c r="BA54" s="462">
        <f t="shared" si="23"/>
        <v>170797.41749057823</v>
      </c>
      <c r="BB54" s="462">
        <f t="shared" si="23"/>
        <v>177629.31419020134</v>
      </c>
      <c r="BC54" s="462">
        <f t="shared" si="23"/>
        <v>184734.48675780938</v>
      </c>
      <c r="BD54" s="462">
        <f t="shared" si="23"/>
        <v>192123.8662281218</v>
      </c>
    </row>
    <row r="55" spans="1:56" x14ac:dyDescent="0.25">
      <c r="A55" s="426">
        <f t="shared" si="3"/>
        <v>4.25</v>
      </c>
      <c r="B55" s="427">
        <f>'OptiMaxx plus'!$T$7+A55</f>
        <v>33.25</v>
      </c>
      <c r="C55" s="428">
        <f t="shared" si="4"/>
        <v>51</v>
      </c>
      <c r="D55" s="429">
        <f>+'No Deducible 93'!AD74</f>
        <v>718745.1264486816</v>
      </c>
      <c r="E55" s="429">
        <f>+'Deducible 151'!AD74</f>
        <v>711388.4016851289</v>
      </c>
      <c r="F55" s="429">
        <f>+'Deducible 185'!AD74</f>
        <v>718745.1264486816</v>
      </c>
      <c r="H55" s="428">
        <f t="shared" si="5"/>
        <v>51</v>
      </c>
      <c r="I55" s="429">
        <f>+'No Deducible 93'!Y74</f>
        <v>369062.7355556971</v>
      </c>
      <c r="J55" s="429">
        <f>+'Deducible 151'!Y74</f>
        <v>367533.7214710782</v>
      </c>
      <c r="K55" s="429">
        <f>+'Deducible 185'!Y74</f>
        <v>369062.7355556971</v>
      </c>
      <c r="M55" s="405">
        <f t="shared" si="6"/>
        <v>51</v>
      </c>
      <c r="N55" s="405">
        <f t="shared" si="7"/>
        <v>80</v>
      </c>
      <c r="O55" s="452"/>
      <c r="P55" s="452"/>
      <c r="Q55" s="453"/>
      <c r="T55" s="405">
        <f t="shared" si="9"/>
        <v>51</v>
      </c>
      <c r="U55" s="453"/>
      <c r="V55" s="453"/>
      <c r="W55" s="453"/>
      <c r="X55" s="402"/>
      <c r="Y55" s="402"/>
      <c r="Z55" s="454"/>
      <c r="AA55" s="402"/>
      <c r="AC55" s="461">
        <f>+D172-Bono!J191</f>
        <v>2958605.464997486</v>
      </c>
      <c r="AD55" s="439">
        <v>14</v>
      </c>
      <c r="AE55" s="462">
        <f t="shared" si="12"/>
        <v>120000</v>
      </c>
      <c r="AF55" s="463"/>
      <c r="AG55" s="463"/>
      <c r="AH55" s="463"/>
      <c r="AI55" s="463"/>
      <c r="AJ55" s="463"/>
      <c r="AK55" s="462"/>
      <c r="AL55" s="462"/>
      <c r="AM55" s="462"/>
      <c r="AN55" s="462"/>
      <c r="AO55" s="462"/>
      <c r="AP55" s="462"/>
      <c r="AQ55" s="462"/>
      <c r="AR55" s="462"/>
      <c r="AS55" s="462">
        <f>+AE55</f>
        <v>120000</v>
      </c>
      <c r="AT55" s="462">
        <f>+$AE$55*((1+$AG$35))^AF41</f>
        <v>124800</v>
      </c>
      <c r="AU55" s="462">
        <f>+$AE$55*((1+$AG$35))^AG41</f>
        <v>129792.00000000001</v>
      </c>
      <c r="AV55" s="462">
        <f t="shared" ref="AV55:BD55" si="24">+$AE$55*((1+$AG$35))^AH41</f>
        <v>134983.68000000002</v>
      </c>
      <c r="AW55" s="462">
        <f t="shared" si="24"/>
        <v>140383.0272</v>
      </c>
      <c r="AX55" s="462">
        <f t="shared" si="24"/>
        <v>145998.34828800004</v>
      </c>
      <c r="AY55" s="462">
        <f t="shared" si="24"/>
        <v>151838.28221952004</v>
      </c>
      <c r="AZ55" s="462">
        <f t="shared" si="24"/>
        <v>157911.81350830084</v>
      </c>
      <c r="BA55" s="462">
        <f t="shared" si="24"/>
        <v>164228.2860486329</v>
      </c>
      <c r="BB55" s="462">
        <f t="shared" si="24"/>
        <v>170797.41749057823</v>
      </c>
      <c r="BC55" s="462">
        <f t="shared" si="24"/>
        <v>177629.31419020134</v>
      </c>
      <c r="BD55" s="462">
        <f t="shared" si="24"/>
        <v>184734.48675780938</v>
      </c>
    </row>
    <row r="56" spans="1:56" x14ac:dyDescent="0.25">
      <c r="A56" s="426">
        <f t="shared" si="3"/>
        <v>4.333333333333333</v>
      </c>
      <c r="B56" s="427">
        <f>'OptiMaxx plus'!$T$7+A56</f>
        <v>33.333333333333336</v>
      </c>
      <c r="C56" s="428">
        <f t="shared" si="4"/>
        <v>52</v>
      </c>
      <c r="D56" s="429">
        <f>+'No Deducible 93'!AD75</f>
        <v>733626.693781122</v>
      </c>
      <c r="E56" s="429">
        <f>+'Deducible 151'!AD75</f>
        <v>726110.5196782915</v>
      </c>
      <c r="F56" s="429">
        <f>+'Deducible 185'!AD75</f>
        <v>733626.693781122</v>
      </c>
      <c r="H56" s="428">
        <f t="shared" si="5"/>
        <v>52</v>
      </c>
      <c r="I56" s="429">
        <f>+'No Deducible 93'!Y75</f>
        <v>381614.20638307027</v>
      </c>
      <c r="J56" s="429">
        <f>+'Deducible 151'!Y75</f>
        <v>379999.5108910956</v>
      </c>
      <c r="K56" s="429">
        <f>+'Deducible 185'!Y75</f>
        <v>381614.20638307027</v>
      </c>
      <c r="M56" s="405">
        <f t="shared" si="6"/>
        <v>52</v>
      </c>
      <c r="N56" s="405">
        <f t="shared" si="7"/>
        <v>81</v>
      </c>
      <c r="O56" s="452"/>
      <c r="P56" s="452"/>
      <c r="Q56" s="453"/>
      <c r="T56" s="405">
        <f t="shared" si="9"/>
        <v>52</v>
      </c>
      <c r="U56" s="453"/>
      <c r="V56" s="453"/>
      <c r="W56" s="453"/>
      <c r="X56" s="402"/>
      <c r="Y56" s="402"/>
      <c r="Z56" s="454"/>
      <c r="AA56" s="402"/>
      <c r="AC56" s="461">
        <f>+D184-Bono!J203</f>
        <v>3326627.183517871</v>
      </c>
      <c r="AD56" s="439">
        <v>15</v>
      </c>
      <c r="AE56" s="462">
        <f t="shared" si="12"/>
        <v>120000</v>
      </c>
      <c r="AF56" s="463"/>
      <c r="AG56" s="463"/>
      <c r="AH56" s="463"/>
      <c r="AI56" s="463"/>
      <c r="AJ56" s="463"/>
      <c r="AK56" s="462"/>
      <c r="AL56" s="462"/>
      <c r="AM56" s="462"/>
      <c r="AN56" s="462"/>
      <c r="AO56" s="462"/>
      <c r="AP56" s="462"/>
      <c r="AQ56" s="462"/>
      <c r="AR56" s="462"/>
      <c r="AS56" s="462"/>
      <c r="AT56" s="462">
        <f>+AE56</f>
        <v>120000</v>
      </c>
      <c r="AU56" s="462">
        <f>+$AE$56*((1+$AG$35))^AF41</f>
        <v>124800</v>
      </c>
      <c r="AV56" s="462">
        <f>+$AE$56*((1+$AG$35))^AG41</f>
        <v>129792.00000000001</v>
      </c>
      <c r="AW56" s="462">
        <f t="shared" ref="AW56:BD56" si="25">+$AE$56*((1+$AG$35))^AH41</f>
        <v>134983.68000000002</v>
      </c>
      <c r="AX56" s="462">
        <f t="shared" si="25"/>
        <v>140383.0272</v>
      </c>
      <c r="AY56" s="462">
        <f t="shared" si="25"/>
        <v>145998.34828800004</v>
      </c>
      <c r="AZ56" s="462">
        <f t="shared" si="25"/>
        <v>151838.28221952004</v>
      </c>
      <c r="BA56" s="462">
        <f t="shared" si="25"/>
        <v>157911.81350830084</v>
      </c>
      <c r="BB56" s="462">
        <f t="shared" si="25"/>
        <v>164228.2860486329</v>
      </c>
      <c r="BC56" s="462">
        <f t="shared" si="25"/>
        <v>170797.41749057823</v>
      </c>
      <c r="BD56" s="462">
        <f t="shared" si="25"/>
        <v>177629.31419020134</v>
      </c>
    </row>
    <row r="57" spans="1:56" x14ac:dyDescent="0.25">
      <c r="A57" s="426">
        <f t="shared" si="3"/>
        <v>4.416666666666667</v>
      </c>
      <c r="B57" s="427">
        <f>'OptiMaxx plus'!$T$7+A57</f>
        <v>33.416666666666664</v>
      </c>
      <c r="C57" s="428">
        <f t="shared" si="4"/>
        <v>53</v>
      </c>
      <c r="D57" s="429">
        <f>+'No Deducible 93'!AD76</f>
        <v>748611.2723090516</v>
      </c>
      <c r="E57" s="429">
        <f>+'Deducible 151'!AD76</f>
        <v>740932.3019594847</v>
      </c>
      <c r="F57" s="429">
        <f>+'Deducible 185'!AD76</f>
        <v>748611.2723090516</v>
      </c>
      <c r="H57" s="428">
        <f t="shared" si="5"/>
        <v>53</v>
      </c>
      <c r="I57" s="429">
        <f>+'No Deducible 93'!Y76</f>
        <v>394253.1128433919</v>
      </c>
      <c r="J57" s="429">
        <f>+'Deducible 151'!Y76</f>
        <v>392550.1286421899</v>
      </c>
      <c r="K57" s="429">
        <f>+'Deducible 185'!Y76</f>
        <v>394253.1128433919</v>
      </c>
      <c r="M57" s="405">
        <f t="shared" si="6"/>
        <v>53</v>
      </c>
      <c r="N57" s="405">
        <f t="shared" si="7"/>
        <v>82</v>
      </c>
      <c r="O57" s="452"/>
      <c r="P57" s="452"/>
      <c r="Q57" s="453"/>
      <c r="T57" s="405">
        <f t="shared" si="9"/>
        <v>53</v>
      </c>
      <c r="U57" s="453"/>
      <c r="V57" s="453"/>
      <c r="W57" s="453"/>
      <c r="X57" s="402"/>
      <c r="Y57" s="402"/>
      <c r="Z57" s="454"/>
      <c r="AA57" s="402"/>
      <c r="AC57" s="461">
        <f>+D196-Bono!J215</f>
        <v>3725929.93041552</v>
      </c>
      <c r="AD57" s="439">
        <v>16</v>
      </c>
      <c r="AE57" s="462">
        <f t="shared" si="12"/>
        <v>120000</v>
      </c>
      <c r="AF57" s="463"/>
      <c r="AG57" s="463"/>
      <c r="AH57" s="463"/>
      <c r="AI57" s="463"/>
      <c r="AJ57" s="463"/>
      <c r="AK57" s="462"/>
      <c r="AL57" s="462"/>
      <c r="AM57" s="462"/>
      <c r="AN57" s="462"/>
      <c r="AO57" s="462"/>
      <c r="AP57" s="462"/>
      <c r="AQ57" s="462"/>
      <c r="AR57" s="462"/>
      <c r="AS57" s="462"/>
      <c r="AT57" s="462"/>
      <c r="AU57" s="462">
        <f>+AE57</f>
        <v>120000</v>
      </c>
      <c r="AV57" s="462">
        <f>+$AE$57*((1+$AG$35))^AF41</f>
        <v>124800</v>
      </c>
      <c r="AW57" s="462">
        <f>+$AE$57*((1+$AG$35))^AG41</f>
        <v>129792.00000000001</v>
      </c>
      <c r="AX57" s="462">
        <f t="shared" ref="AX57:BD57" si="26">+$AE$57*((1+$AG$35))^AH41</f>
        <v>134983.68000000002</v>
      </c>
      <c r="AY57" s="462">
        <f t="shared" si="26"/>
        <v>140383.0272</v>
      </c>
      <c r="AZ57" s="462">
        <f t="shared" si="26"/>
        <v>145998.34828800004</v>
      </c>
      <c r="BA57" s="462">
        <f t="shared" si="26"/>
        <v>151838.28221952004</v>
      </c>
      <c r="BB57" s="462">
        <f t="shared" si="26"/>
        <v>157911.81350830084</v>
      </c>
      <c r="BC57" s="462">
        <f t="shared" si="26"/>
        <v>164228.2860486329</v>
      </c>
      <c r="BD57" s="462">
        <f t="shared" si="26"/>
        <v>170797.41749057823</v>
      </c>
    </row>
    <row r="58" spans="1:56" x14ac:dyDescent="0.25">
      <c r="A58" s="426">
        <f t="shared" si="3"/>
        <v>4.5</v>
      </c>
      <c r="B58" s="427">
        <f>'OptiMaxx plus'!$T$7+A58</f>
        <v>33.5</v>
      </c>
      <c r="C58" s="428">
        <f t="shared" si="4"/>
        <v>54</v>
      </c>
      <c r="D58" s="429">
        <f>+'No Deducible 93'!AD77</f>
        <v>760487.8318329401</v>
      </c>
      <c r="E58" s="429">
        <f>+'Deducible 151'!AD77</f>
        <v>752394.874929929</v>
      </c>
      <c r="F58" s="429">
        <f>+'Deducible 185'!AD77</f>
        <v>760487.8318329401</v>
      </c>
      <c r="H58" s="428">
        <f t="shared" si="5"/>
        <v>54</v>
      </c>
      <c r="I58" s="429">
        <f>+'No Deducible 93'!Y77</f>
        <v>406980.06402782054</v>
      </c>
      <c r="J58" s="429">
        <f>+'Deducible 151'!Y77</f>
        <v>405186.15197185904</v>
      </c>
      <c r="K58" s="429">
        <f>+'Deducible 185'!Y77</f>
        <v>406980.06402782054</v>
      </c>
      <c r="O58" s="453"/>
      <c r="P58" s="453"/>
      <c r="Q58" s="453"/>
      <c r="T58" s="405">
        <f t="shared" si="9"/>
        <v>54</v>
      </c>
      <c r="U58" s="453"/>
      <c r="V58" s="453"/>
      <c r="W58" s="453"/>
      <c r="X58" s="402"/>
      <c r="Y58" s="402"/>
      <c r="Z58" s="454"/>
      <c r="AA58" s="402"/>
      <c r="AC58" s="461">
        <f>+D208-Bono!J227</f>
        <v>4159198.4059300716</v>
      </c>
      <c r="AD58" s="439">
        <v>17</v>
      </c>
      <c r="AE58" s="462">
        <f t="shared" si="12"/>
        <v>120000</v>
      </c>
      <c r="AF58" s="463"/>
      <c r="AG58" s="463"/>
      <c r="AH58" s="463"/>
      <c r="AI58" s="463"/>
      <c r="AJ58" s="463"/>
      <c r="AK58" s="462"/>
      <c r="AL58" s="462"/>
      <c r="AM58" s="462"/>
      <c r="AN58" s="462"/>
      <c r="AO58" s="462"/>
      <c r="AP58" s="462"/>
      <c r="AQ58" s="462"/>
      <c r="AR58" s="462"/>
      <c r="AS58" s="462"/>
      <c r="AT58" s="462"/>
      <c r="AU58" s="462"/>
      <c r="AV58" s="462">
        <f>+AE58</f>
        <v>120000</v>
      </c>
      <c r="AW58" s="462">
        <f>+$AE$58*((1+$AG$35))^AF41</f>
        <v>124800</v>
      </c>
      <c r="AX58" s="462">
        <f>+$AE$58*((1+$AG$35))^AG41</f>
        <v>129792.00000000001</v>
      </c>
      <c r="AY58" s="462">
        <f t="shared" ref="AY58:BD58" si="27">+$AE$58*((1+$AG$35))^AH41</f>
        <v>134983.68000000002</v>
      </c>
      <c r="AZ58" s="462">
        <f t="shared" si="27"/>
        <v>140383.0272</v>
      </c>
      <c r="BA58" s="462">
        <f t="shared" si="27"/>
        <v>145998.34828800004</v>
      </c>
      <c r="BB58" s="462">
        <f t="shared" si="27"/>
        <v>151838.28221952004</v>
      </c>
      <c r="BC58" s="462">
        <f t="shared" si="27"/>
        <v>157911.81350830084</v>
      </c>
      <c r="BD58" s="462">
        <f t="shared" si="27"/>
        <v>164228.2860486329</v>
      </c>
    </row>
    <row r="59" spans="1:56" x14ac:dyDescent="0.25">
      <c r="A59" s="426">
        <f t="shared" si="3"/>
        <v>4.583333333333333</v>
      </c>
      <c r="B59" s="427">
        <f>'OptiMaxx plus'!$T$7+A59</f>
        <v>33.583333333333336</v>
      </c>
      <c r="C59" s="428">
        <f t="shared" si="4"/>
        <v>55</v>
      </c>
      <c r="D59" s="429">
        <f>+'No Deducible 93'!AD78</f>
        <v>775659.1761722807</v>
      </c>
      <c r="E59" s="429">
        <f>+'Deducible 151'!AD78</f>
        <v>767395.2404145389</v>
      </c>
      <c r="F59" s="429">
        <f>+'Deducible 185'!AD78</f>
        <v>775659.1761722807</v>
      </c>
      <c r="H59" s="428">
        <f t="shared" si="5"/>
        <v>55</v>
      </c>
      <c r="I59" s="429">
        <f>+'No Deducible 93'!Y78</f>
        <v>419795.67327054526</v>
      </c>
      <c r="J59" s="429">
        <f>+'Deducible 151'!Y78</f>
        <v>417908.1620557071</v>
      </c>
      <c r="K59" s="429">
        <f>+'Deducible 185'!Y78</f>
        <v>419795.67327054526</v>
      </c>
      <c r="O59" s="453"/>
      <c r="P59" s="453"/>
      <c r="Q59" s="453"/>
      <c r="T59" s="405">
        <f t="shared" si="9"/>
        <v>55</v>
      </c>
      <c r="U59" s="453"/>
      <c r="V59" s="453"/>
      <c r="W59" s="453"/>
      <c r="X59" s="402"/>
      <c r="Y59" s="402"/>
      <c r="Z59" s="454"/>
      <c r="AA59" s="402"/>
      <c r="AC59" s="461">
        <f>+D220-Bono!J239</f>
        <v>4629348.977161516</v>
      </c>
      <c r="AD59" s="439">
        <v>18</v>
      </c>
      <c r="AE59" s="462">
        <f t="shared" si="12"/>
        <v>120000</v>
      </c>
      <c r="AF59" s="463"/>
      <c r="AG59" s="463"/>
      <c r="AH59" s="463"/>
      <c r="AI59" s="463"/>
      <c r="AJ59" s="463"/>
      <c r="AK59" s="462"/>
      <c r="AL59" s="462"/>
      <c r="AM59" s="462"/>
      <c r="AN59" s="462"/>
      <c r="AO59" s="462"/>
      <c r="AP59" s="462"/>
      <c r="AQ59" s="462"/>
      <c r="AR59" s="462"/>
      <c r="AS59" s="462"/>
      <c r="AT59" s="462"/>
      <c r="AU59" s="462"/>
      <c r="AV59" s="462"/>
      <c r="AW59" s="462">
        <f>+AE59</f>
        <v>120000</v>
      </c>
      <c r="AX59" s="462">
        <f t="shared" ref="AX59:BD59" si="28">+$AE$59*((1+$AG$35))^AF41</f>
        <v>124800</v>
      </c>
      <c r="AY59" s="462">
        <f t="shared" si="28"/>
        <v>129792.00000000001</v>
      </c>
      <c r="AZ59" s="462">
        <f t="shared" si="28"/>
        <v>134983.68000000002</v>
      </c>
      <c r="BA59" s="462">
        <f t="shared" si="28"/>
        <v>140383.0272</v>
      </c>
      <c r="BB59" s="462">
        <f t="shared" si="28"/>
        <v>145998.34828800004</v>
      </c>
      <c r="BC59" s="462">
        <f t="shared" si="28"/>
        <v>151838.28221952004</v>
      </c>
      <c r="BD59" s="462">
        <f t="shared" si="28"/>
        <v>157911.81350830084</v>
      </c>
    </row>
    <row r="60" spans="1:56" x14ac:dyDescent="0.25">
      <c r="A60" s="426">
        <f t="shared" si="3"/>
        <v>4.666666666666667</v>
      </c>
      <c r="B60" s="427">
        <f>'OptiMaxx plus'!$T$7+A60</f>
        <v>33.666666666666664</v>
      </c>
      <c r="C60" s="428">
        <f t="shared" si="4"/>
        <v>56</v>
      </c>
      <c r="D60" s="429">
        <f>+'No Deducible 93'!AD79</f>
        <v>790935.5440821655</v>
      </c>
      <c r="E60" s="429">
        <f>+'Deducible 151'!AD79</f>
        <v>782497.1586889699</v>
      </c>
      <c r="F60" s="429">
        <f>+'Deducible 185'!AD79</f>
        <v>790935.5440821655</v>
      </c>
      <c r="H60" s="428">
        <f t="shared" si="5"/>
        <v>56</v>
      </c>
      <c r="I60" s="429">
        <f>+'No Deducible 93'!Y79</f>
        <v>432700.55817834294</v>
      </c>
      <c r="J60" s="429">
        <f>+'Deducible 151'!Y79</f>
        <v>430716.74402417423</v>
      </c>
      <c r="K60" s="429">
        <f>+'Deducible 185'!Y79</f>
        <v>432700.55817834294</v>
      </c>
      <c r="O60" s="453"/>
      <c r="P60" s="453"/>
      <c r="Q60" s="453"/>
      <c r="T60" s="405">
        <f t="shared" si="9"/>
        <v>56</v>
      </c>
      <c r="U60" s="453"/>
      <c r="V60" s="453"/>
      <c r="W60" s="453"/>
      <c r="X60" s="402"/>
      <c r="Y60" s="402"/>
      <c r="Z60" s="454"/>
      <c r="AA60" s="402"/>
      <c r="AC60" s="461">
        <f>+D232-Bono!J251</f>
        <v>5139549.729116314</v>
      </c>
      <c r="AD60" s="439">
        <v>19</v>
      </c>
      <c r="AE60" s="462">
        <f t="shared" si="12"/>
        <v>120000</v>
      </c>
      <c r="AF60" s="463"/>
      <c r="AG60" s="463"/>
      <c r="AH60" s="463"/>
      <c r="AI60" s="463"/>
      <c r="AJ60" s="463"/>
      <c r="AK60" s="462"/>
      <c r="AL60" s="462"/>
      <c r="AM60" s="462"/>
      <c r="AN60" s="462"/>
      <c r="AO60" s="462"/>
      <c r="AP60" s="462"/>
      <c r="AQ60" s="462"/>
      <c r="AR60" s="462"/>
      <c r="AS60" s="462"/>
      <c r="AT60" s="462"/>
      <c r="AU60" s="462"/>
      <c r="AV60" s="462"/>
      <c r="AW60" s="462"/>
      <c r="AX60" s="462">
        <f>+AE60</f>
        <v>120000</v>
      </c>
      <c r="AY60" s="462">
        <f t="shared" ref="AY60:BD60" si="29">+$AE$60*((1+$AG$35))^AF41</f>
        <v>124800</v>
      </c>
      <c r="AZ60" s="462">
        <f t="shared" si="29"/>
        <v>129792.00000000001</v>
      </c>
      <c r="BA60" s="462">
        <f t="shared" si="29"/>
        <v>134983.68000000002</v>
      </c>
      <c r="BB60" s="462">
        <f t="shared" si="29"/>
        <v>140383.0272</v>
      </c>
      <c r="BC60" s="462">
        <f t="shared" si="29"/>
        <v>145998.34828800004</v>
      </c>
      <c r="BD60" s="462">
        <f t="shared" si="29"/>
        <v>151838.28221952004</v>
      </c>
    </row>
    <row r="61" spans="1:56" x14ac:dyDescent="0.25">
      <c r="A61" s="426">
        <f t="shared" si="3"/>
        <v>4.75</v>
      </c>
      <c r="B61" s="427">
        <f>'OptiMaxx plus'!$T$7+A61</f>
        <v>33.75</v>
      </c>
      <c r="C61" s="428">
        <f t="shared" si="4"/>
        <v>57</v>
      </c>
      <c r="D61" s="429">
        <f>+'No Deducible 93'!AD80</f>
        <v>803070.7819492007</v>
      </c>
      <c r="E61" s="429">
        <f>+'Deducible 151'!AD80</f>
        <v>794207.9796188104</v>
      </c>
      <c r="F61" s="429">
        <f>+'Deducible 185'!AD80</f>
        <v>803070.7819492007</v>
      </c>
      <c r="H61" s="428">
        <f t="shared" si="5"/>
        <v>57</v>
      </c>
      <c r="I61" s="429">
        <f>+'No Deducible 93'!Y80</f>
        <v>445695.3406603419</v>
      </c>
      <c r="J61" s="429">
        <f>+'Deducible 151'!Y80</f>
        <v>443612.4869894493</v>
      </c>
      <c r="K61" s="429">
        <f>+'Deducible 185'!Y80</f>
        <v>445695.3406603419</v>
      </c>
      <c r="O61" s="453"/>
      <c r="P61" s="453"/>
      <c r="Q61" s="453"/>
      <c r="T61" s="405">
        <f t="shared" si="9"/>
        <v>57</v>
      </c>
      <c r="U61" s="453"/>
      <c r="V61" s="453"/>
      <c r="W61" s="453"/>
      <c r="X61" s="402"/>
      <c r="Y61" s="402"/>
      <c r="Z61" s="454"/>
      <c r="AA61" s="402"/>
      <c r="AC61" s="461">
        <f>+D244-Bono!J263</f>
        <v>5693242.254078765</v>
      </c>
      <c r="AD61" s="439">
        <v>20</v>
      </c>
      <c r="AE61" s="462">
        <f t="shared" si="12"/>
        <v>120000</v>
      </c>
      <c r="AF61" s="463"/>
      <c r="AG61" s="463"/>
      <c r="AH61" s="463"/>
      <c r="AI61" s="463"/>
      <c r="AJ61" s="463"/>
      <c r="AK61" s="462"/>
      <c r="AL61" s="462"/>
      <c r="AM61" s="462"/>
      <c r="AN61" s="462"/>
      <c r="AO61" s="462"/>
      <c r="AP61" s="462"/>
      <c r="AQ61" s="462"/>
      <c r="AR61" s="462"/>
      <c r="AS61" s="462"/>
      <c r="AT61" s="462"/>
      <c r="AU61" s="462"/>
      <c r="AV61" s="462"/>
      <c r="AW61" s="462"/>
      <c r="AX61" s="462"/>
      <c r="AY61" s="462">
        <f>+AE61</f>
        <v>120000</v>
      </c>
      <c r="AZ61" s="462">
        <f>+$AE$61*((1+$AG$35))^AF41</f>
        <v>124800</v>
      </c>
      <c r="BA61" s="462">
        <f>+$AE$61*((1+$AG$35))^AG41</f>
        <v>129792.00000000001</v>
      </c>
      <c r="BB61" s="462">
        <f>+$AE$61*((1+$AG$35))^AH41</f>
        <v>134983.68000000002</v>
      </c>
      <c r="BC61" s="462">
        <f>+$AE$61*((1+$AG$35))^AI41</f>
        <v>140383.0272</v>
      </c>
      <c r="BD61" s="462">
        <f>+$AE$61*((1+$AG$35))^AJ41</f>
        <v>145998.34828800004</v>
      </c>
    </row>
    <row r="62" spans="1:56" x14ac:dyDescent="0.25">
      <c r="A62" s="426">
        <f t="shared" si="3"/>
        <v>4.833333333333333</v>
      </c>
      <c r="B62" s="427">
        <f>'OptiMaxx plus'!$T$7+A62</f>
        <v>33.833333333333336</v>
      </c>
      <c r="C62" s="428">
        <f t="shared" si="4"/>
        <v>58</v>
      </c>
      <c r="D62" s="429">
        <f>+'No Deducible 93'!AD81</f>
        <v>818537.7469499183</v>
      </c>
      <c r="E62" s="429">
        <f>+'Deducible 151'!AD81</f>
        <v>809492.0740308146</v>
      </c>
      <c r="F62" s="429">
        <f>+'Deducible 185'!AD81</f>
        <v>818537.7469499183</v>
      </c>
      <c r="H62" s="428">
        <f t="shared" si="5"/>
        <v>58</v>
      </c>
      <c r="I62" s="429">
        <f>+'No Deducible 93'!Y81</f>
        <v>458780.6469579931</v>
      </c>
      <c r="J62" s="429">
        <f>+'Deducible 151'!Y81</f>
        <v>456595.98407256504</v>
      </c>
      <c r="K62" s="429">
        <f>+'Deducible 185'!Y81</f>
        <v>458780.6469579931</v>
      </c>
      <c r="O62" s="453"/>
      <c r="P62" s="453"/>
      <c r="Q62" s="453"/>
      <c r="T62" s="405">
        <f t="shared" si="9"/>
        <v>58</v>
      </c>
      <c r="U62" s="453"/>
      <c r="V62" s="453"/>
      <c r="W62" s="453"/>
      <c r="X62" s="402"/>
      <c r="Y62" s="402"/>
      <c r="Z62" s="454"/>
      <c r="AA62" s="402"/>
      <c r="AC62" s="461">
        <f>+D256-Bono!J275</f>
        <v>6294165.330149678</v>
      </c>
      <c r="AD62" s="439">
        <v>21</v>
      </c>
      <c r="AE62" s="462">
        <f t="shared" si="12"/>
        <v>120000</v>
      </c>
      <c r="AF62" s="463"/>
      <c r="AG62" s="463"/>
      <c r="AH62" s="463"/>
      <c r="AI62" s="463"/>
      <c r="AJ62" s="463"/>
      <c r="AK62" s="462"/>
      <c r="AL62" s="462"/>
      <c r="AM62" s="462"/>
      <c r="AN62" s="462"/>
      <c r="AO62" s="462"/>
      <c r="AP62" s="462"/>
      <c r="AQ62" s="462"/>
      <c r="AR62" s="462"/>
      <c r="AS62" s="462"/>
      <c r="AT62" s="462"/>
      <c r="AU62" s="462"/>
      <c r="AV62" s="462"/>
      <c r="AW62" s="462"/>
      <c r="AX62" s="462"/>
      <c r="AY62" s="462"/>
      <c r="AZ62" s="462">
        <f>AE62</f>
        <v>120000</v>
      </c>
      <c r="BA62" s="462">
        <f>+$AE$62*((1+$AG$35))^AF41</f>
        <v>124800</v>
      </c>
      <c r="BB62" s="462">
        <f>+$AE$62*((1+$AG$35))^AG41</f>
        <v>129792.00000000001</v>
      </c>
      <c r="BC62" s="462">
        <f>+$AE$62*((1+$AG$35))^AH41</f>
        <v>134983.68000000002</v>
      </c>
      <c r="BD62" s="462">
        <f>+$AE$62*((1+$AG$35))^AI41</f>
        <v>140383.0272</v>
      </c>
    </row>
    <row r="63" spans="1:56" x14ac:dyDescent="0.25">
      <c r="A63" s="426">
        <f t="shared" si="3"/>
        <v>4.916666666666667</v>
      </c>
      <c r="B63" s="427">
        <f>'OptiMaxx plus'!$T$7+A63</f>
        <v>33.916666666666664</v>
      </c>
      <c r="C63" s="428">
        <f t="shared" si="4"/>
        <v>59</v>
      </c>
      <c r="D63" s="429">
        <f>+'No Deducible 93'!AD82</f>
        <v>834111.788544396</v>
      </c>
      <c r="E63" s="429">
        <f>+'Deducible 151'!AD82</f>
        <v>824879.6469878643</v>
      </c>
      <c r="F63" s="429">
        <f>+'Deducible 185'!AD82</f>
        <v>834111.788544396</v>
      </c>
      <c r="H63" s="428">
        <f t="shared" si="5"/>
        <v>59</v>
      </c>
      <c r="I63" s="429">
        <f>+'No Deducible 93'!Y82</f>
        <v>471957.10767524934</v>
      </c>
      <c r="J63" s="429">
        <f>+'Deducible 151'!Y82</f>
        <v>469667.8324306777</v>
      </c>
      <c r="K63" s="429">
        <f>+'Deducible 185'!Y82</f>
        <v>471957.10767524934</v>
      </c>
      <c r="O63" s="453"/>
      <c r="P63" s="453"/>
      <c r="Q63" s="453"/>
      <c r="T63" s="405">
        <f t="shared" si="9"/>
        <v>59</v>
      </c>
      <c r="U63" s="453"/>
      <c r="V63" s="453"/>
      <c r="W63" s="453"/>
      <c r="X63" s="402"/>
      <c r="Y63" s="402"/>
      <c r="Z63" s="454"/>
      <c r="AA63" s="402"/>
      <c r="AC63" s="461">
        <f>+D268-Bono!J287</f>
        <v>6946380.6528903665</v>
      </c>
      <c r="AD63" s="439">
        <v>22</v>
      </c>
      <c r="AE63" s="462">
        <f t="shared" si="12"/>
        <v>120000</v>
      </c>
      <c r="AF63" s="463"/>
      <c r="AG63" s="463"/>
      <c r="AH63" s="463"/>
      <c r="AI63" s="463"/>
      <c r="AJ63" s="463"/>
      <c r="AK63" s="462"/>
      <c r="AL63" s="462"/>
      <c r="AM63" s="462"/>
      <c r="AN63" s="462"/>
      <c r="AO63" s="462"/>
      <c r="AP63" s="462"/>
      <c r="AQ63" s="462"/>
      <c r="AR63" s="462"/>
      <c r="AS63" s="462"/>
      <c r="AT63" s="462"/>
      <c r="AU63" s="462"/>
      <c r="AV63" s="462"/>
      <c r="AW63" s="462"/>
      <c r="AX63" s="462"/>
      <c r="AY63" s="462"/>
      <c r="AZ63" s="462"/>
      <c r="BA63" s="462">
        <f>+AE63</f>
        <v>120000</v>
      </c>
      <c r="BB63" s="462">
        <f>+$AE$63*((1+$AG$35))^AF41</f>
        <v>124800</v>
      </c>
      <c r="BC63" s="462">
        <f>+$AE$63*((1+$AG$35))^AG41</f>
        <v>129792.00000000001</v>
      </c>
      <c r="BD63" s="462">
        <f>+$AE$63*((1+$AG$35))^AH41</f>
        <v>134983.68000000002</v>
      </c>
    </row>
    <row r="64" spans="1:56" x14ac:dyDescent="0.25">
      <c r="A64" s="426">
        <f t="shared" si="3"/>
        <v>5</v>
      </c>
      <c r="B64" s="427">
        <f>'OptiMaxx plus'!$T$7+A64</f>
        <v>34</v>
      </c>
      <c r="C64" s="428">
        <f t="shared" si="4"/>
        <v>60</v>
      </c>
      <c r="D64" s="429">
        <f>+'No Deducible 93'!AD83</f>
        <v>846511.2414561374</v>
      </c>
      <c r="E64" s="429">
        <f>+'Deducible 151'!AD83</f>
        <v>836843.941948322</v>
      </c>
      <c r="F64" s="429">
        <f>+'Deducible 185'!AD83</f>
        <v>846511.2414561374</v>
      </c>
      <c r="H64" s="428">
        <f t="shared" si="5"/>
        <v>60</v>
      </c>
      <c r="I64" s="429">
        <f>+'No Deducible 93'!Y83</f>
        <v>485225.35780895554</v>
      </c>
      <c r="J64" s="429">
        <f>+'Deducible 151'!Y83</f>
        <v>482828.63328453276</v>
      </c>
      <c r="K64" s="429">
        <f>+'Deducible 185'!Y83</f>
        <v>485225.35780895554</v>
      </c>
      <c r="O64" s="453"/>
      <c r="P64" s="453"/>
      <c r="Q64" s="453"/>
      <c r="T64" s="405">
        <f t="shared" si="9"/>
        <v>60</v>
      </c>
      <c r="U64" s="453"/>
      <c r="V64" s="453"/>
      <c r="W64" s="453"/>
      <c r="X64" s="402"/>
      <c r="Y64" s="402"/>
      <c r="Z64" s="454"/>
      <c r="AA64" s="402"/>
      <c r="AC64" s="461">
        <f>+D280-Bono!J299</f>
        <v>7654300.798243048</v>
      </c>
      <c r="AD64" s="439">
        <v>23</v>
      </c>
      <c r="AE64" s="462">
        <f t="shared" si="12"/>
        <v>120000</v>
      </c>
      <c r="AF64" s="463"/>
      <c r="AG64" s="463"/>
      <c r="AH64" s="463"/>
      <c r="AI64" s="463"/>
      <c r="AJ64" s="463"/>
      <c r="AK64" s="462"/>
      <c r="AL64" s="462"/>
      <c r="AM64" s="462"/>
      <c r="AN64" s="462"/>
      <c r="AO64" s="462"/>
      <c r="AP64" s="462"/>
      <c r="AQ64" s="462"/>
      <c r="AR64" s="462"/>
      <c r="AS64" s="462"/>
      <c r="AT64" s="462"/>
      <c r="AU64" s="462"/>
      <c r="AV64" s="462"/>
      <c r="AW64" s="462"/>
      <c r="AX64" s="462"/>
      <c r="AY64" s="462"/>
      <c r="AZ64" s="462"/>
      <c r="BA64" s="462"/>
      <c r="BB64" s="462">
        <f>+AE64</f>
        <v>120000</v>
      </c>
      <c r="BC64" s="462">
        <f>+$AE$64*((1+$AG$35))^AF41</f>
        <v>124800</v>
      </c>
      <c r="BD64" s="462">
        <f>+$AE$64*((1+$AG$35))^AG41</f>
        <v>129792.00000000001</v>
      </c>
    </row>
    <row r="65" spans="1:56" x14ac:dyDescent="0.25">
      <c r="A65" s="426">
        <f t="shared" si="3"/>
        <v>5.083333333333333</v>
      </c>
      <c r="B65" s="427">
        <f>'OptiMaxx plus'!$T$7+A65</f>
        <v>34.083333333333336</v>
      </c>
      <c r="C65" s="428">
        <f t="shared" si="4"/>
        <v>61</v>
      </c>
      <c r="D65" s="429">
        <f>+'No Deducible 93'!AD84</f>
        <v>862276.2252204469</v>
      </c>
      <c r="E65" s="429">
        <f>+'Deducible 151'!AD84</f>
        <v>852413.2256211723</v>
      </c>
      <c r="F65" s="429">
        <f>+'Deducible 185'!AD84</f>
        <v>862276.2252204469</v>
      </c>
      <c r="H65" s="428">
        <f t="shared" si="5"/>
        <v>61</v>
      </c>
      <c r="I65" s="429">
        <f>+'No Deducible 93'!Y84</f>
        <v>498582.4710505593</v>
      </c>
      <c r="J65" s="429">
        <f>+'Deducible 151'!Y84</f>
        <v>496074.86049864814</v>
      </c>
      <c r="K65" s="429">
        <f>+'Deducible 185'!Y84</f>
        <v>498582.4710505593</v>
      </c>
      <c r="O65" s="453"/>
      <c r="P65" s="453"/>
      <c r="Q65" s="453"/>
      <c r="T65" s="405">
        <f t="shared" si="9"/>
        <v>61</v>
      </c>
      <c r="U65" s="453"/>
      <c r="V65" s="453"/>
      <c r="W65" s="453"/>
      <c r="X65" s="402"/>
      <c r="Y65" s="402"/>
      <c r="Z65" s="454"/>
      <c r="AA65" s="402"/>
      <c r="AC65" s="461">
        <f>+D292-Bono!J311</f>
        <v>8422719.610367974</v>
      </c>
      <c r="AD65" s="439">
        <v>24</v>
      </c>
      <c r="AE65" s="462">
        <f t="shared" si="12"/>
        <v>120000</v>
      </c>
      <c r="AF65" s="463"/>
      <c r="AG65" s="463"/>
      <c r="AH65" s="463"/>
      <c r="AI65" s="463"/>
      <c r="AJ65" s="463"/>
      <c r="AK65" s="462"/>
      <c r="AL65" s="462"/>
      <c r="AM65" s="462"/>
      <c r="AN65" s="462"/>
      <c r="AO65" s="462"/>
      <c r="AP65" s="462"/>
      <c r="AQ65" s="462"/>
      <c r="AR65" s="462"/>
      <c r="AS65" s="462"/>
      <c r="AT65" s="462"/>
      <c r="AU65" s="462"/>
      <c r="AV65" s="462"/>
      <c r="AW65" s="462"/>
      <c r="AX65" s="462"/>
      <c r="AY65" s="462"/>
      <c r="AZ65" s="462"/>
      <c r="BA65" s="462"/>
      <c r="BB65" s="462"/>
      <c r="BC65" s="462">
        <f>+AE65</f>
        <v>120000</v>
      </c>
      <c r="BD65" s="462">
        <f>+$AE$65*((1+$AG$35))^AF41</f>
        <v>124800</v>
      </c>
    </row>
    <row r="66" spans="1:56" x14ac:dyDescent="0.25">
      <c r="A66" s="426">
        <f t="shared" si="3"/>
        <v>5.166666666666667</v>
      </c>
      <c r="B66" s="427">
        <f>'OptiMaxx plus'!$T$7+A66</f>
        <v>34.166666666666664</v>
      </c>
      <c r="C66" s="428">
        <f t="shared" si="4"/>
        <v>62</v>
      </c>
      <c r="D66" s="429">
        <f>+'No Deducible 93'!AD85</f>
        <v>878150.3552470345</v>
      </c>
      <c r="E66" s="429">
        <f>+'Deducible 151'!AD85</f>
        <v>868087.9234841147</v>
      </c>
      <c r="F66" s="429">
        <f>+'Deducible 185'!AD85</f>
        <v>878150.3552470345</v>
      </c>
      <c r="H66" s="428">
        <f t="shared" si="5"/>
        <v>62</v>
      </c>
      <c r="I66" s="429">
        <f>+'No Deducible 93'!Y85</f>
        <v>512032.6321641381</v>
      </c>
      <c r="J66" s="429">
        <f>+'Deducible 151'!Y85</f>
        <v>509411.2268375136</v>
      </c>
      <c r="K66" s="429">
        <f>+'Deducible 185'!Y85</f>
        <v>512032.6321641381</v>
      </c>
      <c r="O66" s="453"/>
      <c r="P66" s="453"/>
      <c r="Q66" s="453"/>
      <c r="T66" s="405">
        <f t="shared" si="9"/>
        <v>62</v>
      </c>
      <c r="U66" s="453"/>
      <c r="V66" s="453"/>
      <c r="W66" s="453"/>
      <c r="X66" s="402"/>
      <c r="Y66" s="402"/>
      <c r="Z66" s="454"/>
      <c r="AA66" s="402"/>
      <c r="AC66" s="461">
        <f>+D304-Bono!J323</f>
        <v>9256845.224850113</v>
      </c>
      <c r="AD66" s="439">
        <v>25</v>
      </c>
      <c r="AE66" s="462">
        <f t="shared" si="12"/>
        <v>120000</v>
      </c>
      <c r="AF66" s="463"/>
      <c r="AG66" s="463"/>
      <c r="AH66" s="463"/>
      <c r="AI66" s="463"/>
      <c r="AJ66" s="463"/>
      <c r="AK66" s="462"/>
      <c r="AL66" s="462"/>
      <c r="AM66" s="462"/>
      <c r="AN66" s="462"/>
      <c r="AO66" s="462"/>
      <c r="AP66" s="462"/>
      <c r="AQ66" s="462"/>
      <c r="AR66" s="462"/>
      <c r="AS66" s="462"/>
      <c r="AT66" s="462"/>
      <c r="AU66" s="462"/>
      <c r="AV66" s="462"/>
      <c r="AW66" s="462"/>
      <c r="AX66" s="462"/>
      <c r="AY66" s="462"/>
      <c r="AZ66" s="462"/>
      <c r="BA66" s="462"/>
      <c r="BB66" s="462"/>
      <c r="BC66" s="462"/>
      <c r="BD66" s="462">
        <f>AE66</f>
        <v>120000</v>
      </c>
    </row>
    <row r="67" spans="1:50" x14ac:dyDescent="0.25">
      <c r="A67" s="426">
        <f t="shared" si="3"/>
        <v>5.25</v>
      </c>
      <c r="B67" s="427">
        <f>'OptiMaxx plus'!$T$7+A67</f>
        <v>34.25</v>
      </c>
      <c r="C67" s="428">
        <f t="shared" si="4"/>
        <v>63</v>
      </c>
      <c r="D67" s="429">
        <f>+'No Deducible 93'!AD86</f>
        <v>890816.0618410801</v>
      </c>
      <c r="E67" s="429">
        <f>+'Deducible 151'!AD86</f>
        <v>880306.8393041245</v>
      </c>
      <c r="F67" s="429">
        <f>+'Deducible 185'!AD86</f>
        <v>890816.0618410801</v>
      </c>
      <c r="H67" s="428">
        <f t="shared" si="5"/>
        <v>63</v>
      </c>
      <c r="I67" s="429">
        <f>+'No Deducible 93'!Y86</f>
        <v>525576.4893366408</v>
      </c>
      <c r="J67" s="429">
        <f>+'Deducible 151'!Y86</f>
        <v>522838.34568799613</v>
      </c>
      <c r="K67" s="429">
        <f>+'Deducible 185'!Y86</f>
        <v>525576.4893366408</v>
      </c>
      <c r="O67" s="453"/>
      <c r="P67" s="453"/>
      <c r="Q67" s="453"/>
      <c r="T67" s="405">
        <f t="shared" si="9"/>
        <v>63</v>
      </c>
      <c r="U67" s="453"/>
      <c r="V67" s="453"/>
      <c r="W67" s="453"/>
      <c r="X67" s="402"/>
      <c r="Y67" s="402"/>
      <c r="Z67" s="454"/>
      <c r="AA67" s="402"/>
      <c r="AE67" s="457"/>
      <c r="AX67" s="457"/>
    </row>
    <row r="68" spans="1:56" x14ac:dyDescent="0.25">
      <c r="A68" s="426">
        <f t="shared" si="3"/>
        <v>5.333333333333333</v>
      </c>
      <c r="B68" s="427">
        <f>'OptiMaxx plus'!$T$7+A68</f>
        <v>34.333333333333336</v>
      </c>
      <c r="C68" s="428">
        <f t="shared" si="4"/>
        <v>64</v>
      </c>
      <c r="D68" s="429">
        <f>+'No Deducible 93'!AD87</f>
        <v>906888.6415648477</v>
      </c>
      <c r="E68" s="429">
        <f>+'Deducible 151'!AD87</f>
        <v>896171.0631391649</v>
      </c>
      <c r="F68" s="429">
        <f>+'Deducible 185'!AD87</f>
        <v>906888.6415648477</v>
      </c>
      <c r="H68" s="428">
        <f t="shared" si="5"/>
        <v>64</v>
      </c>
      <c r="I68" s="429">
        <f>+'No Deducible 93'!Y87</f>
        <v>539214.6952703946</v>
      </c>
      <c r="J68" s="429">
        <f>+'Deducible 151'!Y87</f>
        <v>536356.8346109932</v>
      </c>
      <c r="K68" s="429">
        <f>+'Deducible 185'!Y87</f>
        <v>539214.6952703946</v>
      </c>
      <c r="O68" s="453"/>
      <c r="P68" s="453"/>
      <c r="Q68" s="453"/>
      <c r="T68" s="405">
        <f t="shared" si="9"/>
        <v>64</v>
      </c>
      <c r="U68" s="453"/>
      <c r="V68" s="453"/>
      <c r="W68" s="453"/>
      <c r="X68" s="402"/>
      <c r="Y68" s="402"/>
      <c r="Z68" s="454"/>
      <c r="AA68" s="402"/>
      <c r="AD68" s="439" t="s">
        <v>150</v>
      </c>
      <c r="AE68" s="465">
        <f>SUM(AE42:AE67)</f>
        <v>3000000</v>
      </c>
      <c r="AF68" s="466">
        <f t="shared" ref="AF68:BC68" si="30">SUM(AF42:AF67)</f>
        <v>120000</v>
      </c>
      <c r="AG68" s="466">
        <f t="shared" si="30"/>
        <v>244800</v>
      </c>
      <c r="AH68" s="466">
        <f t="shared" si="30"/>
        <v>374592</v>
      </c>
      <c r="AI68" s="466">
        <f t="shared" si="30"/>
        <v>509575.68000000005</v>
      </c>
      <c r="AJ68" s="466">
        <f t="shared" si="30"/>
        <v>649958.7072000001</v>
      </c>
      <c r="AK68" s="466">
        <f t="shared" si="30"/>
        <v>795957.055488</v>
      </c>
      <c r="AL68" s="466">
        <f t="shared" si="30"/>
        <v>947795.3377075201</v>
      </c>
      <c r="AM68" s="466">
        <f t="shared" si="30"/>
        <v>1105707.151215821</v>
      </c>
      <c r="AN68" s="466">
        <f t="shared" si="30"/>
        <v>1269935.4372644539</v>
      </c>
      <c r="AO68" s="466">
        <f t="shared" si="30"/>
        <v>1440732.854755032</v>
      </c>
      <c r="AP68" s="466">
        <f t="shared" si="30"/>
        <v>1618362.1689452336</v>
      </c>
      <c r="AQ68" s="466">
        <f t="shared" si="30"/>
        <v>1803096.6557030429</v>
      </c>
      <c r="AR68" s="466">
        <f t="shared" si="30"/>
        <v>1995220.5219311647</v>
      </c>
      <c r="AS68" s="466">
        <f t="shared" si="30"/>
        <v>2195029.3428084115</v>
      </c>
      <c r="AT68" s="466">
        <f t="shared" si="30"/>
        <v>2402830.516520748</v>
      </c>
      <c r="AU68" s="466">
        <f t="shared" si="30"/>
        <v>2618943.737181578</v>
      </c>
      <c r="AV68" s="466">
        <f t="shared" si="30"/>
        <v>2843701.486668841</v>
      </c>
      <c r="AW68" s="466">
        <f t="shared" si="30"/>
        <v>3077449.5461355946</v>
      </c>
      <c r="AX68" s="466">
        <f t="shared" si="30"/>
        <v>3320547.527981019</v>
      </c>
      <c r="AY68" s="466">
        <f t="shared" si="30"/>
        <v>3573369.42910026</v>
      </c>
      <c r="AZ68" s="466">
        <f t="shared" si="30"/>
        <v>3836304.2062642705</v>
      </c>
      <c r="BA68" s="466">
        <f t="shared" si="30"/>
        <v>4109756.3745148415</v>
      </c>
      <c r="BB68" s="466">
        <f t="shared" si="30"/>
        <v>4394146.629495435</v>
      </c>
      <c r="BC68" s="466">
        <f t="shared" si="30"/>
        <v>4689912.494675253</v>
      </c>
      <c r="BD68" s="466">
        <f>SUM(BD42:BD67)</f>
        <v>4997508.994462263</v>
      </c>
    </row>
    <row r="69" spans="1:27" x14ac:dyDescent="0.25">
      <c r="A69" s="426">
        <f t="shared" si="3"/>
        <v>5.416666666666667</v>
      </c>
      <c r="B69" s="427">
        <f>'OptiMaxx plus'!$T$7+A69</f>
        <v>34.416666666666664</v>
      </c>
      <c r="C69" s="428">
        <f t="shared" si="4"/>
        <v>65</v>
      </c>
      <c r="D69" s="429">
        <f>+'No Deducible 93'!AD88</f>
        <v>923072.5038748983</v>
      </c>
      <c r="E69" s="429">
        <f>+'Deducible 151'!AD88</f>
        <v>912142.7031151182</v>
      </c>
      <c r="F69" s="429">
        <f>+'Deducible 185'!AD88</f>
        <v>923072.5038748983</v>
      </c>
      <c r="H69" s="428">
        <f t="shared" si="5"/>
        <v>65</v>
      </c>
      <c r="I69" s="429">
        <f>+'No Deducible 93'!Y88</f>
        <v>552947.9072145593</v>
      </c>
      <c r="J69" s="429">
        <f>+'Deducible 151'!Y88</f>
        <v>549967.3153698364</v>
      </c>
      <c r="K69" s="429">
        <f>+'Deducible 185'!Y88</f>
        <v>552947.9072145593</v>
      </c>
      <c r="O69" s="453"/>
      <c r="P69" s="453"/>
      <c r="Q69" s="453"/>
      <c r="T69" s="405">
        <f t="shared" si="9"/>
        <v>65</v>
      </c>
      <c r="U69" s="453"/>
      <c r="V69" s="453"/>
      <c r="W69" s="453"/>
      <c r="X69" s="402"/>
      <c r="Y69" s="402"/>
      <c r="Z69" s="454"/>
      <c r="AA69" s="402"/>
    </row>
    <row r="70" spans="1:56" x14ac:dyDescent="0.25">
      <c r="A70" s="426">
        <f t="shared" ref="A70:A133" si="31">+C70/12</f>
        <v>5.5</v>
      </c>
      <c r="B70" s="427">
        <f>'OptiMaxx plus'!$T$7+A70</f>
        <v>34.5</v>
      </c>
      <c r="C70" s="428">
        <f t="shared" si="4"/>
        <v>66</v>
      </c>
      <c r="D70" s="429">
        <f>+'No Deducible 93'!AD89</f>
        <v>936013.7778635893</v>
      </c>
      <c r="E70" s="429">
        <f>+'Deducible 151'!AD89</f>
        <v>924625.7871494123</v>
      </c>
      <c r="F70" s="429">
        <f>+'Deducible 185'!AD89</f>
        <v>936013.7778635893</v>
      </c>
      <c r="H70" s="428">
        <f t="shared" si="5"/>
        <v>66</v>
      </c>
      <c r="I70" s="429">
        <f>+'No Deducible 93'!Y89</f>
        <v>566776.7869968018</v>
      </c>
      <c r="J70" s="429">
        <f>+'Deducible 151'!Y89</f>
        <v>563670.4139588887</v>
      </c>
      <c r="K70" s="429">
        <f>+'Deducible 185'!Y89</f>
        <v>566776.7869968018</v>
      </c>
      <c r="O70" s="453"/>
      <c r="P70" s="453"/>
      <c r="Q70" s="453"/>
      <c r="T70" s="405">
        <f t="shared" si="9"/>
        <v>66</v>
      </c>
      <c r="U70" s="453"/>
      <c r="V70" s="453"/>
      <c r="W70" s="453"/>
      <c r="X70" s="402"/>
      <c r="Y70" s="402"/>
      <c r="Z70" s="454"/>
      <c r="AA70" s="402"/>
      <c r="AD70" s="439" t="s">
        <v>151</v>
      </c>
      <c r="AF70" s="466">
        <f>IF(AF68&gt;AC42,"0",AC42-AF68)</f>
        <v>2225.8478571041633</v>
      </c>
      <c r="AG70" s="466">
        <f>IF(AG68&gt;AC43,0,AC43-AG68)</f>
        <v>6418.026064449659</v>
      </c>
      <c r="AH70" s="466">
        <f>IF(AH68&gt;AC44,"0",AC44-AH68)</f>
        <v>15653.961698648869</v>
      </c>
      <c r="AI70" s="466">
        <f>IF(AI68&gt;AC45,"0",AC45-AI68)</f>
        <v>31380.342712557525</v>
      </c>
      <c r="AJ70" s="466">
        <f>IF(AJ68&gt;AC46,"0",AC46-AJ68)</f>
        <v>54385.60203650524</v>
      </c>
      <c r="AK70" s="466">
        <f>IF(AK68&gt;AC47,"0",AC47-AK68)</f>
        <v>85535.50784127892</v>
      </c>
      <c r="AL70" s="466">
        <f>IF(AL68&gt;AC48,"0",AC48-AL68)</f>
        <v>125780.2286914821</v>
      </c>
      <c r="AM70" s="466">
        <f>IF(AM68&gt;AC49,"0",AC49-AM68)</f>
        <v>176162.02601009002</v>
      </c>
      <c r="AN70" s="466">
        <f>IF(AN68&gt;AC50,"0",AC50-AN68)</f>
        <v>237823.62887609075</v>
      </c>
      <c r="AO70" s="466">
        <f>IF(AO68&gt;AC51,"0",AC51-AO68)</f>
        <v>312017.35097722197</v>
      </c>
      <c r="AP70" s="466">
        <f>IF(AP68&gt;AC52,"0",AC52-AP68)</f>
        <v>400115.0147577666</v>
      </c>
      <c r="AQ70" s="466">
        <f>IF(AQ68&gt;AC53,"0",AC53-AQ68)</f>
        <v>503618.75347334356</v>
      </c>
      <c r="AR70" s="466">
        <f>IF(AR68&gt;AC54,"0",AC54-AR68)</f>
        <v>624172.7680302637</v>
      </c>
      <c r="AS70" s="466">
        <f>IF(AS68&gt;AC55,"0",AC55-AS68)</f>
        <v>763576.1221890748</v>
      </c>
      <c r="AT70" s="466">
        <f>IF(AT68&gt;AC56,"0",AC56-AT68)</f>
        <v>923796.666997123</v>
      </c>
      <c r="AU70" s="466">
        <f>IF(AU68&gt;AC57,"0",AC57-AU68)</f>
        <v>1106986.1932339421</v>
      </c>
      <c r="AV70" s="466">
        <f>IF(AV68&gt;AC58,"0",AC58-AV68)</f>
        <v>1315496.9192612306</v>
      </c>
      <c r="AW70" s="466">
        <f>IF(AW68&gt;AC59,"0",AC59-AW68)</f>
        <v>1551899.4310259218</v>
      </c>
      <c r="AX70" s="466">
        <f>IF(AX68&gt;AC60,"0",AC60-AX68)</f>
        <v>1819002.201135295</v>
      </c>
      <c r="AY70" s="466">
        <f>IF(AY68&gt;AC61,"0",AC61-AY68)</f>
        <v>2119872.8249785053</v>
      </c>
      <c r="AZ70" s="466">
        <f>IF(AZ68&gt;AC62,"0",AC62-AZ68)</f>
        <v>2457861.123885407</v>
      </c>
      <c r="BA70" s="466">
        <f>IF(BA68&gt;AC63,"0",AC63-BA68)</f>
        <v>2836624.278375525</v>
      </c>
      <c r="BB70" s="466">
        <f>IF(BB68&gt;AC64,"0",AC64-BB68)</f>
        <v>3260154.1687476123</v>
      </c>
      <c r="BC70" s="466">
        <f>IF(BC68&gt;AC65,"0",AC65-BC68)</f>
        <v>3732807.1156927217</v>
      </c>
      <c r="BD70" s="466">
        <f>IF(BD68&gt;AC66,"0",AC66-BD68)</f>
        <v>4259336.23038785</v>
      </c>
    </row>
    <row r="71" spans="1:27" x14ac:dyDescent="0.25">
      <c r="A71" s="426">
        <f t="shared" si="31"/>
        <v>5.583333333333333</v>
      </c>
      <c r="B71" s="427">
        <f>'OptiMaxx plus'!$T$7+A71</f>
        <v>34.583333333333336</v>
      </c>
      <c r="C71" s="428">
        <f t="shared" ref="C71:C134" si="32">+C70+1</f>
        <v>67</v>
      </c>
      <c r="D71" s="429">
        <f>+'No Deducible 93'!AD90</f>
        <v>952400.1636980558</v>
      </c>
      <c r="E71" s="429">
        <f>+'Deducible 151'!AD90</f>
        <v>940790.7686541483</v>
      </c>
      <c r="F71" s="429">
        <f>+'Deducible 185'!AD90</f>
        <v>952400.1636980558</v>
      </c>
      <c r="H71" s="428">
        <f t="shared" ref="H71:H134" si="33">+H70+1</f>
        <v>67</v>
      </c>
      <c r="I71" s="429">
        <f>+'No Deducible 93'!Y90</f>
        <v>580702.0010551909</v>
      </c>
      <c r="J71" s="429">
        <f>+'Deducible 151'!Y90</f>
        <v>577466.7606323364</v>
      </c>
      <c r="K71" s="429">
        <f>+'Deducible 185'!Y90</f>
        <v>580702.0010551909</v>
      </c>
      <c r="O71" s="453"/>
      <c r="P71" s="453"/>
      <c r="Q71" s="453"/>
      <c r="Z71" s="454"/>
      <c r="AA71" s="402"/>
    </row>
    <row r="72" spans="1:56" x14ac:dyDescent="0.25">
      <c r="A72" s="426">
        <f t="shared" si="31"/>
        <v>5.666666666666667</v>
      </c>
      <c r="B72" s="427">
        <f>'OptiMaxx plus'!$T$7+A72</f>
        <v>34.666666666666664</v>
      </c>
      <c r="C72" s="428">
        <f t="shared" si="32"/>
        <v>68</v>
      </c>
      <c r="D72" s="429">
        <f>+'No Deducible 93'!AD91</f>
        <v>968900.0116423243</v>
      </c>
      <c r="E72" s="429">
        <f>+'Deducible 151'!AD91</f>
        <v>957065.2077896204</v>
      </c>
      <c r="F72" s="429">
        <f>+'Deducible 185'!AD91</f>
        <v>968900.0116423243</v>
      </c>
      <c r="H72" s="428">
        <f t="shared" si="33"/>
        <v>68</v>
      </c>
      <c r="I72" s="429">
        <f>+'No Deducible 93'!Y91</f>
        <v>594724.2204703133</v>
      </c>
      <c r="J72" s="429">
        <f>+'Deducible 151'!Y91</f>
        <v>591356.9899331761</v>
      </c>
      <c r="K72" s="429">
        <f>+'Deducible 185'!Y91</f>
        <v>594724.2204703133</v>
      </c>
      <c r="O72" s="453"/>
      <c r="P72" s="453"/>
      <c r="Q72" s="453"/>
      <c r="Z72" s="454"/>
      <c r="AA72" s="402"/>
      <c r="AD72" s="439" t="s">
        <v>152</v>
      </c>
      <c r="AF72" s="467">
        <f>+AF70/AC42</f>
        <v>0.018210942252627538</v>
      </c>
      <c r="AG72" s="467">
        <f>+AG70/AC43</f>
        <v>0.02554763352373099</v>
      </c>
      <c r="AH72" s="467">
        <f>+AH70/AC44</f>
        <v>0.040113065182047894</v>
      </c>
      <c r="AI72" s="468">
        <f>+AI70/AC45</f>
        <v>0.058009045828170375</v>
      </c>
      <c r="AJ72" s="468">
        <f>+AJ70/AC46</f>
        <v>0.07721451188476004</v>
      </c>
      <c r="AK72" s="467">
        <f>+AK70/AC47</f>
        <v>0.09703486041699863</v>
      </c>
      <c r="AL72" s="467">
        <f>+AL70/AC48</f>
        <v>0.11716010742809227</v>
      </c>
      <c r="AM72" s="467">
        <f>+AM70/AC49</f>
        <v>0.1374259005051683</v>
      </c>
      <c r="AN72" s="467">
        <f>+AN70/AC50</f>
        <v>0.15773317781126325</v>
      </c>
      <c r="AO72" s="467">
        <f>+AO70/AC51</f>
        <v>0.17801586897938437</v>
      </c>
      <c r="AP72" s="467">
        <f>+AP70/AC52</f>
        <v>0.1982261766386356</v>
      </c>
      <c r="AQ72" s="468">
        <f>+AQ70/AC53</f>
        <v>0.21832721603622565</v>
      </c>
      <c r="AR72" s="468">
        <f>+AR70/AC54</f>
        <v>0.23828906121976623</v>
      </c>
      <c r="AS72" s="467">
        <f>+AS70/AC55</f>
        <v>0.25808649758230723</v>
      </c>
      <c r="AT72" s="467">
        <f>+AT70/AC56</f>
        <v>0.27769768478240425</v>
      </c>
      <c r="AU72" s="467">
        <f>+AU70/AC57</f>
        <v>0.29710333095568703</v>
      </c>
      <c r="AV72" s="467">
        <f>+AV70/AC58</f>
        <v>0.3162861664366939</v>
      </c>
      <c r="AW72" s="467">
        <f>+AW70/AC59</f>
        <v>0.335230599093324</v>
      </c>
      <c r="AX72" s="467">
        <f>+AX70/AC60</f>
        <v>0.35392248290358524</v>
      </c>
      <c r="AY72" s="468">
        <f>+AY70/AC61</f>
        <v>0.37234895870798074</v>
      </c>
      <c r="AZ72" s="468">
        <f>+AZ70/AC62</f>
        <v>0.39049834171212633</v>
      </c>
      <c r="BA72" s="467">
        <f>+BA70/AC63</f>
        <v>0.4083600395833786</v>
      </c>
      <c r="BB72" s="467">
        <f>+BB70/AC64</f>
        <v>0.42592449064661025</v>
      </c>
      <c r="BC72" s="467">
        <f>+BC70/AC65</f>
        <v>0.443183115237246</v>
      </c>
      <c r="BD72" s="467">
        <f>+BD70/AC66</f>
        <v>0.4601282755547873</v>
      </c>
    </row>
    <row r="73" spans="1:27" x14ac:dyDescent="0.25">
      <c r="A73" s="426">
        <f t="shared" si="31"/>
        <v>5.75</v>
      </c>
      <c r="B73" s="427">
        <f>'OptiMaxx plus'!$T$7+A73</f>
        <v>34.75</v>
      </c>
      <c r="C73" s="428">
        <f t="shared" si="32"/>
        <v>69</v>
      </c>
      <c r="D73" s="429">
        <f>+'No Deducible 93'!AD92</f>
        <v>982122.7481809307</v>
      </c>
      <c r="E73" s="429">
        <f>+'Deducible 151'!AD92</f>
        <v>969818.0169936502</v>
      </c>
      <c r="F73" s="429">
        <f>+'Deducible 185'!AD92</f>
        <v>982122.7481809307</v>
      </c>
      <c r="H73" s="428">
        <f t="shared" si="33"/>
        <v>69</v>
      </c>
      <c r="I73" s="429">
        <f>+'No Deducible 93'!Y92</f>
        <v>608844.120997615</v>
      </c>
      <c r="J73" s="429">
        <f>+'Deducible 151'!Y92</f>
        <v>605341.7407224</v>
      </c>
      <c r="K73" s="429">
        <f>+'Deducible 185'!Y92</f>
        <v>608844.120997615</v>
      </c>
      <c r="O73" s="453"/>
      <c r="P73" s="453"/>
      <c r="Q73" s="453"/>
      <c r="Z73" s="454"/>
      <c r="AA73" s="402"/>
    </row>
    <row r="74" spans="1:57" x14ac:dyDescent="0.25">
      <c r="A74" s="426">
        <f t="shared" si="31"/>
        <v>5.833333333333333</v>
      </c>
      <c r="B74" s="427">
        <f>'OptiMaxx plus'!$T$7+A74</f>
        <v>34.833333333333336</v>
      </c>
      <c r="C74" s="428">
        <f>+C73+1</f>
        <v>70</v>
      </c>
      <c r="D74" s="429">
        <f>+'No Deducible 93'!AD93</f>
        <v>998829.2780722883</v>
      </c>
      <c r="E74" s="429">
        <f>+'Deducible 151'!AD93</f>
        <v>986289.6908595104</v>
      </c>
      <c r="F74" s="429">
        <f>+'Deducible 185'!AD93</f>
        <v>998829.2780722883</v>
      </c>
      <c r="H74" s="428">
        <f>+H73+1</f>
        <v>70</v>
      </c>
      <c r="I74" s="429">
        <f>+'No Deducible 93'!Y93</f>
        <v>623062.3830999666</v>
      </c>
      <c r="J74" s="429">
        <f>+'Deducible 151'!Y93</f>
        <v>619421.6562083797</v>
      </c>
      <c r="K74" s="429">
        <f>+'Deducible 185'!Y93</f>
        <v>623062.3830999666</v>
      </c>
      <c r="O74" s="453"/>
      <c r="P74" s="453"/>
      <c r="Q74" s="453"/>
      <c r="Z74" s="454"/>
      <c r="AA74" s="402"/>
      <c r="AD74" s="439" t="s">
        <v>153</v>
      </c>
      <c r="AF74" s="469">
        <f>+'No Deducible 93'!Y35</f>
        <v>0</v>
      </c>
      <c r="AG74" s="469">
        <f>+'No Deducible 93'!$Y47</f>
        <v>60996.15221112068</v>
      </c>
      <c r="AH74" s="469">
        <f>+'No Deducible 93'!$Y59</f>
        <v>190842.07582332552</v>
      </c>
      <c r="AI74" s="469">
        <f>+'No Deducible 93'!$Y71</f>
        <v>331926.9089901394</v>
      </c>
      <c r="AJ74" s="469">
        <f>+'No Deducible 93'!$Y83</f>
        <v>485225.35780895554</v>
      </c>
      <c r="AK74" s="469">
        <f>+'No Deducible 93'!$Y95</f>
        <v>651796.7376154108</v>
      </c>
      <c r="AL74" s="469">
        <f>+'No Deducible 93'!$Y107</f>
        <v>832792.320556296</v>
      </c>
      <c r="AM74" s="469">
        <f>+'No Deducible 93'!$Y119</f>
        <v>1029463.3213582018</v>
      </c>
      <c r="AN74" s="469">
        <f>+'No Deducible 93'!$Y131</f>
        <v>1243169.576729271</v>
      </c>
      <c r="AO74" s="469">
        <f>+'No Deducible 93'!$Y143</f>
        <v>1475388.9786472104</v>
      </c>
      <c r="AP74" s="469">
        <f>+'No Deducible 93'!$Y155</f>
        <v>1727727.7270209037</v>
      </c>
      <c r="AQ74" s="469">
        <f>+'No Deducible 93'!$Y167</f>
        <v>2001931.4729017809</v>
      </c>
      <c r="AR74" s="469">
        <f>+'No Deducible 93'!$Y179</f>
        <v>2299897.429604201</v>
      </c>
      <c r="AS74" s="469">
        <f>+'No Deducible 93'!$Y191</f>
        <v>2623687.535814255</v>
      </c>
      <c r="AT74" s="469">
        <f>+'No Deducible 93'!$Y203</f>
        <v>2975542.762070385</v>
      </c>
      <c r="AU74" s="469">
        <f>+'No Deducible 93'!$Y215</f>
        <v>3357898.6599376677</v>
      </c>
      <c r="AV74" s="469">
        <f>+'No Deducible 93'!$Y227</f>
        <v>3773402.2618257343</v>
      </c>
      <c r="AW74" s="469">
        <f>+'No Deducible 93'!$Y239</f>
        <v>4224930.448777985</v>
      </c>
      <c r="AX74" s="469">
        <f>+'No Deducible 93'!$Y251</f>
        <v>4715609.913751885</v>
      </c>
      <c r="AY74" s="469">
        <f>+'No Deducible 93'!$Y263</f>
        <v>5248838.858988065</v>
      </c>
      <c r="AZ74" s="469">
        <f>+'No Deducible 93'!$Y275</f>
        <v>5828310.578105759</v>
      </c>
      <c r="BA74" s="469">
        <f>+'No Deducible 93'!$Y287</f>
        <v>6458039.086648262</v>
      </c>
      <c r="BB74" s="469">
        <f>+'No Deducible 93'!$Y299</f>
        <v>7142386.979024759</v>
      </c>
      <c r="BC74" s="469">
        <f>+'No Deducible 93'!$Y311</f>
        <v>7886095.705253298</v>
      </c>
      <c r="BD74" s="469">
        <f>+'No Deducible 93'!$Y323</f>
        <v>8694318.477710802</v>
      </c>
      <c r="BE74" s="470"/>
    </row>
    <row r="75" spans="1:56" x14ac:dyDescent="0.25">
      <c r="A75" s="426">
        <f t="shared" si="31"/>
        <v>5.916666666666667</v>
      </c>
      <c r="B75" s="427">
        <f>'OptiMaxx plus'!$T$7+A75</f>
        <v>34.916666666666664</v>
      </c>
      <c r="C75" s="428">
        <f>+C74+1</f>
        <v>71</v>
      </c>
      <c r="D75" s="429">
        <f>+'No Deducible 93'!AD94</f>
        <v>1015651.4936861359</v>
      </c>
      <c r="E75" s="429">
        <f>+'Deducible 151'!AD94</f>
        <v>1002872.9041818929</v>
      </c>
      <c r="F75" s="429">
        <f>+'Deducible 185'!AD94</f>
        <v>1015651.4936861359</v>
      </c>
      <c r="H75" s="428">
        <f>+H74+1</f>
        <v>71</v>
      </c>
      <c r="I75" s="429">
        <f>+'No Deducible 93'!Y94</f>
        <v>637379.6919804562</v>
      </c>
      <c r="J75" s="429">
        <f>+'Deducible 151'!Y94</f>
        <v>633597.3839764488</v>
      </c>
      <c r="K75" s="429">
        <f>+'Deducible 185'!Y94</f>
        <v>637379.6919804562</v>
      </c>
      <c r="O75" s="453"/>
      <c r="P75" s="453"/>
      <c r="Q75" s="453"/>
      <c r="Z75" s="454"/>
      <c r="AA75" s="402"/>
      <c r="AC75" s="439"/>
      <c r="AF75" s="466"/>
      <c r="AG75" s="466"/>
      <c r="AH75" s="439"/>
      <c r="AI75" s="466"/>
      <c r="AJ75" s="466"/>
      <c r="AK75" s="466"/>
      <c r="AL75" s="466"/>
      <c r="AM75" s="466"/>
      <c r="AN75" s="466"/>
      <c r="AO75" s="466"/>
      <c r="AP75" s="466"/>
      <c r="AQ75" s="466"/>
      <c r="AR75" s="466"/>
      <c r="AS75" s="466"/>
      <c r="AT75" s="466"/>
      <c r="AU75" s="466"/>
      <c r="AV75" s="466"/>
      <c r="AW75" s="466"/>
      <c r="AX75" s="466"/>
      <c r="AY75" s="466"/>
      <c r="AZ75" s="466"/>
      <c r="BA75" s="466"/>
      <c r="BB75" s="466"/>
      <c r="BC75" s="466"/>
      <c r="BD75" s="466"/>
    </row>
    <row r="76" spans="1:30" x14ac:dyDescent="0.25">
      <c r="A76" s="426">
        <f t="shared" si="31"/>
        <v>6</v>
      </c>
      <c r="B76" s="427">
        <f>'OptiMaxx plus'!$T$7+A76</f>
        <v>35</v>
      </c>
      <c r="C76" s="428">
        <f t="shared" si="32"/>
        <v>72</v>
      </c>
      <c r="D76" s="429">
        <f>+'No Deducible 93'!AD95</f>
        <v>1029161.7130232818</v>
      </c>
      <c r="E76" s="429">
        <f>+'Deducible 151'!AD95</f>
        <v>1015901.1109724635</v>
      </c>
      <c r="F76" s="429">
        <f>+'Deducible 185'!AD95</f>
        <v>1029161.7130232818</v>
      </c>
      <c r="H76" s="428">
        <f t="shared" si="33"/>
        <v>72</v>
      </c>
      <c r="I76" s="429">
        <f>+'No Deducible 93'!Y95</f>
        <v>651796.7376154108</v>
      </c>
      <c r="J76" s="429">
        <f>+'Deducible 151'!Y95</f>
        <v>647869.5760186885</v>
      </c>
      <c r="K76" s="429">
        <f>+'Deducible 185'!Y95</f>
        <v>651796.7376154108</v>
      </c>
      <c r="O76" s="453"/>
      <c r="P76" s="453"/>
      <c r="Q76" s="453"/>
      <c r="Z76" s="454"/>
      <c r="AA76" s="402"/>
      <c r="AC76" s="439"/>
      <c r="AD76" s="439"/>
    </row>
    <row r="77" spans="1:56" x14ac:dyDescent="0.25">
      <c r="A77" s="426">
        <f t="shared" si="31"/>
        <v>6.083333333333333</v>
      </c>
      <c r="B77" s="427">
        <f>'OptiMaxx plus'!$T$7+A77</f>
        <v>35.083333333333336</v>
      </c>
      <c r="C77" s="428">
        <f t="shared" si="32"/>
        <v>73</v>
      </c>
      <c r="D77" s="429">
        <f>+'No Deducible 93'!AD96</f>
        <v>1046191.1470118267</v>
      </c>
      <c r="E77" s="429">
        <f>+'Deducible 151'!AD96</f>
        <v>1032681.2347546924</v>
      </c>
      <c r="F77" s="429">
        <f>+'Deducible 185'!AD96</f>
        <v>1046191.1470118267</v>
      </c>
      <c r="H77" s="428">
        <f t="shared" si="33"/>
        <v>73</v>
      </c>
      <c r="I77" s="429">
        <f>+'No Deducible 93'!Y96</f>
        <v>666310.5064296005</v>
      </c>
      <c r="J77" s="429">
        <f>+'Deducible 151'!Y96</f>
        <v>662234.5920585472</v>
      </c>
      <c r="K77" s="429">
        <f>+'Deducible 185'!Y96</f>
        <v>666310.5064296005</v>
      </c>
      <c r="O77" s="453"/>
      <c r="P77" s="453"/>
      <c r="Q77" s="453"/>
      <c r="Z77" s="454"/>
      <c r="AA77" s="402"/>
      <c r="AC77" s="471">
        <v>0.2</v>
      </c>
      <c r="AD77" s="439" t="s">
        <v>154</v>
      </c>
      <c r="AF77" s="402">
        <f>+$AC$77*AF72*AF74</f>
        <v>0</v>
      </c>
      <c r="AG77" s="402">
        <f>IF(AND(AG78&gt;=60,AG79&gt;=5),0,$AC$77*AG72*AG74)</f>
        <v>311.661468609485</v>
      </c>
      <c r="AH77" s="402">
        <f t="shared" ref="AH77:BD77" si="34">IF(AND(AH78&gt;=60,AH79&gt;=5),0,$AC$77*AH72*AH74)</f>
        <v>1531.0521253956767</v>
      </c>
      <c r="AI77" s="402">
        <f t="shared" si="34"/>
        <v>3850.9526550423866</v>
      </c>
      <c r="AJ77" s="402">
        <f t="shared" si="34"/>
        <v>7493.287831465309</v>
      </c>
      <c r="AK77" s="402">
        <f t="shared" si="34"/>
        <v>12649.401090953294</v>
      </c>
      <c r="AL77" s="402">
        <f t="shared" si="34"/>
        <v>19514.007548333182</v>
      </c>
      <c r="AM77" s="402">
        <f t="shared" si="34"/>
        <v>28294.984794938475</v>
      </c>
      <c r="AN77" s="402">
        <f t="shared" si="34"/>
        <v>39217.817579158196</v>
      </c>
      <c r="AO77" s="402">
        <f t="shared" si="34"/>
        <v>52528.53022329791</v>
      </c>
      <c r="AP77" s="402">
        <f t="shared" si="34"/>
        <v>68496.17231998281</v>
      </c>
      <c r="AQ77" s="402">
        <f t="shared" si="34"/>
        <v>87415.22503478931</v>
      </c>
      <c r="AR77" s="402">
        <f t="shared" si="34"/>
        <v>109608.0798804277</v>
      </c>
      <c r="AS77" s="402">
        <f t="shared" si="34"/>
        <v>135427.66537373108</v>
      </c>
      <c r="AT77" s="402">
        <f t="shared" si="34"/>
        <v>165260.26719959726</v>
      </c>
      <c r="AU77" s="402">
        <f t="shared" si="34"/>
        <v>199528.57537582377</v>
      </c>
      <c r="AV77" s="402">
        <f t="shared" si="34"/>
        <v>238694.98716328226</v>
      </c>
      <c r="AW77" s="402">
        <f t="shared" si="34"/>
        <v>283265.19309429405</v>
      </c>
      <c r="AX77" s="402">
        <f t="shared" si="34"/>
        <v>333792.07381596573</v>
      </c>
      <c r="AY77" s="402">
        <f>IF(AND(AY78&gt;=60,AY79&gt;=5),0,$AC$77*AY72*AY74)</f>
        <v>390879.93671403837</v>
      </c>
      <c r="AZ77" s="402">
        <f t="shared" si="34"/>
        <v>455189.12314670865</v>
      </c>
      <c r="BA77" s="402">
        <f t="shared" si="34"/>
        <v>527441.0194109381</v>
      </c>
      <c r="BB77" s="402">
        <f t="shared" si="34"/>
        <v>608423.5072084204</v>
      </c>
      <c r="BC77" s="402">
        <f t="shared" si="34"/>
        <v>698996.8923426447</v>
      </c>
      <c r="BD77" s="402">
        <f t="shared" si="34"/>
        <v>800100.353654639</v>
      </c>
    </row>
    <row r="78" spans="1:56" x14ac:dyDescent="0.25">
      <c r="A78" s="426">
        <f t="shared" si="31"/>
        <v>6.166666666666667</v>
      </c>
      <c r="B78" s="427">
        <f>'OptiMaxx plus'!$T$7+A78</f>
        <v>35.166666666666664</v>
      </c>
      <c r="C78" s="428">
        <f t="shared" si="32"/>
        <v>74</v>
      </c>
      <c r="D78" s="429">
        <f>+'No Deducible 93'!AD97</f>
        <v>1063338.5094998395</v>
      </c>
      <c r="E78" s="429">
        <f>+'Deducible 151'!AD97</f>
        <v>1049574.991729772</v>
      </c>
      <c r="F78" s="429">
        <f>+'Deducible 185'!AD97</f>
        <v>1063338.5094998395</v>
      </c>
      <c r="H78" s="428">
        <f t="shared" si="33"/>
        <v>74</v>
      </c>
      <c r="I78" s="429">
        <f>+'No Deducible 93'!Y97</f>
        <v>680925.3805708224</v>
      </c>
      <c r="J78" s="429">
        <f>+'Deducible 151'!Y97</f>
        <v>676697.3604585249</v>
      </c>
      <c r="K78" s="429">
        <f>+'Deducible 185'!Y97</f>
        <v>680925.3805708224</v>
      </c>
      <c r="O78" s="453"/>
      <c r="P78" s="453"/>
      <c r="Q78" s="453"/>
      <c r="Z78" s="454"/>
      <c r="AA78" s="402"/>
      <c r="AD78" s="404" t="s">
        <v>23</v>
      </c>
      <c r="AF78" s="453">
        <f>+'OptiMaxx plus'!E31</f>
        <v>30</v>
      </c>
      <c r="AG78" s="453">
        <f>+AF78+1</f>
        <v>31</v>
      </c>
      <c r="AH78" s="453">
        <f t="shared" ref="AH78:BD78" si="35">+AG78+1</f>
        <v>32</v>
      </c>
      <c r="AI78" s="453">
        <f t="shared" si="35"/>
        <v>33</v>
      </c>
      <c r="AJ78" s="453">
        <f t="shared" si="35"/>
        <v>34</v>
      </c>
      <c r="AK78" s="453">
        <f t="shared" si="35"/>
        <v>35</v>
      </c>
      <c r="AL78" s="453">
        <f t="shared" si="35"/>
        <v>36</v>
      </c>
      <c r="AM78" s="453">
        <f t="shared" si="35"/>
        <v>37</v>
      </c>
      <c r="AN78" s="453">
        <f t="shared" si="35"/>
        <v>38</v>
      </c>
      <c r="AO78" s="453">
        <f t="shared" si="35"/>
        <v>39</v>
      </c>
      <c r="AP78" s="453">
        <f t="shared" si="35"/>
        <v>40</v>
      </c>
      <c r="AQ78" s="453">
        <f t="shared" si="35"/>
        <v>41</v>
      </c>
      <c r="AR78" s="453">
        <f t="shared" si="35"/>
        <v>42</v>
      </c>
      <c r="AS78" s="453">
        <f t="shared" si="35"/>
        <v>43</v>
      </c>
      <c r="AT78" s="453">
        <f t="shared" si="35"/>
        <v>44</v>
      </c>
      <c r="AU78" s="453">
        <f t="shared" si="35"/>
        <v>45</v>
      </c>
      <c r="AV78" s="453">
        <f t="shared" si="35"/>
        <v>46</v>
      </c>
      <c r="AW78" s="453">
        <f t="shared" si="35"/>
        <v>47</v>
      </c>
      <c r="AX78" s="453">
        <f t="shared" si="35"/>
        <v>48</v>
      </c>
      <c r="AY78" s="453">
        <f t="shared" si="35"/>
        <v>49</v>
      </c>
      <c r="AZ78" s="453">
        <f t="shared" si="35"/>
        <v>50</v>
      </c>
      <c r="BA78" s="453">
        <f t="shared" si="35"/>
        <v>51</v>
      </c>
      <c r="BB78" s="453">
        <f t="shared" si="35"/>
        <v>52</v>
      </c>
      <c r="BC78" s="453">
        <f t="shared" si="35"/>
        <v>53</v>
      </c>
      <c r="BD78" s="453">
        <f t="shared" si="35"/>
        <v>54</v>
      </c>
    </row>
    <row r="79" spans="1:56" x14ac:dyDescent="0.25">
      <c r="A79" s="426">
        <f t="shared" si="31"/>
        <v>6.25</v>
      </c>
      <c r="B79" s="427">
        <f>'OptiMaxx plus'!$T$7+A79</f>
        <v>35.25</v>
      </c>
      <c r="C79" s="428">
        <f t="shared" si="32"/>
        <v>75</v>
      </c>
      <c r="D79" s="429">
        <f>+'No Deducible 93'!AD98</f>
        <v>1077138.5994171887</v>
      </c>
      <c r="E79" s="429">
        <f>+'Deducible 151'!AD98</f>
        <v>1062880.0309888406</v>
      </c>
      <c r="F79" s="429">
        <f>+'Deducible 185'!AD98</f>
        <v>1077138.5994171887</v>
      </c>
      <c r="H79" s="428">
        <f t="shared" si="33"/>
        <v>75</v>
      </c>
      <c r="I79" s="429">
        <f>+'No Deducible 93'!Y98</f>
        <v>695642.0643555971</v>
      </c>
      <c r="J79" s="429">
        <f>+'Deducible 151'!Y98</f>
        <v>691258.5464127212</v>
      </c>
      <c r="K79" s="429">
        <f>+'Deducible 185'!Y98</f>
        <v>695642.0643555971</v>
      </c>
      <c r="O79" s="453"/>
      <c r="P79" s="453"/>
      <c r="Q79" s="453"/>
      <c r="Z79" s="454"/>
      <c r="AA79" s="402"/>
      <c r="AD79" s="404" t="s">
        <v>55</v>
      </c>
      <c r="AF79" s="453">
        <f>+'OptiMaxx plus'!C31</f>
        <v>1</v>
      </c>
      <c r="AG79" s="453">
        <f>+AF79+1</f>
        <v>2</v>
      </c>
      <c r="AH79" s="453">
        <f t="shared" ref="AH79:BD79" si="36">+AG79+1</f>
        <v>3</v>
      </c>
      <c r="AI79" s="453">
        <f t="shared" si="36"/>
        <v>4</v>
      </c>
      <c r="AJ79" s="453">
        <f t="shared" si="36"/>
        <v>5</v>
      </c>
      <c r="AK79" s="453">
        <f t="shared" si="36"/>
        <v>6</v>
      </c>
      <c r="AL79" s="453">
        <f t="shared" si="36"/>
        <v>7</v>
      </c>
      <c r="AM79" s="453">
        <f t="shared" si="36"/>
        <v>8</v>
      </c>
      <c r="AN79" s="453">
        <f t="shared" si="36"/>
        <v>9</v>
      </c>
      <c r="AO79" s="453">
        <f t="shared" si="36"/>
        <v>10</v>
      </c>
      <c r="AP79" s="453">
        <f t="shared" si="36"/>
        <v>11</v>
      </c>
      <c r="AQ79" s="453">
        <f t="shared" si="36"/>
        <v>12</v>
      </c>
      <c r="AR79" s="453">
        <f t="shared" si="36"/>
        <v>13</v>
      </c>
      <c r="AS79" s="453">
        <f t="shared" si="36"/>
        <v>14</v>
      </c>
      <c r="AT79" s="453">
        <f t="shared" si="36"/>
        <v>15</v>
      </c>
      <c r="AU79" s="453">
        <f t="shared" si="36"/>
        <v>16</v>
      </c>
      <c r="AV79" s="453">
        <f t="shared" si="36"/>
        <v>17</v>
      </c>
      <c r="AW79" s="453">
        <f t="shared" si="36"/>
        <v>18</v>
      </c>
      <c r="AX79" s="453">
        <f t="shared" si="36"/>
        <v>19</v>
      </c>
      <c r="AY79" s="453">
        <f t="shared" si="36"/>
        <v>20</v>
      </c>
      <c r="AZ79" s="453">
        <f t="shared" si="36"/>
        <v>21</v>
      </c>
      <c r="BA79" s="453">
        <f t="shared" si="36"/>
        <v>22</v>
      </c>
      <c r="BB79" s="453">
        <f t="shared" si="36"/>
        <v>23</v>
      </c>
      <c r="BC79" s="453">
        <f t="shared" si="36"/>
        <v>24</v>
      </c>
      <c r="BD79" s="453">
        <f t="shared" si="36"/>
        <v>25</v>
      </c>
    </row>
    <row r="80" spans="1:27" x14ac:dyDescent="0.25">
      <c r="A80" s="426">
        <f t="shared" si="31"/>
        <v>6.333333333333333</v>
      </c>
      <c r="B80" s="427">
        <f>'OptiMaxx plus'!$T$7+A80</f>
        <v>35.333333333333336</v>
      </c>
      <c r="C80" s="428">
        <f t="shared" si="32"/>
        <v>76</v>
      </c>
      <c r="D80" s="429">
        <f>+'No Deducible 93'!AD99</f>
        <v>1094501.1693839764</v>
      </c>
      <c r="E80" s="429">
        <f>+'Deducible 151'!AD99</f>
        <v>1079978.9893425824</v>
      </c>
      <c r="F80" s="429">
        <f>+'Deducible 185'!AD99</f>
        <v>1094501.1693839764</v>
      </c>
      <c r="H80" s="428">
        <f t="shared" si="33"/>
        <v>76</v>
      </c>
      <c r="I80" s="429">
        <f>+'No Deducible 93'!Y99</f>
        <v>710461.2670068315</v>
      </c>
      <c r="J80" s="429">
        <f>+'Deducible 151'!Y99</f>
        <v>705918.8196418084</v>
      </c>
      <c r="K80" s="429">
        <f>+'Deducible 185'!Y99</f>
        <v>710461.2670068315</v>
      </c>
      <c r="O80" s="453"/>
      <c r="P80" s="453"/>
      <c r="Q80" s="453"/>
      <c r="Z80" s="454"/>
      <c r="AA80" s="402"/>
    </row>
    <row r="81" spans="1:27" x14ac:dyDescent="0.25">
      <c r="A81" s="426">
        <f t="shared" si="31"/>
        <v>6.416666666666667</v>
      </c>
      <c r="B81" s="427">
        <f>'OptiMaxx plus'!$T$7+A81</f>
        <v>35.416666666666664</v>
      </c>
      <c r="C81" s="428">
        <f t="shared" si="32"/>
        <v>77</v>
      </c>
      <c r="D81" s="429">
        <f>+'No Deducible 93'!AD100</f>
        <v>1111983.9818409875</v>
      </c>
      <c r="E81" s="429">
        <f>+'Deducible 151'!AD100</f>
        <v>1097193.7452420439</v>
      </c>
      <c r="F81" s="429">
        <f>+'Deducible 185'!AD100</f>
        <v>1111983.9818409875</v>
      </c>
      <c r="H81" s="428">
        <f t="shared" si="33"/>
        <v>77</v>
      </c>
      <c r="I81" s="429">
        <f>+'No Deducible 93'!Y100</f>
        <v>725383.702687997</v>
      </c>
      <c r="J81" s="429">
        <f>+'Deducible 151'!Y100</f>
        <v>720678.854423835</v>
      </c>
      <c r="K81" s="429">
        <f>+'Deducible 185'!Y100</f>
        <v>725383.702687997</v>
      </c>
      <c r="O81" s="453"/>
      <c r="P81" s="453"/>
      <c r="Q81" s="453"/>
      <c r="Z81" s="454"/>
      <c r="AA81" s="402"/>
    </row>
    <row r="82" spans="1:27" x14ac:dyDescent="0.25">
      <c r="A82" s="426">
        <f t="shared" si="31"/>
        <v>6.5</v>
      </c>
      <c r="B82" s="427">
        <f>'OptiMaxx plus'!$T$7+A82</f>
        <v>35.5</v>
      </c>
      <c r="C82" s="428">
        <f t="shared" si="32"/>
        <v>78</v>
      </c>
      <c r="D82" s="429">
        <f>+'No Deducible 93'!AD101</f>
        <v>1126083.9018337016</v>
      </c>
      <c r="E82" s="429">
        <f>+'Deducible 151'!AD101</f>
        <v>1110785.7933757668</v>
      </c>
      <c r="F82" s="429">
        <f>+'Deducible 185'!AD101</f>
        <v>1126083.9018337016</v>
      </c>
      <c r="H82" s="428">
        <f t="shared" si="33"/>
        <v>78</v>
      </c>
      <c r="I82" s="429">
        <f>+'No Deducible 93'!Y101</f>
        <v>740410.0905375467</v>
      </c>
      <c r="J82" s="429">
        <f>+'Deducible 151'!Y101</f>
        <v>735539.3296252373</v>
      </c>
      <c r="K82" s="429">
        <f>+'Deducible 185'!Y101</f>
        <v>740410.0905375467</v>
      </c>
      <c r="O82" s="453"/>
      <c r="P82" s="453"/>
      <c r="Q82" s="453"/>
      <c r="Z82" s="454"/>
      <c r="AA82" s="402"/>
    </row>
    <row r="83" spans="1:27" x14ac:dyDescent="0.25">
      <c r="A83" s="426">
        <f t="shared" si="31"/>
        <v>6.583333333333333</v>
      </c>
      <c r="B83" s="427">
        <f>'OptiMaxx plus'!$T$7+A83</f>
        <v>35.583333333333336</v>
      </c>
      <c r="C83" s="428">
        <f t="shared" si="32"/>
        <v>79</v>
      </c>
      <c r="D83" s="429">
        <f>+'No Deducible 93'!AD102</f>
        <v>1143786.343634059</v>
      </c>
      <c r="E83" s="429">
        <f>+'Deducible 151'!AD102</f>
        <v>1128209.8852367795</v>
      </c>
      <c r="F83" s="429">
        <f>+'Deducible 185'!AD102</f>
        <v>1143786.343634059</v>
      </c>
      <c r="H83" s="428">
        <f t="shared" si="33"/>
        <v>79</v>
      </c>
      <c r="I83" s="429">
        <f>+'No Deducible 93'!Y102</f>
        <v>755541.1547035713</v>
      </c>
      <c r="J83" s="429">
        <f>+'Deducible 151'!Y102</f>
        <v>750500.9287320635</v>
      </c>
      <c r="K83" s="429">
        <f>+'Deducible 185'!Y102</f>
        <v>755541.1547035713</v>
      </c>
      <c r="O83" s="453"/>
      <c r="P83" s="453"/>
      <c r="Q83" s="453"/>
      <c r="Z83" s="454"/>
      <c r="AA83" s="402"/>
    </row>
    <row r="84" spans="1:27" x14ac:dyDescent="0.25">
      <c r="A84" s="426">
        <f t="shared" si="31"/>
        <v>6.666666666666667</v>
      </c>
      <c r="B84" s="427">
        <f>'OptiMaxx plus'!$T$7+A84</f>
        <v>35.666666666666664</v>
      </c>
      <c r="C84" s="428">
        <f t="shared" si="32"/>
        <v>80</v>
      </c>
      <c r="D84" s="429">
        <f>+'No Deducible 93'!AD103</f>
        <v>1161611.3887746735</v>
      </c>
      <c r="E84" s="429">
        <f>+'Deducible 151'!AD103</f>
        <v>1145751.981809572</v>
      </c>
      <c r="F84" s="429">
        <f>+'Deducible 185'!AD103</f>
        <v>1161611.3887746735</v>
      </c>
      <c r="H84" s="428">
        <f t="shared" si="33"/>
        <v>80</v>
      </c>
      <c r="I84" s="429">
        <f>+'No Deducible 93'!Y103</f>
        <v>770777.6243786981</v>
      </c>
      <c r="J84" s="429">
        <f>+'Deducible 151'!Y103</f>
        <v>765564.3398814095</v>
      </c>
      <c r="K84" s="429">
        <f>+'Deducible 185'!Y103</f>
        <v>770777.6243786981</v>
      </c>
      <c r="O84" s="453"/>
      <c r="P84" s="453"/>
      <c r="Q84" s="453"/>
      <c r="Z84" s="454"/>
      <c r="AA84" s="402"/>
    </row>
    <row r="85" spans="1:27" x14ac:dyDescent="0.25">
      <c r="A85" s="426">
        <f t="shared" si="31"/>
        <v>6.75</v>
      </c>
      <c r="B85" s="427">
        <f>'OptiMaxx plus'!$T$7+A85</f>
        <v>35.75</v>
      </c>
      <c r="C85" s="428">
        <f t="shared" si="32"/>
        <v>81</v>
      </c>
      <c r="D85" s="429">
        <f>+'No Deducible 93'!AD104</f>
        <v>1176017.5487929804</v>
      </c>
      <c r="E85" s="429">
        <f>+'Deducible 151'!AD104</f>
        <v>1159637.070288525</v>
      </c>
      <c r="F85" s="429">
        <f>+'Deducible 185'!AD104</f>
        <v>1176017.5487929804</v>
      </c>
      <c r="H85" s="428">
        <f t="shared" si="33"/>
        <v>81</v>
      </c>
      <c r="I85" s="429">
        <f>+'No Deducible 93'!Y104</f>
        <v>786120.2338352312</v>
      </c>
      <c r="J85" s="429">
        <f>+'Deducible 151'!Y104</f>
        <v>780730.2558930687</v>
      </c>
      <c r="K85" s="429">
        <f>+'Deducible 185'!Y104</f>
        <v>786120.2338352312</v>
      </c>
      <c r="O85" s="453"/>
      <c r="P85" s="453"/>
      <c r="Q85" s="453"/>
      <c r="Z85" s="454"/>
      <c r="AA85" s="402"/>
    </row>
    <row r="86" spans="1:27" x14ac:dyDescent="0.25">
      <c r="A86" s="426">
        <f t="shared" si="31"/>
        <v>6.833333333333333</v>
      </c>
      <c r="B86" s="427">
        <f>'OptiMaxx plus'!$T$7+A86</f>
        <v>35.833333333333336</v>
      </c>
      <c r="C86" s="428">
        <f t="shared" si="32"/>
        <v>82</v>
      </c>
      <c r="D86" s="429">
        <f>+'No Deducible 93'!AD105</f>
        <v>1194066.737009454</v>
      </c>
      <c r="E86" s="429">
        <f>+'Deducible 151'!AD105</f>
        <v>1177392.721577038</v>
      </c>
      <c r="F86" s="429">
        <f>+'Deducible 185'!AD105</f>
        <v>1194066.737009454</v>
      </c>
      <c r="H86" s="428">
        <f t="shared" si="33"/>
        <v>82</v>
      </c>
      <c r="I86" s="429">
        <f>+'No Deducible 93'!Y105</f>
        <v>801569.7224605376</v>
      </c>
      <c r="J86" s="429">
        <f>+'Deducible 151'!Y105</f>
        <v>795999.3743013972</v>
      </c>
      <c r="K86" s="429">
        <f>+'Deducible 185'!Y105</f>
        <v>801569.7224605376</v>
      </c>
      <c r="O86" s="453"/>
      <c r="P86" s="453"/>
      <c r="Q86" s="453"/>
      <c r="Z86" s="454"/>
      <c r="AA86" s="402"/>
    </row>
    <row r="87" spans="1:27" x14ac:dyDescent="0.25">
      <c r="A87" s="426">
        <f t="shared" si="31"/>
        <v>6.916666666666667</v>
      </c>
      <c r="B87" s="427">
        <f>'OptiMaxx plus'!$T$7+A87</f>
        <v>35.916666666666664</v>
      </c>
      <c r="C87" s="428">
        <f t="shared" si="32"/>
        <v>83</v>
      </c>
      <c r="D87" s="429">
        <f>+'No Deducible 93'!AD106</f>
        <v>1212240.9372412858</v>
      </c>
      <c r="E87" s="429">
        <f>+'Deducible 151'!AD106</f>
        <v>1195268.6284202181</v>
      </c>
      <c r="F87" s="429">
        <f>+'Deducible 185'!AD106</f>
        <v>1212240.9372412858</v>
      </c>
      <c r="H87" s="428">
        <f t="shared" si="33"/>
        <v>83</v>
      </c>
      <c r="I87" s="429">
        <f>+'No Deducible 93'!Y106</f>
        <v>817126.8347926796</v>
      </c>
      <c r="J87" s="429">
        <f>+'Deducible 151'!Y106</f>
        <v>811372.3973873961</v>
      </c>
      <c r="K87" s="429">
        <f>+'Deducible 185'!Y106</f>
        <v>817126.8347926796</v>
      </c>
      <c r="O87" s="453"/>
      <c r="P87" s="453"/>
      <c r="Q87" s="453"/>
      <c r="Z87" s="454"/>
      <c r="AA87" s="402"/>
    </row>
    <row r="88" ht="14.25" customHeight="1" spans="1:27" x14ac:dyDescent="0.25">
      <c r="A88" s="426">
        <f t="shared" si="31"/>
        <v>7</v>
      </c>
      <c r="B88" s="427">
        <f>'OptiMaxx plus'!$T$7+A88</f>
        <v>36</v>
      </c>
      <c r="C88" s="428">
        <f t="shared" si="32"/>
        <v>84</v>
      </c>
      <c r="D88" s="429">
        <f>+'No Deducible 93'!AD107</f>
        <v>1226959.8832080734</v>
      </c>
      <c r="E88" s="429">
        <f>+'Deducible 151'!AD107</f>
        <v>1209452.9139788593</v>
      </c>
      <c r="F88" s="429">
        <f>+'Deducible 185'!AD107</f>
        <v>1226959.8832080734</v>
      </c>
      <c r="H88" s="428">
        <f t="shared" si="33"/>
        <v>84</v>
      </c>
      <c r="I88" s="429">
        <f>+'No Deducible 93'!Y107</f>
        <v>832792.320556296</v>
      </c>
      <c r="J88" s="429">
        <f>+'Deducible 151'!Y107</f>
        <v>826850.0322110117</v>
      </c>
      <c r="K88" s="429">
        <f>+'Deducible 185'!Y107</f>
        <v>832792.320556296</v>
      </c>
      <c r="O88" s="453"/>
      <c r="P88" s="453"/>
      <c r="Q88" s="453"/>
      <c r="Z88" s="454"/>
      <c r="AA88" s="402"/>
    </row>
    <row r="89" ht="15" customHeight="1" spans="1:27" x14ac:dyDescent="0.25">
      <c r="A89" s="426">
        <f t="shared" si="31"/>
        <v>7.083333333333333</v>
      </c>
      <c r="B89" s="427">
        <f>'OptiMaxx plus'!$T$7+A89</f>
        <v>36.083333333333336</v>
      </c>
      <c r="C89" s="428">
        <f t="shared" si="32"/>
        <v>85</v>
      </c>
      <c r="D89" s="429">
        <f>+'No Deducible 93'!AD108</f>
        <v>1245358.9773438552</v>
      </c>
      <c r="E89" s="429">
        <f>+'Deducible 151'!AD108</f>
        <v>1227542.211611768</v>
      </c>
      <c r="F89" s="429">
        <f>+'Deducible 185'!AD108</f>
        <v>1245358.9773438552</v>
      </c>
      <c r="H89" s="428">
        <f t="shared" si="33"/>
        <v>85</v>
      </c>
      <c r="I89" s="429">
        <f>+'No Deducible 93'!Y108</f>
        <v>848563.078006363</v>
      </c>
      <c r="J89" s="429">
        <f>+'Deducible 151'!Y108</f>
        <v>842428.5220700738</v>
      </c>
      <c r="K89" s="429">
        <f>+'Deducible 185'!Y108</f>
        <v>848563.078006363</v>
      </c>
      <c r="O89" s="453"/>
      <c r="P89" s="453"/>
      <c r="Q89" s="453"/>
      <c r="Z89" s="454"/>
      <c r="AA89" s="402"/>
    </row>
    <row r="90" spans="1:27" x14ac:dyDescent="0.25">
      <c r="A90" s="426">
        <f t="shared" si="31"/>
        <v>7.166666666666667</v>
      </c>
      <c r="B90" s="427">
        <f>'OptiMaxx plus'!$T$7+A90</f>
        <v>36.166666666666664</v>
      </c>
      <c r="C90" s="428">
        <f t="shared" si="32"/>
        <v>86</v>
      </c>
      <c r="D90" s="429">
        <f>+'No Deducible 93'!AD109</f>
        <v>1263885.5141146872</v>
      </c>
      <c r="E90" s="429">
        <f>+'Deducible 151'!AD109</f>
        <v>1245754.02979213</v>
      </c>
      <c r="F90" s="429">
        <f>+'Deducible 185'!AD109</f>
        <v>1263885.5141146872</v>
      </c>
      <c r="H90" s="428">
        <f t="shared" si="33"/>
        <v>86</v>
      </c>
      <c r="I90" s="429">
        <f>+'No Deducible 93'!Y109</f>
        <v>864443.6971753223</v>
      </c>
      <c r="J90" s="429">
        <f>+'Deducible 151'!Y109</f>
        <v>858113.0218456293</v>
      </c>
      <c r="K90" s="429">
        <f>+'Deducible 185'!Y109</f>
        <v>864443.6971753223</v>
      </c>
      <c r="O90" s="453"/>
      <c r="P90" s="453"/>
      <c r="Q90" s="453"/>
      <c r="Z90" s="454"/>
      <c r="AA90" s="402"/>
    </row>
    <row r="91" spans="1:27" x14ac:dyDescent="0.25">
      <c r="A91" s="426">
        <f t="shared" si="31"/>
        <v>7.25</v>
      </c>
      <c r="B91" s="427">
        <f>'OptiMaxx plus'!$T$7+A91</f>
        <v>36.25</v>
      </c>
      <c r="C91" s="428">
        <f t="shared" si="32"/>
        <v>87</v>
      </c>
      <c r="D91" s="429">
        <f>+'No Deducible 93'!AD110</f>
        <v>1278920.0201864769</v>
      </c>
      <c r="E91" s="429">
        <f>+'Deducible 151'!AD110</f>
        <v>1260239.267419299</v>
      </c>
      <c r="F91" s="429">
        <f>+'Deducible 185'!AD110</f>
        <v>1278920.0201864769</v>
      </c>
      <c r="H91" s="428">
        <f t="shared" si="33"/>
        <v>87</v>
      </c>
      <c r="I91" s="429">
        <f>+'No Deducible 93'!Y110</f>
        <v>880434.9433781767</v>
      </c>
      <c r="J91" s="429">
        <f>+'Deducible 151'!Y110</f>
        <v>873904.2529235443</v>
      </c>
      <c r="K91" s="429">
        <f>+'Deducible 185'!Y110</f>
        <v>880434.9433781767</v>
      </c>
      <c r="O91" s="453"/>
      <c r="P91" s="453"/>
      <c r="Q91" s="453"/>
      <c r="Z91" s="454"/>
      <c r="AA91" s="402"/>
    </row>
    <row r="92" spans="1:27" x14ac:dyDescent="0.25">
      <c r="A92" s="426">
        <f t="shared" si="31"/>
        <v>7.333333333333333</v>
      </c>
      <c r="B92" s="427">
        <f>'OptiMaxx plus'!$T$7+A92</f>
        <v>36.333333333333336</v>
      </c>
      <c r="C92" s="428">
        <f t="shared" si="32"/>
        <v>88</v>
      </c>
      <c r="D92" s="429">
        <f>+'No Deducible 93'!AD111</f>
        <v>1297679.9565268029</v>
      </c>
      <c r="E92" s="429">
        <f>+'Deducible 151'!AD111</f>
        <v>1278673.2758229554</v>
      </c>
      <c r="F92" s="429">
        <f>+'Deducible 185'!AD111</f>
        <v>1297679.9565268029</v>
      </c>
      <c r="H92" s="428">
        <f t="shared" si="33"/>
        <v>88</v>
      </c>
      <c r="I92" s="429">
        <f>+'No Deducible 93'!Y111</f>
        <v>896537.58726124</v>
      </c>
      <c r="J92" s="429">
        <f>+'Deducible 151'!Y111</f>
        <v>889802.9415986362</v>
      </c>
      <c r="K92" s="429">
        <f>+'Deducible 185'!Y111</f>
        <v>896537.58726124</v>
      </c>
      <c r="O92" s="453"/>
      <c r="P92" s="453"/>
      <c r="Q92" s="453"/>
      <c r="Z92" s="454"/>
      <c r="AA92" s="402"/>
    </row>
    <row r="93" spans="1:27" x14ac:dyDescent="0.25">
      <c r="A93" s="426">
        <f t="shared" si="31"/>
        <v>7.416666666666667</v>
      </c>
      <c r="B93" s="427">
        <f>'OptiMaxx plus'!$T$7+A93</f>
        <v>36.416666666666664</v>
      </c>
      <c r="C93" s="428">
        <f t="shared" si="32"/>
        <v>89</v>
      </c>
      <c r="D93" s="429">
        <f>+'No Deducible 93'!AD112</f>
        <v>1316569.8422402</v>
      </c>
      <c r="E93" s="429">
        <f>+'Deducible 151'!AD112</f>
        <v>1297232.1450072287</v>
      </c>
      <c r="F93" s="429">
        <f>+'Deducible 185'!AD112</f>
        <v>1316569.8422402</v>
      </c>
      <c r="H93" s="428">
        <f t="shared" si="33"/>
        <v>89</v>
      </c>
      <c r="I93" s="429">
        <f>+'No Deducible 93'!Y112</f>
        <v>912752.4048392769</v>
      </c>
      <c r="J93" s="429">
        <f>+'Deducible 151'!Y112</f>
        <v>905809.8191080793</v>
      </c>
      <c r="K93" s="429">
        <f>+'Deducible 185'!Y112</f>
        <v>912752.4048392769</v>
      </c>
      <c r="O93" s="453"/>
      <c r="P93" s="453"/>
      <c r="Q93" s="453"/>
      <c r="Z93" s="454"/>
      <c r="AA93" s="402"/>
    </row>
    <row r="94" spans="1:27" x14ac:dyDescent="0.25">
      <c r="A94" s="426">
        <f t="shared" si="31"/>
        <v>7.5</v>
      </c>
      <c r="B94" s="427">
        <f>'OptiMaxx plus'!$T$7+A94</f>
        <v>36.5</v>
      </c>
      <c r="C94" s="428">
        <f t="shared" si="32"/>
        <v>90</v>
      </c>
      <c r="D94" s="429">
        <f>+'No Deducible 93'!AD113</f>
        <v>1331930.5632811296</v>
      </c>
      <c r="E94" s="429">
        <f>+'Deducible 151'!AD113</f>
        <v>1312029.1862762973</v>
      </c>
      <c r="F94" s="429">
        <f>+'Deducible 185'!AD113</f>
        <v>1331930.5632811296</v>
      </c>
      <c r="H94" s="428">
        <f t="shared" si="33"/>
        <v>90</v>
      </c>
      <c r="I94" s="429">
        <f>+'No Deducible 93'!Y113</f>
        <v>929080.1775328997</v>
      </c>
      <c r="J94" s="429">
        <f>+'Deducible 151'!Y113</f>
        <v>921925.6216650367</v>
      </c>
      <c r="K94" s="429">
        <f>+'Deducible 185'!Y113</f>
        <v>929080.1775328997</v>
      </c>
      <c r="O94" s="453"/>
      <c r="P94" s="453"/>
      <c r="Q94" s="453"/>
      <c r="Z94" s="454"/>
      <c r="AA94" s="402"/>
    </row>
    <row r="95" spans="1:27" x14ac:dyDescent="0.25">
      <c r="A95" s="426">
        <f t="shared" si="31"/>
        <v>7.583333333333333</v>
      </c>
      <c r="B95" s="427">
        <f>'OptiMaxx plus'!$T$7+A95</f>
        <v>36.583333333333336</v>
      </c>
      <c r="C95" s="428">
        <f t="shared" si="32"/>
        <v>91</v>
      </c>
      <c r="D95" s="429">
        <f>+'No Deducible 93'!AD114</f>
        <v>1351058.6484396376</v>
      </c>
      <c r="E95" s="429">
        <f>+'Deducible 151'!AD114</f>
        <v>1330814.7261639216</v>
      </c>
      <c r="F95" s="429">
        <f>+'Deducible 185'!AD114</f>
        <v>1351058.6484396376</v>
      </c>
      <c r="H95" s="428">
        <f t="shared" si="33"/>
        <v>91</v>
      </c>
      <c r="I95" s="429">
        <f>+'No Deducible 93'!Y114</f>
        <v>945521.6922062265</v>
      </c>
      <c r="J95" s="429">
        <f>+'Deducible 151'!Y114</f>
        <v>938151.0904925213</v>
      </c>
      <c r="K95" s="429">
        <f>+'Deducible 185'!Y114</f>
        <v>945521.6922062265</v>
      </c>
      <c r="O95" s="453"/>
      <c r="P95" s="453"/>
      <c r="Q95" s="453"/>
      <c r="Z95" s="454"/>
      <c r="AA95" s="402"/>
    </row>
    <row r="96" spans="1:27" x14ac:dyDescent="0.25">
      <c r="A96" s="426">
        <f t="shared" si="31"/>
        <v>7.666666666666667</v>
      </c>
      <c r="B96" s="427">
        <f>'OptiMaxx plus'!$T$7+A96</f>
        <v>36.666666666666664</v>
      </c>
      <c r="C96" s="428">
        <f t="shared" si="32"/>
        <v>92</v>
      </c>
      <c r="D96" s="429">
        <f>+'No Deducible 93'!AD115</f>
        <v>1370319.2405420432</v>
      </c>
      <c r="E96" s="429">
        <f>+'Deducible 151'!AD115</f>
        <v>1349727.513427207</v>
      </c>
      <c r="F96" s="429">
        <f>+'Deducible 185'!AD115</f>
        <v>1370319.2405420432</v>
      </c>
      <c r="H96" s="428">
        <f t="shared" si="33"/>
        <v>92</v>
      </c>
      <c r="I96" s="429">
        <f>+'No Deducible 93'!Y115</f>
        <v>962077.7412048023</v>
      </c>
      <c r="J96" s="429">
        <f>+'Deducible 151'!Y115</f>
        <v>954486.9718574875</v>
      </c>
      <c r="K96" s="429">
        <f>+'Deducible 185'!Y115</f>
        <v>962077.7412048023</v>
      </c>
      <c r="O96" s="453"/>
      <c r="P96" s="453"/>
      <c r="Q96" s="453"/>
      <c r="Z96" s="454"/>
      <c r="AA96" s="402"/>
    </row>
    <row r="97" spans="1:27" x14ac:dyDescent="0.25">
      <c r="A97" s="426">
        <f t="shared" si="31"/>
        <v>7.75</v>
      </c>
      <c r="B97" s="427">
        <f>'OptiMaxx plus'!$T$7+A97</f>
        <v>36.75</v>
      </c>
      <c r="C97" s="428">
        <f t="shared" si="32"/>
        <v>93</v>
      </c>
      <c r="D97" s="429">
        <f>+'No Deducible 93'!AD116</f>
        <v>1386013.1461440625</v>
      </c>
      <c r="E97" s="429">
        <f>+'Deducible 151'!AD116</f>
        <v>1364842.9046888798</v>
      </c>
      <c r="F97" s="429">
        <f>+'Deducible 185'!AD116</f>
        <v>1386013.1461440625</v>
      </c>
      <c r="H97" s="428">
        <f t="shared" si="33"/>
        <v>93</v>
      </c>
      <c r="I97" s="429">
        <f>+'No Deducible 93'!Y116</f>
        <v>978749.1223937823</v>
      </c>
      <c r="J97" s="429">
        <f>+'Deducible 151'!Y116</f>
        <v>970934.0171051546</v>
      </c>
      <c r="K97" s="429">
        <f>+'Deducible 185'!Y116</f>
        <v>978749.1223937823</v>
      </c>
      <c r="O97" s="453"/>
      <c r="P97" s="453"/>
      <c r="Q97" s="453"/>
      <c r="Z97" s="454"/>
      <c r="AA97" s="402"/>
    </row>
    <row r="98" spans="1:27" x14ac:dyDescent="0.25">
      <c r="A98" s="426">
        <f t="shared" si="31"/>
        <v>7.833333333333333</v>
      </c>
      <c r="B98" s="427">
        <f>'OptiMaxx plus'!$T$7+A98</f>
        <v>36.833333333333336</v>
      </c>
      <c r="C98" s="428">
        <f t="shared" si="32"/>
        <v>94</v>
      </c>
      <c r="D98" s="429">
        <f>+'No Deducible 93'!AD117</f>
        <v>1405516.837336043</v>
      </c>
      <c r="E98" s="429">
        <f>+'Deducible 151'!AD117</f>
        <v>1383986.9343842932</v>
      </c>
      <c r="F98" s="429">
        <f>+'Deducible 185'!AD117</f>
        <v>1405516.837336043</v>
      </c>
      <c r="H98" s="428">
        <f t="shared" si="33"/>
        <v>94</v>
      </c>
      <c r="I98" s="429">
        <f>+'No Deducible 93'!Y117</f>
        <v>995536.6391963832</v>
      </c>
      <c r="J98" s="429">
        <f>+'Deducible 151'!Y117</f>
        <v>987492.9826935636</v>
      </c>
      <c r="K98" s="429">
        <f>+'Deducible 185'!Y117</f>
        <v>995536.6391963832</v>
      </c>
      <c r="O98" s="453"/>
      <c r="P98" s="453"/>
      <c r="Q98" s="453"/>
      <c r="Z98" s="454"/>
      <c r="AA98" s="402"/>
    </row>
    <row r="99" spans="1:27" x14ac:dyDescent="0.25">
      <c r="A99" s="426">
        <f t="shared" si="31"/>
        <v>7.916666666666667</v>
      </c>
      <c r="B99" s="427">
        <f>'OptiMaxx plus'!$T$7+A99</f>
        <v>36.916666666666664</v>
      </c>
      <c r="C99" s="428">
        <f t="shared" si="32"/>
        <v>95</v>
      </c>
      <c r="D99" s="429">
        <f>+'No Deducible 93'!AD118</f>
        <v>1425155.6449240379</v>
      </c>
      <c r="E99" s="429">
        <f>+'Deducible 151'!AD118</f>
        <v>1403260.6453482185</v>
      </c>
      <c r="F99" s="429">
        <f>+'Deducible 185'!AD118</f>
        <v>1425155.6449240379</v>
      </c>
      <c r="H99" s="428">
        <f t="shared" si="33"/>
        <v>95</v>
      </c>
      <c r="I99" s="429">
        <f>+'No Deducible 93'!Y118</f>
        <v>1012441.1006326015</v>
      </c>
      <c r="J99" s="429">
        <f>+'Deducible 151'!Y118</f>
        <v>1004164.6302283697</v>
      </c>
      <c r="K99" s="429">
        <f>+'Deducible 185'!Y118</f>
        <v>1012441.1006326015</v>
      </c>
      <c r="O99" s="453"/>
      <c r="P99" s="453"/>
      <c r="Q99" s="453"/>
      <c r="Z99" s="454"/>
      <c r="AA99" s="402"/>
    </row>
    <row r="100" spans="1:27" x14ac:dyDescent="0.25">
      <c r="A100" s="426">
        <f t="shared" si="31"/>
        <v>8</v>
      </c>
      <c r="B100" s="427">
        <f>'OptiMaxx plus'!$T$7+A100</f>
        <v>37</v>
      </c>
      <c r="C100" s="428">
        <f t="shared" si="32"/>
        <v>96</v>
      </c>
      <c r="D100" s="429">
        <f>+'No Deducible 93'!AD119</f>
        <v>1441189.852476884</v>
      </c>
      <c r="E100" s="429">
        <f>+'Deducible 151'!AD119</f>
        <v>1418701.0688512314</v>
      </c>
      <c r="F100" s="429">
        <f>+'Deducible 185'!AD119</f>
        <v>1441189.852476884</v>
      </c>
      <c r="H100" s="428">
        <f t="shared" si="33"/>
        <v>96</v>
      </c>
      <c r="I100" s="429">
        <f>+'No Deducible 93'!Y119</f>
        <v>1029463.3213582018</v>
      </c>
      <c r="J100" s="429">
        <f>+'Deducible 151'!Y119</f>
        <v>1020949.7264978713</v>
      </c>
      <c r="K100" s="429">
        <f>+'Deducible 185'!Y119</f>
        <v>1029463.3213582018</v>
      </c>
      <c r="O100" s="453"/>
      <c r="P100" s="453"/>
      <c r="Q100" s="453"/>
      <c r="Z100" s="454"/>
      <c r="AA100" s="402"/>
    </row>
    <row r="101" spans="1:27" x14ac:dyDescent="0.25">
      <c r="A101" s="426">
        <f t="shared" si="31"/>
        <v>8.083333333333334</v>
      </c>
      <c r="B101" s="427">
        <f>'OptiMaxx plus'!$T$7+A101</f>
        <v>37.083333333333336</v>
      </c>
      <c r="C101" s="428">
        <f t="shared" si="32"/>
        <v>97</v>
      </c>
      <c r="D101" s="429">
        <f>+'No Deducible 93'!AD120</f>
        <v>1461072.7496933646</v>
      </c>
      <c r="E101" s="429">
        <f>+'Deducible 151'!AD120</f>
        <v>1438206.0397755534</v>
      </c>
      <c r="F101" s="429">
        <f>+'Deducible 185'!AD120</f>
        <v>1461072.7496933646</v>
      </c>
      <c r="H101" s="428">
        <f t="shared" si="33"/>
        <v>97</v>
      </c>
      <c r="I101" s="429">
        <f>+'No Deducible 93'!Y120</f>
        <v>1046600.1107439126</v>
      </c>
      <c r="J101" s="429">
        <f>+'Deducible 151'!Y120</f>
        <v>1037844.3961917515</v>
      </c>
      <c r="K101" s="429">
        <f>+'Deducible 185'!Y120</f>
        <v>1046600.1107439126</v>
      </c>
      <c r="O101" s="453"/>
      <c r="P101" s="453"/>
      <c r="Q101" s="453"/>
      <c r="Z101" s="454"/>
      <c r="AA101" s="402"/>
    </row>
    <row r="102" spans="1:27" x14ac:dyDescent="0.25">
      <c r="A102" s="426">
        <f t="shared" si="31"/>
        <v>8.166666666666666</v>
      </c>
      <c r="B102" s="427">
        <f>'OptiMaxx plus'!$T$7+A102</f>
        <v>37.166666666666664</v>
      </c>
      <c r="C102" s="428">
        <f t="shared" si="32"/>
        <v>98</v>
      </c>
      <c r="D102" s="429">
        <f>+'No Deducible 93'!AD121</f>
        <v>1481093.397768563</v>
      </c>
      <c r="E102" s="429">
        <f>+'Deducible 151'!AD121</f>
        <v>1457843.142489561</v>
      </c>
      <c r="F102" s="429">
        <f>+'Deducible 185'!AD121</f>
        <v>1481093.397768563</v>
      </c>
      <c r="H102" s="428">
        <f t="shared" si="33"/>
        <v>98</v>
      </c>
      <c r="I102" s="429">
        <f>+'No Deducible 93'!Y121</f>
        <v>1063856.2778541348</v>
      </c>
      <c r="J102" s="429">
        <f>+'Deducible 151'!Y121</f>
        <v>1054854.0322616822</v>
      </c>
      <c r="K102" s="429">
        <f>+'Deducible 185'!Y121</f>
        <v>1063856.2778541348</v>
      </c>
      <c r="O102" s="453"/>
      <c r="P102" s="453"/>
      <c r="Q102" s="453"/>
      <c r="Z102" s="454"/>
      <c r="AA102" s="402"/>
    </row>
    <row r="103" spans="1:27" x14ac:dyDescent="0.25">
      <c r="A103" s="426">
        <f t="shared" si="31"/>
        <v>8.25</v>
      </c>
      <c r="B103" s="427">
        <f>'OptiMaxx plus'!$T$7+A103</f>
        <v>37.25</v>
      </c>
      <c r="C103" s="428">
        <f t="shared" si="32"/>
        <v>99</v>
      </c>
      <c r="D103" s="429">
        <f>+'No Deducible 93'!AD122</f>
        <v>1497471.108545624</v>
      </c>
      <c r="E103" s="429">
        <f>+'Deducible 151'!AD122</f>
        <v>1473610.7084063832</v>
      </c>
      <c r="F103" s="429">
        <f>+'Deducible 185'!AD122</f>
        <v>1497471.108545624</v>
      </c>
      <c r="H103" s="428">
        <f t="shared" si="33"/>
        <v>99</v>
      </c>
      <c r="I103" s="429">
        <f>+'No Deducible 93'!Y122</f>
        <v>1081232.6542939486</v>
      </c>
      <c r="J103" s="429">
        <f>+'Deducible 151'!Y122</f>
        <v>1071979.4170412547</v>
      </c>
      <c r="K103" s="429">
        <f>+'Deducible 185'!Y122</f>
        <v>1081232.6542939486</v>
      </c>
      <c r="O103" s="453"/>
      <c r="P103" s="453"/>
      <c r="Q103" s="453"/>
      <c r="Z103" s="454"/>
      <c r="AA103" s="402"/>
    </row>
    <row r="104" spans="1:27" x14ac:dyDescent="0.25">
      <c r="A104" s="426">
        <f t="shared" si="31"/>
        <v>8.333333333333334</v>
      </c>
      <c r="B104" s="427">
        <f>'OptiMaxx plus'!$T$7+A104</f>
        <v>37.333333333333336</v>
      </c>
      <c r="C104" s="428">
        <f t="shared" si="32"/>
        <v>100</v>
      </c>
      <c r="D104" s="429">
        <f>+'No Deducible 93'!AD123</f>
        <v>1517744.9062249423</v>
      </c>
      <c r="E104" s="429">
        <f>+'Deducible 151'!AD123</f>
        <v>1493488.4143676925</v>
      </c>
      <c r="F104" s="429">
        <f>+'Deducible 185'!AD123</f>
        <v>1517744.9062249423</v>
      </c>
      <c r="H104" s="428">
        <f t="shared" si="33"/>
        <v>100</v>
      </c>
      <c r="I104" s="429">
        <f>+'No Deducible 93'!Y123</f>
        <v>1098730.077461533</v>
      </c>
      <c r="J104" s="429">
        <f>+'Deducible 151'!Y123</f>
        <v>1089221.3381877556</v>
      </c>
      <c r="K104" s="429">
        <f>+'Deducible 185'!Y123</f>
        <v>1098730.077461533</v>
      </c>
      <c r="O104" s="453"/>
      <c r="P104" s="453"/>
      <c r="Q104" s="453"/>
      <c r="Z104" s="454"/>
      <c r="AA104" s="402"/>
    </row>
    <row r="105" spans="1:27" x14ac:dyDescent="0.25">
      <c r="A105" s="426">
        <f t="shared" si="31"/>
        <v>8.416666666666666</v>
      </c>
      <c r="B105" s="427">
        <f>'OptiMaxx plus'!$T$7+A105</f>
        <v>37.416666666666664</v>
      </c>
      <c r="C105" s="428">
        <f t="shared" si="32"/>
        <v>101</v>
      </c>
      <c r="D105" s="429">
        <f>+'No Deducible 93'!AD124</f>
        <v>1538159.17062289</v>
      </c>
      <c r="E105" s="429">
        <f>+'Deducible 151'!AD124</f>
        <v>1513500.7828415958</v>
      </c>
      <c r="F105" s="429">
        <f>+'Deducible 185'!AD124</f>
        <v>1538159.17062289</v>
      </c>
      <c r="H105" s="428">
        <f t="shared" si="33"/>
        <v>101</v>
      </c>
      <c r="I105" s="429">
        <f>+'No Deducible 93'!Y124</f>
        <v>1116349.390588523</v>
      </c>
      <c r="J105" s="429">
        <f>+'Deducible 151'!Y124</f>
        <v>1106580.5887183922</v>
      </c>
      <c r="K105" s="429">
        <f>+'Deducible 185'!Y124</f>
        <v>1116349.390588523</v>
      </c>
      <c r="O105" s="453"/>
      <c r="P105" s="453"/>
      <c r="Q105" s="453"/>
      <c r="Z105" s="454"/>
      <c r="AA105" s="402"/>
    </row>
    <row r="106" spans="1:27" x14ac:dyDescent="0.25">
      <c r="A106" s="426">
        <f t="shared" si="31"/>
        <v>8.5</v>
      </c>
      <c r="B106" s="427">
        <f>'OptiMaxx plus'!$T$7+A106</f>
        <v>37.5</v>
      </c>
      <c r="C106" s="428">
        <f t="shared" si="32"/>
        <v>102</v>
      </c>
      <c r="D106" s="429">
        <f>+'No Deducible 93'!AD125</f>
        <v>1554891.7884914281</v>
      </c>
      <c r="E106" s="429">
        <f>+'Deducible 151'!AD125</f>
        <v>1529607.0676497442</v>
      </c>
      <c r="F106" s="429">
        <f>+'Deducible 185'!AD125</f>
        <v>1554891.7884914281</v>
      </c>
      <c r="H106" s="428">
        <f t="shared" si="33"/>
        <v>102</v>
      </c>
      <c r="I106" s="429">
        <f>+'No Deducible 93'!Y125</f>
        <v>1134091.442780644</v>
      </c>
      <c r="J106" s="429">
        <f>+'Deducible 151'!Y125</f>
        <v>1124057.9670467675</v>
      </c>
      <c r="K106" s="429">
        <f>+'Deducible 185'!Y125</f>
        <v>1134091.442780644</v>
      </c>
      <c r="O106" s="453"/>
      <c r="P106" s="453"/>
      <c r="Q106" s="453"/>
      <c r="Z106" s="454"/>
      <c r="AA106" s="402"/>
    </row>
    <row r="107" spans="1:27" x14ac:dyDescent="0.25">
      <c r="A107" s="426">
        <f t="shared" si="31"/>
        <v>8.583333333333334</v>
      </c>
      <c r="B107" s="427">
        <f>'OptiMaxx plus'!$T$7+A107</f>
        <v>37.583333333333336</v>
      </c>
      <c r="C107" s="428">
        <f t="shared" si="32"/>
        <v>103</v>
      </c>
      <c r="D107" s="429">
        <f>+'No Deducible 93'!AD126</f>
        <v>1575564.4129460158</v>
      </c>
      <c r="E107" s="429">
        <f>+'Deducible 151'!AD126</f>
        <v>1549864.89489034</v>
      </c>
      <c r="F107" s="429">
        <f>+'Deducible 185'!AD126</f>
        <v>1575564.4129460158</v>
      </c>
      <c r="H107" s="428">
        <f t="shared" si="33"/>
        <v>103</v>
      </c>
      <c r="I107" s="429">
        <f>+'No Deducible 93'!Y126</f>
        <v>1151957.0890586344</v>
      </c>
      <c r="J107" s="429">
        <f>+'Deducible 151'!Y126</f>
        <v>1141654.2770196013</v>
      </c>
      <c r="K107" s="429">
        <f>+'Deducible 185'!Y126</f>
        <v>1151957.0890586344</v>
      </c>
      <c r="O107" s="453"/>
      <c r="P107" s="453"/>
      <c r="Q107" s="453"/>
      <c r="Z107" s="454"/>
      <c r="AA107" s="402"/>
    </row>
    <row r="108" spans="1:27" x14ac:dyDescent="0.25">
      <c r="A108" s="426">
        <f t="shared" si="31"/>
        <v>8.666666666666666</v>
      </c>
      <c r="B108" s="427">
        <f>'OptiMaxx plus'!$T$7+A108</f>
        <v>37.666666666666664</v>
      </c>
      <c r="C108" s="428">
        <f t="shared" si="32"/>
        <v>104</v>
      </c>
      <c r="D108" s="429">
        <f>+'No Deducible 93'!AD127</f>
        <v>1596380.2751263091</v>
      </c>
      <c r="E108" s="429">
        <f>+'Deducible 151'!AD127</f>
        <v>1570259.9655746566</v>
      </c>
      <c r="F108" s="429">
        <f>+'Deducible 185'!AD127</f>
        <v>1596380.2751263091</v>
      </c>
      <c r="H108" s="428">
        <f t="shared" si="33"/>
        <v>104</v>
      </c>
      <c r="I108" s="429">
        <f>+'No Deducible 93'!Y127</f>
        <v>1169947.1903994482</v>
      </c>
      <c r="J108" s="429">
        <f>+'Deducible 151'!Y127</f>
        <v>1159370.327953702</v>
      </c>
      <c r="K108" s="429">
        <f>+'Deducible 185'!Y127</f>
        <v>1169947.1903994482</v>
      </c>
      <c r="O108" s="453"/>
      <c r="P108" s="453"/>
      <c r="Q108" s="453"/>
      <c r="Z108" s="454"/>
      <c r="AA108" s="402"/>
    </row>
    <row r="109" spans="1:27" x14ac:dyDescent="0.25">
      <c r="A109" s="426">
        <f t="shared" si="31"/>
        <v>8.75</v>
      </c>
      <c r="B109" s="427">
        <f>'OptiMaxx plus'!$T$7+A109</f>
        <v>37.75</v>
      </c>
      <c r="C109" s="428">
        <f t="shared" si="32"/>
        <v>105</v>
      </c>
      <c r="D109" s="429">
        <f>+'No Deducible 93'!AD128</f>
        <v>1613475.3780686336</v>
      </c>
      <c r="E109" s="429">
        <f>+'Deducible 151'!AD128</f>
        <v>1586712.0742975932</v>
      </c>
      <c r="F109" s="429">
        <f>+'Deducible 185'!AD128</f>
        <v>1613475.3780686336</v>
      </c>
      <c r="H109" s="428">
        <f t="shared" si="33"/>
        <v>105</v>
      </c>
      <c r="I109" s="429">
        <f>+'No Deducible 93'!Y128</f>
        <v>1188062.6137777485</v>
      </c>
      <c r="J109" s="429">
        <f>+'Deducible 151'!Y128</f>
        <v>1177206.934673191</v>
      </c>
      <c r="K109" s="429">
        <f>+'Deducible 185'!Y128</f>
        <v>1188062.6137777485</v>
      </c>
      <c r="O109" s="453"/>
      <c r="P109" s="453"/>
      <c r="Q109" s="453"/>
      <c r="Z109" s="454"/>
      <c r="AA109" s="402"/>
    </row>
    <row r="110" spans="1:27" x14ac:dyDescent="0.25">
      <c r="A110" s="426">
        <f t="shared" si="31"/>
        <v>8.833333333333334</v>
      </c>
      <c r="B110" s="427">
        <f>'OptiMaxx plus'!$T$7+A110</f>
        <v>37.833333333333336</v>
      </c>
      <c r="C110" s="428">
        <f t="shared" si="32"/>
        <v>106</v>
      </c>
      <c r="D110" s="429">
        <f>+'No Deducible 93'!AD129</f>
        <v>1634554.9191106805</v>
      </c>
      <c r="E110" s="429">
        <f>+'Deducible 151'!AD129</f>
        <v>1607357.5581918666</v>
      </c>
      <c r="F110" s="429">
        <f>+'Deducible 185'!AD129</f>
        <v>1634554.9191106805</v>
      </c>
      <c r="H110" s="428">
        <f t="shared" si="33"/>
        <v>106</v>
      </c>
      <c r="I110" s="429">
        <f>+'No Deducible 93'!Y129</f>
        <v>1206304.2322076883</v>
      </c>
      <c r="J110" s="429">
        <f>+'Deducible 151'!Y129</f>
        <v>1195164.917546978</v>
      </c>
      <c r="K110" s="429">
        <f>+'Deducible 185'!Y129</f>
        <v>1206304.2322076883</v>
      </c>
      <c r="O110" s="453"/>
      <c r="P110" s="453"/>
      <c r="Q110" s="453"/>
      <c r="Z110" s="454"/>
      <c r="AA110" s="402"/>
    </row>
    <row r="111" spans="1:27" x14ac:dyDescent="0.25">
      <c r="A111" s="426">
        <f t="shared" si="31"/>
        <v>8.916666666666666</v>
      </c>
      <c r="B111" s="427">
        <f>'OptiMaxx plus'!$T$7+A111</f>
        <v>37.916666666666664</v>
      </c>
      <c r="C111" s="428">
        <f t="shared" si="32"/>
        <v>107</v>
      </c>
      <c r="D111" s="429">
        <f>+'No Deducible 93'!AD130</f>
        <v>1655780.5251709851</v>
      </c>
      <c r="E111" s="429">
        <f>+'Deducible 151'!AD130</f>
        <v>1628142.9176835155</v>
      </c>
      <c r="F111" s="429">
        <f>+'Deducible 185'!AD130</f>
        <v>1655780.5251709851</v>
      </c>
      <c r="H111" s="428">
        <f t="shared" si="33"/>
        <v>107</v>
      </c>
      <c r="I111" s="429">
        <f>+'No Deducible 93'!Y130</f>
        <v>1224672.924784982</v>
      </c>
      <c r="J111" s="429">
        <f>+'Deducible 151'!Y130</f>
        <v>1213245.102526493</v>
      </c>
      <c r="K111" s="429">
        <f>+'Deducible 185'!Y130</f>
        <v>1224672.924784982</v>
      </c>
      <c r="O111" s="453"/>
      <c r="P111" s="453"/>
      <c r="Q111" s="453"/>
      <c r="Z111" s="454"/>
      <c r="AA111" s="402"/>
    </row>
    <row r="112" spans="1:27" x14ac:dyDescent="0.25">
      <c r="A112" s="426">
        <f t="shared" si="31"/>
        <v>9</v>
      </c>
      <c r="B112" s="427">
        <f>'OptiMaxx plus'!$T$7+A112</f>
        <v>38</v>
      </c>
      <c r="C112" s="428">
        <f t="shared" si="32"/>
        <v>108</v>
      </c>
      <c r="D112" s="429">
        <f>+'No Deducible 93'!AD131</f>
        <v>1673245.851820349</v>
      </c>
      <c r="E112" s="429">
        <f>+'Deducible 151'!AD131</f>
        <v>1644948.1027790303</v>
      </c>
      <c r="F112" s="429">
        <f>+'Deducible 185'!AD131</f>
        <v>1673245.851820349</v>
      </c>
      <c r="H112" s="428">
        <f t="shared" si="33"/>
        <v>108</v>
      </c>
      <c r="I112" s="429">
        <f>+'No Deducible 93'!Y131</f>
        <v>1243169.576729271</v>
      </c>
      <c r="J112" s="429">
        <f>+'Deducible 151'!Y131</f>
        <v>1231448.3211836754</v>
      </c>
      <c r="K112" s="429">
        <f>+'Deducible 185'!Y131</f>
        <v>1243169.576729271</v>
      </c>
      <c r="O112" s="453"/>
      <c r="P112" s="453"/>
      <c r="Q112" s="453"/>
      <c r="Z112" s="454"/>
      <c r="AA112" s="402"/>
    </row>
    <row r="113" spans="1:27" x14ac:dyDescent="0.25">
      <c r="A113" s="426">
        <f t="shared" si="31"/>
        <v>9.083333333333334</v>
      </c>
      <c r="B113" s="427">
        <f>'OptiMaxx plus'!$T$7+A113</f>
        <v>38.083333333333336</v>
      </c>
      <c r="C113" s="428">
        <f t="shared" si="32"/>
        <v>109</v>
      </c>
      <c r="D113" s="429">
        <f>+'No Deducible 93'!AD132</f>
        <v>1694736.3947673116</v>
      </c>
      <c r="E113" s="429">
        <f>+'Deducible 151'!AD132</f>
        <v>1665984.097663314</v>
      </c>
      <c r="F113" s="429">
        <f>+'Deducible 185'!AD132</f>
        <v>1694736.3947673116</v>
      </c>
      <c r="H113" s="428">
        <f t="shared" si="33"/>
        <v>109</v>
      </c>
      <c r="I113" s="429">
        <f>+'No Deducible 93'!Y132</f>
        <v>1261790.9080283183</v>
      </c>
      <c r="J113" s="429">
        <f>+'Deducible 151'!Y132</f>
        <v>1249770.5775400344</v>
      </c>
      <c r="K113" s="429">
        <f>+'Deducible 185'!Y132</f>
        <v>1261790.9080283183</v>
      </c>
      <c r="O113" s="453"/>
      <c r="P113" s="453"/>
      <c r="Q113" s="453"/>
      <c r="Z113" s="454"/>
      <c r="AA113" s="402"/>
    </row>
    <row r="114" spans="1:27" x14ac:dyDescent="0.25">
      <c r="A114" s="426">
        <f t="shared" si="31"/>
        <v>9.166666666666666</v>
      </c>
      <c r="B114" s="427">
        <f>'OptiMaxx plus'!$T$7+A114</f>
        <v>38.166666666666664</v>
      </c>
      <c r="C114" s="428">
        <f t="shared" si="32"/>
        <v>110</v>
      </c>
      <c r="D114" s="429">
        <f>+'No Deducible 93'!AD133</f>
        <v>1716375.858413921</v>
      </c>
      <c r="E114" s="429">
        <f>+'Deducible 151'!AD133</f>
        <v>1687162.6196666807</v>
      </c>
      <c r="F114" s="429">
        <f>+'Deducible 185'!AD133</f>
        <v>1716375.858413921</v>
      </c>
      <c r="H114" s="428">
        <f t="shared" si="33"/>
        <v>110</v>
      </c>
      <c r="I114" s="429">
        <f>+'No Deducible 93'!Y133</f>
        <v>1280541.9586177075</v>
      </c>
      <c r="J114" s="429">
        <f>+'Deducible 151'!Y133</f>
        <v>1268217.5148432555</v>
      </c>
      <c r="K114" s="429">
        <f>+'Deducible 185'!Y133</f>
        <v>1280541.9586177075</v>
      </c>
      <c r="O114" s="453"/>
      <c r="P114" s="453"/>
      <c r="Q114" s="453"/>
      <c r="Z114" s="454"/>
      <c r="AA114" s="402"/>
    </row>
    <row r="115" spans="1:27" x14ac:dyDescent="0.25">
      <c r="A115" s="426">
        <f t="shared" si="31"/>
        <v>9.25</v>
      </c>
      <c r="B115" s="427">
        <f>'OptiMaxx plus'!$T$7+A115</f>
        <v>38.25</v>
      </c>
      <c r="C115" s="428">
        <f t="shared" si="32"/>
        <v>111</v>
      </c>
      <c r="D115" s="429">
        <f>+'No Deducible 93'!AD134</f>
        <v>1734215.0817299513</v>
      </c>
      <c r="E115" s="429">
        <f>+'Deducible 151'!AD134</f>
        <v>1704323.3848590055</v>
      </c>
      <c r="F115" s="429">
        <f>+'Deducible 185'!AD134</f>
        <v>1734215.0817299513</v>
      </c>
      <c r="H115" s="428">
        <f t="shared" si="33"/>
        <v>111</v>
      </c>
      <c r="I115" s="429">
        <f>+'No Deducible 93'!Y134</f>
        <v>1299423.632143586</v>
      </c>
      <c r="J115" s="429">
        <f>+'Deducible 151'!Y134</f>
        <v>1286789.9815335204</v>
      </c>
      <c r="K115" s="429">
        <f>+'Deducible 185'!Y134</f>
        <v>1299423.632143586</v>
      </c>
      <c r="O115" s="453"/>
      <c r="P115" s="453"/>
      <c r="Q115" s="453"/>
      <c r="Z115" s="454"/>
      <c r="AA115" s="402"/>
    </row>
    <row r="116" spans="1:27" x14ac:dyDescent="0.25">
      <c r="A116" s="426">
        <f t="shared" si="31"/>
        <v>9.333333333333334</v>
      </c>
      <c r="B116" s="427">
        <f>'OptiMaxx plus'!$T$7+A116</f>
        <v>38.333333333333336</v>
      </c>
      <c r="C116" s="428">
        <f t="shared" si="32"/>
        <v>112</v>
      </c>
      <c r="D116" s="429">
        <f>+'No Deducible 93'!AD135</f>
        <v>1756129.1372904878</v>
      </c>
      <c r="E116" s="429">
        <f>+'Deducible 151'!AD135</f>
        <v>1725762.4674190464</v>
      </c>
      <c r="F116" s="429">
        <f>+'Deducible 185'!AD135</f>
        <v>1756129.1372904878</v>
      </c>
      <c r="H116" s="428">
        <f t="shared" si="33"/>
        <v>112</v>
      </c>
      <c r="I116" s="429">
        <f>+'No Deducible 93'!Y135</f>
        <v>1318436.8385470503</v>
      </c>
      <c r="J116" s="429">
        <f>+'Deducible 151'!Y135</f>
        <v>1305488.8318245532</v>
      </c>
      <c r="K116" s="429">
        <f>+'Deducible 185'!Y135</f>
        <v>1318436.8385470503</v>
      </c>
      <c r="O116" s="453"/>
      <c r="P116" s="453"/>
      <c r="Q116" s="453"/>
      <c r="Z116" s="454"/>
      <c r="AA116" s="402"/>
    </row>
    <row r="117" spans="1:27" x14ac:dyDescent="0.25">
      <c r="A117" s="426">
        <f t="shared" si="31"/>
        <v>9.416666666666666</v>
      </c>
      <c r="B117" s="427">
        <f>'OptiMaxx plus'!$T$7+A117</f>
        <v>38.416666666666664</v>
      </c>
      <c r="C117" s="428">
        <f t="shared" si="32"/>
        <v>113</v>
      </c>
      <c r="D117" s="429">
        <f>+'No Deducible 93'!AD136</f>
        <v>1778195.0563129033</v>
      </c>
      <c r="E117" s="429">
        <f>+'Deducible 151'!AD136</f>
        <v>1747346.8141469264</v>
      </c>
      <c r="F117" s="429">
        <f>+'Deducible 185'!AD136</f>
        <v>1778195.0563129033</v>
      </c>
      <c r="H117" s="428">
        <f t="shared" si="33"/>
        <v>113</v>
      </c>
      <c r="I117" s="429">
        <f>+'No Deducible 93'!Y136</f>
        <v>1337582.4941079982</v>
      </c>
      <c r="J117" s="429">
        <f>+'Deducible 151'!Y136</f>
        <v>1324314.9257429088</v>
      </c>
      <c r="K117" s="429">
        <f>+'Deducible 185'!Y136</f>
        <v>1337582.4941079982</v>
      </c>
      <c r="O117" s="453"/>
      <c r="P117" s="453"/>
      <c r="Q117" s="453"/>
      <c r="Z117" s="454"/>
      <c r="AA117" s="402"/>
    </row>
    <row r="118" spans="1:27" x14ac:dyDescent="0.25">
      <c r="A118" s="426">
        <f t="shared" si="31"/>
        <v>9.5</v>
      </c>
      <c r="B118" s="427">
        <f>'OptiMaxx plus'!$T$7+A118</f>
        <v>38.5</v>
      </c>
      <c r="C118" s="428">
        <f t="shared" si="32"/>
        <v>114</v>
      </c>
      <c r="D118" s="429">
        <f>+'No Deducible 93'!AD137</f>
        <v>1796420.3871894432</v>
      </c>
      <c r="E118" s="429">
        <f>+'Deducible 151'!AD137</f>
        <v>1764875.5144712604</v>
      </c>
      <c r="F118" s="429">
        <f>+'Deducible 185'!AD137</f>
        <v>1796420.3871894432</v>
      </c>
      <c r="H118" s="428">
        <f t="shared" si="33"/>
        <v>114</v>
      </c>
      <c r="I118" s="429">
        <f>+'No Deducible 93'!Y137</f>
        <v>1356861.5214892856</v>
      </c>
      <c r="J118" s="429">
        <f>+'Deducible 151'!Y137</f>
        <v>1343269.1291675284</v>
      </c>
      <c r="K118" s="429">
        <f>+'Deducible 185'!Y137</f>
        <v>1356861.5214892856</v>
      </c>
      <c r="O118" s="453"/>
      <c r="P118" s="453"/>
      <c r="Q118" s="453"/>
      <c r="Z118" s="454"/>
      <c r="AA118" s="402"/>
    </row>
    <row r="119" spans="1:27" x14ac:dyDescent="0.25">
      <c r="A119" s="426">
        <f t="shared" si="31"/>
        <v>9.583333333333334</v>
      </c>
      <c r="B119" s="427">
        <f>'OptiMaxx plus'!$T$7+A119</f>
        <v>38.583333333333336</v>
      </c>
      <c r="C119" s="428">
        <f t="shared" si="32"/>
        <v>115</v>
      </c>
      <c r="D119" s="429">
        <f>+'No Deducible 93'!AD138</f>
        <v>1818766.5545378653</v>
      </c>
      <c r="E119" s="429">
        <f>+'Deducible 151'!AD138</f>
        <v>1786725.6839201907</v>
      </c>
      <c r="F119" s="429">
        <f>+'Deducible 185'!AD138</f>
        <v>1818766.5545378653</v>
      </c>
      <c r="H119" s="428">
        <f t="shared" si="33"/>
        <v>115</v>
      </c>
      <c r="I119" s="429">
        <f>+'No Deducible 93'!Y138</f>
        <v>1376274.849781191</v>
      </c>
      <c r="J119" s="429">
        <f>+'Deducible 151'!Y138</f>
        <v>1362352.3138695648</v>
      </c>
      <c r="K119" s="429">
        <f>+'Deducible 185'!Y138</f>
        <v>1376274.849781191</v>
      </c>
      <c r="O119" s="453"/>
      <c r="P119" s="453"/>
      <c r="Q119" s="453"/>
      <c r="Z119" s="454"/>
      <c r="AA119" s="402"/>
    </row>
    <row r="120" spans="1:27" x14ac:dyDescent="0.25">
      <c r="A120" s="426">
        <f t="shared" si="31"/>
        <v>9.666666666666666</v>
      </c>
      <c r="B120" s="427">
        <f>'OptiMaxx plus'!$T$7+A120</f>
        <v>38.666666666666664</v>
      </c>
      <c r="C120" s="428">
        <f t="shared" si="32"/>
        <v>116</v>
      </c>
      <c r="D120" s="429">
        <f>+'No Deducible 93'!AD139</f>
        <v>1841267.5879421681</v>
      </c>
      <c r="E120" s="429">
        <f>+'Deducible 151'!AD139</f>
        <v>1808723.9089630295</v>
      </c>
      <c r="F120" s="429">
        <f>+'Deducible 185'!AD139</f>
        <v>1841267.5879421681</v>
      </c>
      <c r="H120" s="428">
        <f t="shared" si="33"/>
        <v>116</v>
      </c>
      <c r="I120" s="429">
        <f>+'No Deducible 93'!Y139</f>
        <v>1395823.4145461905</v>
      </c>
      <c r="J120" s="429">
        <f>+'Deducible 151'!Y139</f>
        <v>1381565.3575524779</v>
      </c>
      <c r="K120" s="429">
        <f>+'Deducible 185'!Y139</f>
        <v>1395823.4145461905</v>
      </c>
      <c r="O120" s="453"/>
      <c r="P120" s="453"/>
      <c r="Q120" s="453"/>
      <c r="Z120" s="454"/>
      <c r="AA120" s="402"/>
    </row>
    <row r="121" spans="1:27" x14ac:dyDescent="0.25">
      <c r="A121" s="426">
        <f t="shared" si="31"/>
        <v>9.75</v>
      </c>
      <c r="B121" s="427">
        <f>'OptiMaxx plus'!$T$7+A121</f>
        <v>38.75</v>
      </c>
      <c r="C121" s="428">
        <f t="shared" si="32"/>
        <v>117</v>
      </c>
      <c r="D121" s="429">
        <f>+'No Deducible 93'!AD140</f>
        <v>1859887.2657416468</v>
      </c>
      <c r="E121" s="429">
        <f>+'Deducible 151'!AD140</f>
        <v>1826628.2556266636</v>
      </c>
      <c r="F121" s="429">
        <f>+'Deducible 185'!AD140</f>
        <v>1859887.2657416468</v>
      </c>
      <c r="H121" s="428">
        <f t="shared" si="33"/>
        <v>117</v>
      </c>
      <c r="I121" s="429">
        <f>+'No Deducible 93'!Y140</f>
        <v>1415508.1578640442</v>
      </c>
      <c r="J121" s="429">
        <f>+'Deducible 151'!Y140</f>
        <v>1400909.1438924032</v>
      </c>
      <c r="K121" s="429">
        <f>+'Deducible 185'!Y140</f>
        <v>1415508.1578640442</v>
      </c>
      <c r="O121" s="453"/>
      <c r="P121" s="453"/>
      <c r="Q121" s="453"/>
      <c r="Z121" s="454"/>
      <c r="AA121" s="402"/>
    </row>
    <row r="122" spans="1:27" x14ac:dyDescent="0.25">
      <c r="A122" s="426">
        <f t="shared" si="31"/>
        <v>9.833333333333334</v>
      </c>
      <c r="B122" s="427">
        <f>'OptiMaxx plus'!$T$7+A122</f>
        <v>38.833333333333336</v>
      </c>
      <c r="C122" s="428">
        <f t="shared" si="32"/>
        <v>118</v>
      </c>
      <c r="D122" s="429">
        <f>+'No Deducible 93'!AD141</f>
        <v>1882674.32156238</v>
      </c>
      <c r="E122" s="429">
        <f>+'Deducible 151'!AD141</f>
        <v>1848897.672802255</v>
      </c>
      <c r="F122" s="429">
        <f>+'Deducible 185'!AD141</f>
        <v>1882674.32156238</v>
      </c>
      <c r="H122" s="428">
        <f t="shared" si="33"/>
        <v>118</v>
      </c>
      <c r="I122" s="429">
        <f>+'No Deducible 93'!Y141</f>
        <v>1435330.0283771958</v>
      </c>
      <c r="J122" s="429">
        <f>+'Deducible 151'!Y141</f>
        <v>1420384.562578796</v>
      </c>
      <c r="K122" s="429">
        <f>+'Deducible 185'!Y141</f>
        <v>1435330.0283771958</v>
      </c>
      <c r="O122" s="453"/>
      <c r="P122" s="453"/>
      <c r="Q122" s="453"/>
      <c r="Z122" s="454"/>
      <c r="AA122" s="402"/>
    </row>
    <row r="123" spans="1:27" x14ac:dyDescent="0.25">
      <c r="A123" s="426">
        <f t="shared" si="31"/>
        <v>9.916666666666666</v>
      </c>
      <c r="B123" s="427">
        <f>'OptiMaxx plus'!$T$7+A123</f>
        <v>38.916666666666664</v>
      </c>
      <c r="C123" s="428">
        <f t="shared" si="32"/>
        <v>119</v>
      </c>
      <c r="D123" s="429">
        <f>+'No Deducible 93'!AD142</f>
        <v>1905619.3071006474</v>
      </c>
      <c r="E123" s="429">
        <f>+'Deducible 151'!AD142</f>
        <v>1871317.9924744384</v>
      </c>
      <c r="F123" s="429">
        <f>+'Deducible 185'!AD142</f>
        <v>1905619.3071006474</v>
      </c>
      <c r="H123" s="428">
        <f t="shared" si="33"/>
        <v>119</v>
      </c>
      <c r="I123" s="429">
        <f>+'No Deducible 93'!Y142</f>
        <v>1455289.9813364907</v>
      </c>
      <c r="J123" s="429">
        <f>+'Deducible 151'!Y142</f>
        <v>1439992.50935535</v>
      </c>
      <c r="K123" s="429">
        <f>+'Deducible 185'!Y142</f>
        <v>1455289.9813364907</v>
      </c>
      <c r="O123" s="453"/>
      <c r="P123" s="453"/>
      <c r="Q123" s="453"/>
      <c r="Z123" s="454"/>
      <c r="AA123" s="402"/>
    </row>
    <row r="124" spans="1:27" x14ac:dyDescent="0.25">
      <c r="A124" s="426">
        <f t="shared" si="31"/>
        <v>10</v>
      </c>
      <c r="B124" s="427">
        <f>'OptiMaxx plus'!$T$7+A124</f>
        <v>39</v>
      </c>
      <c r="C124" s="428">
        <f t="shared" si="32"/>
        <v>120</v>
      </c>
      <c r="D124" s="429">
        <f>+'No Deducible 93'!AD143</f>
        <v>1924641.7458069704</v>
      </c>
      <c r="E124" s="429">
        <f>+'Deducible 151'!AD143</f>
        <v>1889605.8566339463</v>
      </c>
      <c r="F124" s="429">
        <f>+'Deducible 185'!AD143</f>
        <v>1924641.7458069704</v>
      </c>
      <c r="H124" s="428">
        <f t="shared" si="33"/>
        <v>120</v>
      </c>
      <c r="I124" s="429">
        <f>+'No Deducible 93'!Y143</f>
        <v>1475388.9786472104</v>
      </c>
      <c r="J124" s="429">
        <f>+'Deducible 151'!Y143</f>
        <v>1459733.8860611976</v>
      </c>
      <c r="K124" s="429">
        <f>+'Deducible 185'!Y143</f>
        <v>1475388.9786472104</v>
      </c>
      <c r="O124" s="453"/>
      <c r="P124" s="453"/>
      <c r="Q124" s="453"/>
      <c r="Z124" s="454"/>
      <c r="AA124" s="402"/>
    </row>
    <row r="125" spans="1:27" x14ac:dyDescent="0.25">
      <c r="A125" s="426">
        <f t="shared" si="31"/>
        <v>10.083333333333334</v>
      </c>
      <c r="B125" s="427">
        <f>'OptiMaxx plus'!$T$7+A125</f>
        <v>39.083333333333336</v>
      </c>
      <c r="C125" s="428">
        <f t="shared" si="32"/>
        <v>121</v>
      </c>
      <c r="D125" s="429">
        <f>+'No Deducible 93'!AD144</f>
        <v>1947874.3097372819</v>
      </c>
      <c r="E125" s="429">
        <f>+'Deducible 151'!AD144</f>
        <v>1912297.8207558228</v>
      </c>
      <c r="F125" s="429">
        <f>+'Deducible 185'!AD144</f>
        <v>1947874.3097372819</v>
      </c>
      <c r="H125" s="428">
        <f t="shared" si="33"/>
        <v>121</v>
      </c>
      <c r="I125" s="429">
        <f>+'No Deducible 93'!Y144</f>
        <v>1495623.650661024</v>
      </c>
      <c r="J125" s="429">
        <f>+'Deducible 151'!Y144</f>
        <v>1479604.5741348332</v>
      </c>
      <c r="K125" s="429">
        <f>+'Deducible 185'!Y144</f>
        <v>1495623.650661024</v>
      </c>
      <c r="O125" s="453"/>
      <c r="P125" s="453"/>
      <c r="Q125" s="453"/>
      <c r="Z125" s="454"/>
      <c r="AA125" s="402"/>
    </row>
    <row r="126" spans="1:27" x14ac:dyDescent="0.25">
      <c r="A126" s="426">
        <f t="shared" si="31"/>
        <v>10.166666666666666</v>
      </c>
      <c r="B126" s="427">
        <f>'OptiMaxx plus'!$T$7+A126</f>
        <v>39.166666666666664</v>
      </c>
      <c r="C126" s="428">
        <f t="shared" si="32"/>
        <v>122</v>
      </c>
      <c r="D126" s="429">
        <f>+'No Deducible 93'!AD145</f>
        <v>1971267.8991550617</v>
      </c>
      <c r="E126" s="429">
        <f>+'Deducible 151'!AD145</f>
        <v>1935143.5566702674</v>
      </c>
      <c r="F126" s="429">
        <f>+'Deducible 185'!AD145</f>
        <v>1971267.8991550617</v>
      </c>
      <c r="H126" s="428">
        <f t="shared" si="33"/>
        <v>122</v>
      </c>
      <c r="I126" s="429">
        <f>+'No Deducible 93'!Y145</f>
        <v>1515999.2807648785</v>
      </c>
      <c r="J126" s="429">
        <f>+'Deducible 151'!Y145</f>
        <v>1499610.4800634992</v>
      </c>
      <c r="K126" s="429">
        <f>+'Deducible 185'!Y145</f>
        <v>1515999.2807648785</v>
      </c>
      <c r="O126" s="453"/>
      <c r="P126" s="453"/>
      <c r="Q126" s="453"/>
      <c r="Z126" s="454"/>
      <c r="AA126" s="402"/>
    </row>
    <row r="127" spans="1:27" x14ac:dyDescent="0.25">
      <c r="A127" s="426">
        <f t="shared" si="31"/>
        <v>10.25</v>
      </c>
      <c r="B127" s="427">
        <f>'OptiMaxx plus'!$T$7+A127</f>
        <v>39.25</v>
      </c>
      <c r="C127" s="428">
        <f t="shared" si="32"/>
        <v>123</v>
      </c>
      <c r="D127" s="429">
        <f>+'No Deducible 93'!AD146</f>
        <v>1990697.2921548896</v>
      </c>
      <c r="E127" s="429">
        <f>+'Deducible 151'!AD146</f>
        <v>1953817.8775529172</v>
      </c>
      <c r="F127" s="429">
        <f>+'Deducible 185'!AD146</f>
        <v>1990697.2921548896</v>
      </c>
      <c r="H127" s="428">
        <f t="shared" si="33"/>
        <v>123</v>
      </c>
      <c r="I127" s="429">
        <f>+'No Deducible 93'!Y146</f>
        <v>1536516.8508962689</v>
      </c>
      <c r="J127" s="429">
        <f>+'Deducible 151'!Y146</f>
        <v>1519752.5239898828</v>
      </c>
      <c r="K127" s="429">
        <f>+'Deducible 185'!Y146</f>
        <v>1536516.8508962689</v>
      </c>
      <c r="O127" s="453"/>
      <c r="P127" s="453"/>
      <c r="Q127" s="453"/>
      <c r="Z127" s="454"/>
      <c r="AA127" s="402"/>
    </row>
    <row r="128" spans="1:27" x14ac:dyDescent="0.25">
      <c r="A128" s="426">
        <f t="shared" si="31"/>
        <v>10.333333333333334</v>
      </c>
      <c r="B128" s="427">
        <f>'OptiMaxx plus'!$T$7+A128</f>
        <v>39.333333333333336</v>
      </c>
      <c r="C128" s="428">
        <f t="shared" si="32"/>
        <v>124</v>
      </c>
      <c r="D128" s="429">
        <f>+'No Deducible 93'!AD147</f>
        <v>2014388.7540265576</v>
      </c>
      <c r="E128" s="429">
        <f>+'Deducible 151'!AD147</f>
        <v>1976945.8058824553</v>
      </c>
      <c r="F128" s="429">
        <f>+'Deducible 185'!AD147</f>
        <v>2014388.7540265576</v>
      </c>
      <c r="H128" s="428">
        <f t="shared" si="33"/>
        <v>124</v>
      </c>
      <c r="I128" s="429">
        <f>+'No Deducible 93'!Y147</f>
        <v>1557177.3498330298</v>
      </c>
      <c r="J128" s="429">
        <f>+'Deducible 151'!Y147</f>
        <v>1540031.6323181412</v>
      </c>
      <c r="K128" s="429">
        <f>+'Deducible 185'!Y147</f>
        <v>1557177.3498330298</v>
      </c>
      <c r="O128" s="453"/>
      <c r="P128" s="453"/>
      <c r="Q128" s="453"/>
      <c r="Z128" s="454"/>
      <c r="AA128" s="402"/>
    </row>
    <row r="129" spans="1:27" x14ac:dyDescent="0.25">
      <c r="A129" s="426">
        <f t="shared" si="31"/>
        <v>10.416666666666666</v>
      </c>
      <c r="B129" s="427">
        <f>'OptiMaxx plus'!$T$7+A129</f>
        <v>39.416666666666664</v>
      </c>
      <c r="C129" s="428">
        <f t="shared" si="32"/>
        <v>125</v>
      </c>
      <c r="D129" s="429">
        <f>+'No Deducible 93'!AD148</f>
        <v>2038244.4303578497</v>
      </c>
      <c r="E129" s="429">
        <f>+'Deducible 151'!AD148</f>
        <v>2000230.4665454451</v>
      </c>
      <c r="F129" s="429">
        <f>+'Deducible 185'!AD148</f>
        <v>2038244.4303578497</v>
      </c>
      <c r="H129" s="428">
        <f t="shared" si="33"/>
        <v>125</v>
      </c>
      <c r="I129" s="429">
        <f>+'No Deducible 93'!Y148</f>
        <v>1577981.7732409872</v>
      </c>
      <c r="J129" s="429">
        <f>+'Deducible 151'!Y148</f>
        <v>1560448.7377565105</v>
      </c>
      <c r="K129" s="429">
        <f>+'Deducible 185'!Y148</f>
        <v>1577981.7732409872</v>
      </c>
      <c r="O129" s="453"/>
      <c r="P129" s="453"/>
      <c r="Q129" s="453"/>
      <c r="Z129" s="454"/>
      <c r="AA129" s="402"/>
    </row>
    <row r="130" spans="1:27" x14ac:dyDescent="0.25">
      <c r="A130" s="426">
        <f t="shared" si="31"/>
        <v>10.5</v>
      </c>
      <c r="B130" s="427">
        <f>'OptiMaxx plus'!$T$7+A130</f>
        <v>39.5</v>
      </c>
      <c r="C130" s="428">
        <f t="shared" si="32"/>
        <v>126</v>
      </c>
      <c r="D130" s="429">
        <f>+'No Deducible 93'!AD149</f>
        <v>2058093.8583549277</v>
      </c>
      <c r="E130" s="429">
        <f>+'Deducible 151'!AD149</f>
        <v>2019304.4356343157</v>
      </c>
      <c r="F130" s="429">
        <f>+'Deducible 185'!AD149</f>
        <v>2058093.8583549277</v>
      </c>
      <c r="H130" s="428">
        <f t="shared" si="33"/>
        <v>126</v>
      </c>
      <c r="I130" s="429">
        <f>+'No Deducible 93'!Y149</f>
        <v>1598931.1237219402</v>
      </c>
      <c r="J130" s="429">
        <f>+'Deducible 151'!Y149</f>
        <v>1581004.7793602042</v>
      </c>
      <c r="K130" s="429">
        <f>+'Deducible 185'!Y149</f>
        <v>1598931.1237219402</v>
      </c>
      <c r="O130" s="453"/>
      <c r="P130" s="453"/>
      <c r="Q130" s="453"/>
      <c r="Z130" s="454"/>
      <c r="AA130" s="402"/>
    </row>
    <row r="131" spans="1:27" x14ac:dyDescent="0.25">
      <c r="A131" s="426">
        <f t="shared" si="31"/>
        <v>10.583333333333334</v>
      </c>
      <c r="B131" s="427">
        <f>'OptiMaxx plus'!$T$7+A131</f>
        <v>39.583333333333336</v>
      </c>
      <c r="C131" s="428">
        <f t="shared" si="32"/>
        <v>127</v>
      </c>
      <c r="D131" s="429">
        <f>+'No Deducible 93'!AD150</f>
        <v>2082253.5479553496</v>
      </c>
      <c r="E131" s="429">
        <f>+'Deducible 151'!AD150</f>
        <v>2042876.9917994756</v>
      </c>
      <c r="F131" s="429">
        <f>+'Deducible 185'!AD150</f>
        <v>2082253.5479553496</v>
      </c>
      <c r="H131" s="428">
        <f t="shared" si="33"/>
        <v>127</v>
      </c>
      <c r="I131" s="429">
        <f>+'No Deducible 93'!Y150</f>
        <v>1620026.410861979</v>
      </c>
      <c r="J131" s="429">
        <f>+'Deducible 151'!Y150</f>
        <v>1601700.7025746035</v>
      </c>
      <c r="K131" s="429">
        <f>+'Deducible 185'!Y150</f>
        <v>1620026.410861979</v>
      </c>
      <c r="O131" s="453"/>
      <c r="P131" s="453"/>
      <c r="Q131" s="453"/>
      <c r="Z131" s="454"/>
      <c r="AA131" s="402"/>
    </row>
    <row r="132" spans="1:27" x14ac:dyDescent="0.25">
      <c r="A132" s="426">
        <f t="shared" si="31"/>
        <v>10.666666666666666</v>
      </c>
      <c r="B132" s="427">
        <f>'OptiMaxx plus'!$T$7+A132</f>
        <v>39.666666666666664</v>
      </c>
      <c r="C132" s="428">
        <f t="shared" si="32"/>
        <v>128</v>
      </c>
      <c r="D132" s="429">
        <f>+'No Deducible 93'!AD151</f>
        <v>2106580.705906124</v>
      </c>
      <c r="E132" s="429">
        <f>+'Deducible 151'!AD151</f>
        <v>2066609.2997353706</v>
      </c>
      <c r="F132" s="429">
        <f>+'Deducible 185'!AD151</f>
        <v>2106580.705906124</v>
      </c>
      <c r="H132" s="428">
        <f t="shared" si="33"/>
        <v>128</v>
      </c>
      <c r="I132" s="429">
        <f>+'No Deducible 93'!Y151</f>
        <v>1641268.6512801386</v>
      </c>
      <c r="J132" s="429">
        <f>+'Deducible 151'!Y151</f>
        <v>1622537.4592787419</v>
      </c>
      <c r="K132" s="429">
        <f>+'Deducible 185'!Y151</f>
        <v>1641268.6512801386</v>
      </c>
      <c r="O132" s="453"/>
      <c r="P132" s="453"/>
      <c r="Q132" s="453"/>
      <c r="Z132" s="454"/>
      <c r="AA132" s="402"/>
    </row>
    <row r="133" spans="1:27" x14ac:dyDescent="0.25">
      <c r="A133" s="426">
        <f t="shared" si="31"/>
        <v>10.75</v>
      </c>
      <c r="B133" s="427">
        <f>'OptiMaxx plus'!$T$7+A133</f>
        <v>39.75</v>
      </c>
      <c r="C133" s="428">
        <f t="shared" si="32"/>
        <v>129</v>
      </c>
      <c r="D133" s="429">
        <f>+'No Deducible 93'!AD152</f>
        <v>2126859.127242617</v>
      </c>
      <c r="E133" s="429">
        <f>+'Deducible 151'!AD152</f>
        <v>2086091.2859665807</v>
      </c>
      <c r="F133" s="429">
        <f>+'Deducible 185'!AD152</f>
        <v>2126859.127242617</v>
      </c>
      <c r="H133" s="428">
        <f t="shared" si="33"/>
        <v>129</v>
      </c>
      <c r="I133" s="429">
        <f>+'No Deducible 93'!Y152</f>
        <v>1662658.868677391</v>
      </c>
      <c r="J133" s="429">
        <f>+'Deducible 151'!Y152</f>
        <v>1643516.007829085</v>
      </c>
      <c r="K133" s="429">
        <f>+'Deducible 185'!Y152</f>
        <v>1662658.868677391</v>
      </c>
      <c r="O133" s="453"/>
      <c r="P133" s="453"/>
      <c r="Q133" s="453"/>
      <c r="Z133" s="454"/>
      <c r="AA133" s="402"/>
    </row>
    <row r="134" spans="1:27" x14ac:dyDescent="0.25">
      <c r="A134" s="426">
        <f t="shared" ref="A134:A197" si="37">+C134/12</f>
        <v>10.833333333333334</v>
      </c>
      <c r="B134" s="427">
        <f>'OptiMaxx plus'!$T$7+A134</f>
        <v>39.833333333333336</v>
      </c>
      <c r="C134" s="428">
        <f t="shared" si="32"/>
        <v>130</v>
      </c>
      <c r="D134" s="429">
        <f>+'No Deducible 93'!AD153</f>
        <v>2151496.567088157</v>
      </c>
      <c r="E134" s="429">
        <f>+'Deducible 151'!AD153</f>
        <v>2110117.3087656656</v>
      </c>
      <c r="F134" s="429">
        <f>+'Deducible 185'!AD153</f>
        <v>2151496.567088157</v>
      </c>
      <c r="H134" s="428">
        <f t="shared" si="33"/>
        <v>130</v>
      </c>
      <c r="I134" s="429">
        <f>+'No Deducible 93'!Y153</f>
        <v>1684198.0938859791</v>
      </c>
      <c r="J134" s="429">
        <f>+'Deducible 151'!Y153</f>
        <v>1664637.31310361</v>
      </c>
      <c r="K134" s="429">
        <f>+'Deducible 185'!Y153</f>
        <v>1684198.0938859791</v>
      </c>
      <c r="O134" s="453"/>
      <c r="P134" s="453"/>
      <c r="Q134" s="453"/>
      <c r="Z134" s="454"/>
      <c r="AA134" s="402"/>
    </row>
    <row r="135" spans="1:27" x14ac:dyDescent="0.25">
      <c r="A135" s="426">
        <f t="shared" si="37"/>
        <v>10.916666666666666</v>
      </c>
      <c r="B135" s="427">
        <f>'OptiMaxx plus'!$T$7+A135</f>
        <v>39.916666666666664</v>
      </c>
      <c r="C135" s="428">
        <f t="shared" ref="C135:C198" si="38">+C134+1</f>
        <v>131</v>
      </c>
      <c r="D135" s="429">
        <f>+'No Deducible 93'!AD154</f>
        <v>2176304.7954352256</v>
      </c>
      <c r="E135" s="429">
        <f>+'Deducible 151'!AD154</f>
        <v>2134306.1628606245</v>
      </c>
      <c r="F135" s="429">
        <f>+'Deducible 185'!AD154</f>
        <v>2176304.7954352256</v>
      </c>
      <c r="H135" s="428">
        <f t="shared" ref="H135:H198" si="39">+H134+1</f>
        <v>131</v>
      </c>
      <c r="I135" s="429">
        <f>+'No Deducible 93'!Y154</f>
        <v>1705887.3649190953</v>
      </c>
      <c r="J135" s="429">
        <f>+'Deducible 151'!Y154</f>
        <v>1685902.3465461824</v>
      </c>
      <c r="K135" s="429">
        <f>+'Deducible 185'!Y154</f>
        <v>1705887.3649190953</v>
      </c>
      <c r="O135" s="453"/>
      <c r="P135" s="453"/>
      <c r="Q135" s="453"/>
      <c r="Z135" s="454"/>
      <c r="AA135" s="402"/>
    </row>
    <row r="136" spans="1:27" x14ac:dyDescent="0.25">
      <c r="A136" s="426">
        <f t="shared" si="37"/>
        <v>11</v>
      </c>
      <c r="B136" s="427">
        <f>'OptiMaxx plus'!$T$7+A136</f>
        <v>40</v>
      </c>
      <c r="C136" s="428">
        <f t="shared" si="38"/>
        <v>132</v>
      </c>
      <c r="D136" s="429">
        <f>+'No Deducible 93'!AD155</f>
        <v>2197021.358259795</v>
      </c>
      <c r="E136" s="429">
        <f>+'Deducible 151'!AD155</f>
        <v>2154204.708696188</v>
      </c>
      <c r="F136" s="429">
        <f>+'Deducible 185'!AD155</f>
        <v>2197021.358259795</v>
      </c>
      <c r="H136" s="428">
        <f t="shared" si="39"/>
        <v>132</v>
      </c>
      <c r="I136" s="429">
        <f>+'No Deducible 93'!Y155</f>
        <v>1727727.7270209037</v>
      </c>
      <c r="J136" s="429">
        <f>+'Deducible 151'!Y155</f>
        <v>1707312.086211237</v>
      </c>
      <c r="K136" s="429">
        <f>+'Deducible 185'!Y155</f>
        <v>1727727.7270209037</v>
      </c>
      <c r="O136" s="453"/>
      <c r="P136" s="453"/>
      <c r="Q136" s="453"/>
      <c r="Z136" s="454"/>
      <c r="AA136" s="402"/>
    </row>
    <row r="137" spans="1:27" x14ac:dyDescent="0.25">
      <c r="A137" s="426">
        <f t="shared" si="37"/>
        <v>11.083333333333334</v>
      </c>
      <c r="B137" s="427">
        <f>'OptiMaxx plus'!$T$7+A137</f>
        <v>40.083333333333336</v>
      </c>
      <c r="C137" s="428">
        <f t="shared" si="38"/>
        <v>133</v>
      </c>
      <c r="D137" s="429">
        <f>+'No Deducible 93'!AD156</f>
        <v>2222141.7558268504</v>
      </c>
      <c r="E137" s="429">
        <f>+'Deducible 151'!AD156</f>
        <v>2178687.988070891</v>
      </c>
      <c r="F137" s="429">
        <f>+'Deducible 185'!AD156</f>
        <v>2222141.7558268504</v>
      </c>
      <c r="H137" s="428">
        <f t="shared" si="39"/>
        <v>133</v>
      </c>
      <c r="I137" s="429">
        <f>+'No Deducible 93'!Y156</f>
        <v>1749715.7209323335</v>
      </c>
      <c r="J137" s="429">
        <f>+'Deducible 151'!Y156</f>
        <v>1728862.2892097053</v>
      </c>
      <c r="K137" s="429">
        <f>+'Deducible 185'!Y156</f>
        <v>1749715.7209323335</v>
      </c>
      <c r="O137" s="453"/>
      <c r="P137" s="453"/>
      <c r="Q137" s="453"/>
      <c r="Z137" s="454"/>
      <c r="AA137" s="402"/>
    </row>
    <row r="138" spans="1:27" x14ac:dyDescent="0.25">
      <c r="A138" s="426">
        <f t="shared" si="37"/>
        <v>11.166666666666666</v>
      </c>
      <c r="B138" s="427">
        <f>'OptiMaxx plus'!$T$7+A138</f>
        <v>40.166666666666664</v>
      </c>
      <c r="C138" s="428">
        <f t="shared" si="38"/>
        <v>134</v>
      </c>
      <c r="D138" s="429">
        <f>+'No Deducible 93'!AD157</f>
        <v>2247436.298247056</v>
      </c>
      <c r="E138" s="429">
        <f>+'Deducible 151'!AD157</f>
        <v>2203337.203996981</v>
      </c>
      <c r="F138" s="429">
        <f>+'Deducible 185'!AD157</f>
        <v>2247436.298247056</v>
      </c>
      <c r="H138" s="428">
        <f t="shared" si="39"/>
        <v>134</v>
      </c>
      <c r="I138" s="429">
        <f>+'No Deducible 93'!Y157</f>
        <v>1771856.8868657004</v>
      </c>
      <c r="J138" s="429">
        <f>+'Deducible 151'!Y157</f>
        <v>1750559.1389782366</v>
      </c>
      <c r="K138" s="429">
        <f>+'Deducible 185'!Y157</f>
        <v>1771856.8868657004</v>
      </c>
      <c r="O138" s="453"/>
      <c r="P138" s="453"/>
      <c r="Q138" s="453"/>
      <c r="Z138" s="454"/>
      <c r="AA138" s="402"/>
    </row>
    <row r="139" spans="1:27" x14ac:dyDescent="0.25">
      <c r="A139" s="426">
        <f t="shared" si="37"/>
        <v>11.25</v>
      </c>
      <c r="B139" s="427">
        <f>'OptiMaxx plus'!$T$7+A139</f>
        <v>40.25</v>
      </c>
      <c r="C139" s="428">
        <f t="shared" si="38"/>
        <v>135</v>
      </c>
      <c r="D139" s="429">
        <f>+'No Deducible 93'!AD158</f>
        <v>2268595.7696600254</v>
      </c>
      <c r="E139" s="429">
        <f>+'Deducible 151'!AD158</f>
        <v>2223655.7300186167</v>
      </c>
      <c r="F139" s="429">
        <f>+'Deducible 185'!AD158</f>
        <v>2268595.7696600254</v>
      </c>
      <c r="H139" s="428">
        <f t="shared" si="39"/>
        <v>135</v>
      </c>
      <c r="I139" s="429">
        <f>+'No Deducible 93'!Y158</f>
        <v>1794152.2918427798</v>
      </c>
      <c r="J139" s="429">
        <f>+'Deducible 151'!Y158</f>
        <v>1772403.633432032</v>
      </c>
      <c r="K139" s="429">
        <f>+'Deducible 185'!Y158</f>
        <v>1794152.2918427798</v>
      </c>
      <c r="O139" s="453"/>
      <c r="P139" s="453"/>
      <c r="Q139" s="453"/>
      <c r="Z139" s="454"/>
      <c r="AA139" s="402"/>
    </row>
    <row r="140" spans="1:27" x14ac:dyDescent="0.25">
      <c r="A140" s="426">
        <f t="shared" si="37"/>
        <v>11.333333333333334</v>
      </c>
      <c r="B140" s="427">
        <f>'OptiMaxx plus'!$T$7+A140</f>
        <v>40.333333333333336</v>
      </c>
      <c r="C140" s="428">
        <f t="shared" si="38"/>
        <v>136</v>
      </c>
      <c r="D140" s="429">
        <f>+'No Deducible 93'!AD159</f>
        <v>2294213.461890582</v>
      </c>
      <c r="E140" s="429">
        <f>+'Deducible 151'!AD159</f>
        <v>2248610.586048855</v>
      </c>
      <c r="F140" s="429">
        <f>+'Deducible 185'!AD159</f>
        <v>2294213.461890582</v>
      </c>
      <c r="H140" s="428">
        <f t="shared" si="39"/>
        <v>136</v>
      </c>
      <c r="I140" s="429">
        <f>+'No Deducible 93'!Y159</f>
        <v>1816603.0103183985</v>
      </c>
      <c r="J140" s="429">
        <f>+'Deducible 151'!Y159</f>
        <v>1794396.7772769972</v>
      </c>
      <c r="K140" s="429">
        <f>+'Deducible 185'!Y159</f>
        <v>1816603.0103183985</v>
      </c>
      <c r="O140" s="453"/>
      <c r="P140" s="453"/>
      <c r="Q140" s="453"/>
      <c r="Z140" s="454"/>
      <c r="AA140" s="402"/>
    </row>
    <row r="141" spans="1:27" x14ac:dyDescent="0.25">
      <c r="A141" s="426">
        <f t="shared" si="37"/>
        <v>11.416666666666666</v>
      </c>
      <c r="B141" s="427">
        <f>'OptiMaxx plus'!$T$7+A141</f>
        <v>40.416666666666664</v>
      </c>
      <c r="C141" s="428">
        <f t="shared" si="38"/>
        <v>137</v>
      </c>
      <c r="D141" s="429">
        <f>+'No Deducible 93'!AD160</f>
        <v>2320008.75512301</v>
      </c>
      <c r="E141" s="429">
        <f>+'Deducible 151'!AD160</f>
        <v>2273734.581272235</v>
      </c>
      <c r="F141" s="429">
        <f>+'Deducible 185'!AD160</f>
        <v>2320008.75512301</v>
      </c>
      <c r="H141" s="428">
        <f t="shared" si="39"/>
        <v>137</v>
      </c>
      <c r="I141" s="429">
        <f>+'No Deducible 93'!Y160</f>
        <v>1839210.1242322142</v>
      </c>
      <c r="J141" s="429">
        <f>+'Deducible 151'!Y160</f>
        <v>1816539.5820559508</v>
      </c>
      <c r="K141" s="429">
        <f>+'Deducible 185'!Y160</f>
        <v>1839210.1242322142</v>
      </c>
      <c r="O141" s="453"/>
      <c r="P141" s="453"/>
      <c r="Q141" s="453"/>
      <c r="Z141" s="454"/>
      <c r="AA141" s="402"/>
    </row>
    <row r="142" spans="1:27" x14ac:dyDescent="0.25">
      <c r="A142" s="426">
        <f t="shared" si="37"/>
        <v>11.5</v>
      </c>
      <c r="B142" s="427">
        <f>'OptiMaxx plus'!$T$7+A142</f>
        <v>40.5</v>
      </c>
      <c r="C142" s="428">
        <f t="shared" si="38"/>
        <v>138</v>
      </c>
      <c r="D142" s="429">
        <f>+'No Deducible 93'!AD161</f>
        <v>2341625.153583532</v>
      </c>
      <c r="E142" s="429">
        <f>+'Deducible 151'!AD161</f>
        <v>2294487.177884468</v>
      </c>
      <c r="F142" s="429">
        <f>+'Deducible 185'!AD161</f>
        <v>2341625.153583532</v>
      </c>
      <c r="H142" s="428">
        <f t="shared" si="39"/>
        <v>138</v>
      </c>
      <c r="I142" s="429">
        <f>+'No Deducible 93'!Y161</f>
        <v>1861974.7230608559</v>
      </c>
      <c r="J142" s="429">
        <f>+'Deducible 151'!Y161</f>
        <v>1838833.0661951494</v>
      </c>
      <c r="K142" s="429">
        <f>+'Deducible 185'!Y161</f>
        <v>1861974.7230608559</v>
      </c>
      <c r="O142" s="453"/>
      <c r="P142" s="453"/>
      <c r="Q142" s="453"/>
      <c r="Z142" s="454"/>
      <c r="AA142" s="402"/>
    </row>
    <row r="143" spans="1:27" x14ac:dyDescent="0.25">
      <c r="A143" s="426">
        <f t="shared" si="37"/>
        <v>11.583333333333334</v>
      </c>
      <c r="B143" s="427">
        <f>'OptiMaxx plus'!$T$7+A143</f>
        <v>40.583333333333336</v>
      </c>
      <c r="C143" s="428">
        <f t="shared" si="38"/>
        <v>139</v>
      </c>
      <c r="D143" s="429">
        <f>+'No Deducible 93'!AD162</f>
        <v>2367750.2636145903</v>
      </c>
      <c r="E143" s="429">
        <f>+'Deducible 151'!AD162</f>
        <v>2319922.9943977958</v>
      </c>
      <c r="F143" s="429">
        <f>+'Deducible 185'!AD162</f>
        <v>2367750.2636145903</v>
      </c>
      <c r="H143" s="428">
        <f t="shared" si="39"/>
        <v>139</v>
      </c>
      <c r="I143" s="429">
        <f>+'No Deducible 93'!Y162</f>
        <v>1884897.9038704282</v>
      </c>
      <c r="J143" s="429">
        <f>+'Deducible 151'!Y162</f>
        <v>1861278.2550511293</v>
      </c>
      <c r="K143" s="429">
        <f>+'Deducible 185'!Y162</f>
        <v>1884897.9038704282</v>
      </c>
      <c r="O143" s="453"/>
      <c r="P143" s="453"/>
      <c r="Q143" s="453"/>
      <c r="Z143" s="454"/>
      <c r="AA143" s="402"/>
    </row>
    <row r="144" spans="1:27" x14ac:dyDescent="0.25">
      <c r="A144" s="426">
        <f t="shared" si="37"/>
        <v>11.666666666666666</v>
      </c>
      <c r="B144" s="427">
        <f>'OptiMaxx plus'!$T$7+A144</f>
        <v>40.666666666666664</v>
      </c>
      <c r="C144" s="428">
        <f t="shared" si="38"/>
        <v>140</v>
      </c>
      <c r="D144" s="429">
        <f>+'No Deducible 93'!AD163</f>
        <v>2394056.5012385463</v>
      </c>
      <c r="E144" s="429">
        <f>+'Deducible 151'!AD163</f>
        <v>2345531.2165410304</v>
      </c>
      <c r="F144" s="429">
        <f>+'Deducible 185'!AD163</f>
        <v>2394056.5012385463</v>
      </c>
      <c r="H144" s="428">
        <f t="shared" si="39"/>
        <v>140</v>
      </c>
      <c r="I144" s="429">
        <f>+'No Deducible 93'!Y163</f>
        <v>1907980.7713693809</v>
      </c>
      <c r="J144" s="429">
        <f>+'Deducible 151'!Y163</f>
        <v>1883876.1809578652</v>
      </c>
      <c r="K144" s="429">
        <f>+'Deducible 185'!Y163</f>
        <v>1907980.7713693809</v>
      </c>
      <c r="O144" s="453"/>
      <c r="P144" s="453"/>
      <c r="Q144" s="453"/>
      <c r="Z144" s="454"/>
      <c r="AA144" s="402"/>
    </row>
    <row r="145" spans="1:27" x14ac:dyDescent="0.25">
      <c r="A145" s="426">
        <f t="shared" si="37"/>
        <v>11.75</v>
      </c>
      <c r="B145" s="427">
        <f>'OptiMaxx plus'!$T$7+A145</f>
        <v>40.75</v>
      </c>
      <c r="C145" s="428">
        <f t="shared" si="38"/>
        <v>141</v>
      </c>
      <c r="D145" s="429">
        <f>+'No Deducible 93'!AD164</f>
        <v>2416139.566678769</v>
      </c>
      <c r="E145" s="429">
        <f>+'Deducible 151'!AD164</f>
        <v>2366726.9663299806</v>
      </c>
      <c r="F145" s="429">
        <f>+'Deducible 185'!AD164</f>
        <v>2416139.566678769</v>
      </c>
      <c r="H145" s="428">
        <f t="shared" si="39"/>
        <v>141</v>
      </c>
      <c r="I145" s="429">
        <f>+'No Deducible 93'!Y164</f>
        <v>1931224.437961746</v>
      </c>
      <c r="J145" s="429">
        <f>+'Deducible 151'!Y164</f>
        <v>1906627.8832742514</v>
      </c>
      <c r="K145" s="429">
        <f>+'Deducible 185'!Y164</f>
        <v>1931224.437961746</v>
      </c>
      <c r="O145" s="453"/>
      <c r="P145" s="453"/>
      <c r="Q145" s="453"/>
      <c r="Z145" s="454"/>
      <c r="AA145" s="402"/>
    </row>
    <row r="146" spans="1:27" x14ac:dyDescent="0.25">
      <c r="A146" s="426">
        <f t="shared" si="37"/>
        <v>11.833333333333334</v>
      </c>
      <c r="B146" s="427">
        <f>'OptiMaxx plus'!$T$7+A146</f>
        <v>40.833333333333336</v>
      </c>
      <c r="C146" s="428">
        <f t="shared" si="38"/>
        <v>142</v>
      </c>
      <c r="D146" s="429">
        <f>+'No Deducible 93'!AD165</f>
        <v>2442782.426908251</v>
      </c>
      <c r="E146" s="429">
        <f>+'Deducible 151'!AD165</f>
        <v>2392653.31701221</v>
      </c>
      <c r="F146" s="429">
        <f>+'Deducible 185'!AD165</f>
        <v>2442782.426908251</v>
      </c>
      <c r="H146" s="428">
        <f t="shared" si="39"/>
        <v>142</v>
      </c>
      <c r="I146" s="429">
        <f>+'No Deducible 93'!Y165</f>
        <v>1954630.0238007475</v>
      </c>
      <c r="J146" s="429">
        <f>+'Deducible 151'!Y165</f>
        <v>1929534.4084319056</v>
      </c>
      <c r="K146" s="429">
        <f>+'Deducible 185'!Y165</f>
        <v>1954630.0238007475</v>
      </c>
      <c r="O146" s="453"/>
      <c r="P146" s="453"/>
      <c r="Q146" s="453"/>
      <c r="Z146" s="454"/>
      <c r="AA146" s="402"/>
    </row>
    <row r="147" spans="1:27" x14ac:dyDescent="0.25">
      <c r="A147" s="426">
        <f t="shared" si="37"/>
        <v>11.916666666666666</v>
      </c>
      <c r="B147" s="427">
        <f>'OptiMaxx plus'!$T$7+A147</f>
        <v>40.916666666666664</v>
      </c>
      <c r="C147" s="428">
        <f t="shared" si="38"/>
        <v>143</v>
      </c>
      <c r="D147" s="429">
        <f>+'No Deducible 93'!AD166</f>
        <v>2469610.013220971</v>
      </c>
      <c r="E147" s="429">
        <f>+'Deducible 151'!AD166</f>
        <v>2418755.4048475027</v>
      </c>
      <c r="F147" s="429">
        <f>+'Deducible 185'!AD166</f>
        <v>2469610.013220971</v>
      </c>
      <c r="H147" s="428">
        <f t="shared" si="39"/>
        <v>143</v>
      </c>
      <c r="I147" s="429">
        <f>+'No Deducible 93'!Y166</f>
        <v>1978198.6568427826</v>
      </c>
      <c r="J147" s="429">
        <f>+'Deducible 151'!Y166</f>
        <v>1952596.8099832982</v>
      </c>
      <c r="K147" s="429">
        <f>+'Deducible 185'!Y166</f>
        <v>1978198.6568427826</v>
      </c>
      <c r="O147" s="453"/>
      <c r="P147" s="453"/>
      <c r="Q147" s="453"/>
      <c r="Z147" s="454"/>
      <c r="AA147" s="402"/>
    </row>
    <row r="148" spans="1:27" x14ac:dyDescent="0.25">
      <c r="A148" s="426">
        <f t="shared" si="37"/>
        <v>12</v>
      </c>
      <c r="B148" s="427">
        <f>'OptiMaxx plus'!$T$7+A148</f>
        <v>41</v>
      </c>
      <c r="C148" s="428">
        <f t="shared" si="38"/>
        <v>144</v>
      </c>
      <c r="D148" s="429">
        <f>+'No Deducible 93'!AD167</f>
        <v>2492169.6918846024</v>
      </c>
      <c r="E148" s="429">
        <f>+'Deducible 151'!AD167</f>
        <v>2440403.578653485</v>
      </c>
      <c r="F148" s="429">
        <f>+'Deducible 185'!AD167</f>
        <v>2492169.6918846024</v>
      </c>
      <c r="H148" s="428">
        <f t="shared" si="39"/>
        <v>144</v>
      </c>
      <c r="I148" s="429">
        <f>+'No Deducible 93'!Y167</f>
        <v>2001931.4729017809</v>
      </c>
      <c r="J148" s="429">
        <f>+'Deducible 151'!Y167</f>
        <v>1975816.1486502085</v>
      </c>
      <c r="K148" s="429">
        <f>+'Deducible 185'!Y167</f>
        <v>2001931.4729017809</v>
      </c>
      <c r="O148" s="453"/>
      <c r="P148" s="453"/>
      <c r="Q148" s="453"/>
      <c r="Z148" s="454"/>
      <c r="AA148" s="402"/>
    </row>
    <row r="149" spans="1:27" x14ac:dyDescent="0.25">
      <c r="A149" s="426">
        <f t="shared" si="37"/>
        <v>12.083333333333334</v>
      </c>
      <c r="B149" s="427">
        <f>'OptiMaxx plus'!$T$7+A149</f>
        <v>41.083333333333336</v>
      </c>
      <c r="C149" s="428">
        <f t="shared" si="38"/>
        <v>145</v>
      </c>
      <c r="D149" s="429">
        <f>+'No Deducible 93'!AD168</f>
        <v>2519336.1560770986</v>
      </c>
      <c r="E149" s="429">
        <f>+'Deducible 151'!AD168</f>
        <v>2466824.7942185355</v>
      </c>
      <c r="F149" s="429">
        <f>+'Deducible 185'!AD168</f>
        <v>2519336.1560770986</v>
      </c>
      <c r="H149" s="428">
        <f t="shared" si="39"/>
        <v>145</v>
      </c>
      <c r="I149" s="429">
        <f>+'No Deducible 93'!Y168</f>
        <v>2025824.923447976</v>
      </c>
      <c r="J149" s="429">
        <f>+'Deducible 151'!Y168</f>
        <v>1999188.0556694935</v>
      </c>
      <c r="K149" s="429">
        <f>+'Deducible 185'!Y168</f>
        <v>2025824.923447976</v>
      </c>
      <c r="O149" s="453"/>
      <c r="P149" s="453"/>
      <c r="Q149" s="453"/>
      <c r="Z149" s="454"/>
      <c r="AA149" s="402"/>
    </row>
    <row r="150" spans="1:27" x14ac:dyDescent="0.25">
      <c r="A150" s="426">
        <f t="shared" si="37"/>
        <v>12.166666666666666</v>
      </c>
      <c r="B150" s="427">
        <f>'OptiMaxx plus'!$T$7+A150</f>
        <v>41.166666666666664</v>
      </c>
      <c r="C150" s="428">
        <f t="shared" si="38"/>
        <v>146</v>
      </c>
      <c r="D150" s="429">
        <f>+'No Deducible 93'!AD169</f>
        <v>2546690.985542841</v>
      </c>
      <c r="E150" s="429">
        <f>+'Deducible 151'!AD169</f>
        <v>2493425.107867765</v>
      </c>
      <c r="F150" s="429">
        <f>+'Deducible 185'!AD169</f>
        <v>2546690.985542841</v>
      </c>
      <c r="H150" s="428">
        <f t="shared" si="39"/>
        <v>146</v>
      </c>
      <c r="I150" s="429">
        <f>+'No Deducible 93'!Y169</f>
        <v>2049884.819743881</v>
      </c>
      <c r="J150" s="429">
        <f>+'Deducible 151'!Y169</f>
        <v>2022719.0059550917</v>
      </c>
      <c r="K150" s="429">
        <f>+'Deducible 185'!Y169</f>
        <v>2049884.819743881</v>
      </c>
      <c r="O150" s="453"/>
      <c r="P150" s="453"/>
      <c r="Q150" s="453"/>
      <c r="Z150" s="454"/>
      <c r="AA150" s="402"/>
    </row>
    <row r="151" spans="1:27" x14ac:dyDescent="0.25">
      <c r="A151" s="426">
        <f t="shared" si="37"/>
        <v>12.25</v>
      </c>
      <c r="B151" s="427">
        <f>'OptiMaxx plus'!$T$7+A151</f>
        <v>41.25</v>
      </c>
      <c r="C151" s="428">
        <f t="shared" si="38"/>
        <v>147</v>
      </c>
      <c r="D151" s="429">
        <f>+'No Deducible 93'!AD170</f>
        <v>2569732.6764837527</v>
      </c>
      <c r="E151" s="429">
        <f>+'Deducible 151'!AD170</f>
        <v>2515529.6577229095</v>
      </c>
      <c r="F151" s="429">
        <f>+'Deducible 185'!AD170</f>
        <v>2569732.6764837527</v>
      </c>
      <c r="H151" s="428">
        <f t="shared" si="39"/>
        <v>147</v>
      </c>
      <c r="I151" s="429">
        <f>+'No Deducible 93'!Y170</f>
        <v>2074112.321278267</v>
      </c>
      <c r="J151" s="429">
        <f>+'Deducible 151'!Y170</f>
        <v>2046410.081779003</v>
      </c>
      <c r="K151" s="429">
        <f>+'Deducible 185'!Y170</f>
        <v>2074112.321278267</v>
      </c>
      <c r="O151" s="453"/>
      <c r="P151" s="453"/>
      <c r="Q151" s="453"/>
      <c r="Z151" s="454"/>
      <c r="AA151" s="402"/>
    </row>
    <row r="152" spans="1:27" x14ac:dyDescent="0.25">
      <c r="A152" s="426">
        <f t="shared" si="37"/>
        <v>12.333333333333334</v>
      </c>
      <c r="B152" s="427">
        <f>'OptiMaxx plus'!$T$7+A152</f>
        <v>41.333333333333336</v>
      </c>
      <c r="C152" s="428">
        <f t="shared" si="38"/>
        <v>148</v>
      </c>
      <c r="D152" s="429">
        <f>+'No Deducible 93'!AD171</f>
        <v>2597438.1022456386</v>
      </c>
      <c r="E152" s="429">
        <f>+'Deducible 151'!AD171</f>
        <v>2542461.02822857</v>
      </c>
      <c r="F152" s="429">
        <f>+'Deducible 185'!AD171</f>
        <v>2597438.1022456386</v>
      </c>
      <c r="H152" s="428">
        <f t="shared" si="39"/>
        <v>148</v>
      </c>
      <c r="I152" s="429">
        <f>+'No Deducible 93'!Y171</f>
        <v>2098508.595617096</v>
      </c>
      <c r="J152" s="429">
        <f>+'Deducible 151'!Y171</f>
        <v>2070262.3727779703</v>
      </c>
      <c r="K152" s="429">
        <f>+'Deducible 185'!Y171</f>
        <v>2098508.595617096</v>
      </c>
      <c r="O152" s="453"/>
      <c r="P152" s="453"/>
      <c r="Q152" s="453"/>
      <c r="Z152" s="454"/>
      <c r="AA152" s="402"/>
    </row>
    <row r="153" spans="1:27" x14ac:dyDescent="0.25">
      <c r="A153" s="426">
        <f t="shared" si="37"/>
        <v>12.416666666666666</v>
      </c>
      <c r="B153" s="427">
        <f>'OptiMaxx plus'!$T$7+A153</f>
        <v>41.416666666666664</v>
      </c>
      <c r="C153" s="428">
        <f t="shared" si="38"/>
        <v>149</v>
      </c>
      <c r="D153" s="429">
        <f>+'No Deducible 93'!AD172</f>
        <v>2625335.639375038</v>
      </c>
      <c r="E153" s="429">
        <f>+'Deducible 151'!AD172</f>
        <v>2569574.961734024</v>
      </c>
      <c r="F153" s="429">
        <f>+'Deducible 185'!AD172</f>
        <v>2625335.639375038</v>
      </c>
      <c r="H153" s="428">
        <f t="shared" si="39"/>
        <v>149</v>
      </c>
      <c r="I153" s="429">
        <f>+'No Deducible 93'!Y172</f>
        <v>2123074.8184597883</v>
      </c>
      <c r="J153" s="429">
        <f>+'Deducible 151'!Y172</f>
        <v>2094276.9760035947</v>
      </c>
      <c r="K153" s="429">
        <f>+'Deducible 185'!Y172</f>
        <v>2123074.8184597883</v>
      </c>
      <c r="O153" s="453"/>
      <c r="P153" s="453"/>
      <c r="Q153" s="453"/>
      <c r="Z153" s="454"/>
      <c r="AA153" s="402"/>
    </row>
    <row r="154" spans="1:27" x14ac:dyDescent="0.25">
      <c r="A154" s="426">
        <f t="shared" si="37"/>
        <v>12.5</v>
      </c>
      <c r="B154" s="427">
        <f>'OptiMaxx plus'!$T$7+A154</f>
        <v>41.5</v>
      </c>
      <c r="C154" s="428">
        <f t="shared" si="38"/>
        <v>150</v>
      </c>
      <c r="D154" s="429">
        <f>+'No Deducible 93'!AD173</f>
        <v>2648874.372352306</v>
      </c>
      <c r="E154" s="429">
        <f>+'Deducible 151'!AD173</f>
        <v>2592150.94439684</v>
      </c>
      <c r="F154" s="429">
        <f>+'Deducible 185'!AD173</f>
        <v>2648874.372352306</v>
      </c>
      <c r="H154" s="428">
        <f t="shared" si="39"/>
        <v>150</v>
      </c>
      <c r="I154" s="429">
        <f>+'No Deducible 93'!Y173</f>
        <v>2147812.173695883</v>
      </c>
      <c r="J154" s="429">
        <f>+'Deducible 151'!Y173</f>
        <v>2118454.995972793</v>
      </c>
      <c r="K154" s="429">
        <f>+'Deducible 185'!Y173</f>
        <v>2147812.173695883</v>
      </c>
      <c r="O154" s="453"/>
      <c r="P154" s="453"/>
      <c r="Q154" s="453"/>
      <c r="Z154" s="454"/>
      <c r="AA154" s="402"/>
    </row>
    <row r="155" spans="1:27" x14ac:dyDescent="0.25">
      <c r="A155" s="426">
        <f t="shared" si="37"/>
        <v>12.583333333333334</v>
      </c>
      <c r="B155" s="427">
        <f>'OptiMaxx plus'!$T$7+A155</f>
        <v>41.583333333333336</v>
      </c>
      <c r="C155" s="428">
        <f t="shared" si="38"/>
        <v>151</v>
      </c>
      <c r="D155" s="429">
        <f>+'No Deducible 93'!AD174</f>
        <v>2677129.744323668</v>
      </c>
      <c r="E155" s="429">
        <f>+'Deducible 151'!AD174</f>
        <v>2619602.634363003</v>
      </c>
      <c r="F155" s="429">
        <f>+'Deducible 185'!AD174</f>
        <v>2677129.744323668</v>
      </c>
      <c r="H155" s="428">
        <f t="shared" si="39"/>
        <v>151</v>
      </c>
      <c r="I155" s="429">
        <f>+'No Deducible 93'!Y174</f>
        <v>2172721.8534620893</v>
      </c>
      <c r="J155" s="429">
        <f>+'Deducible 151'!Y174</f>
        <v>2142797.5447186</v>
      </c>
      <c r="K155" s="429">
        <f>+'Deducible 185'!Y174</f>
        <v>2172721.8534620893</v>
      </c>
      <c r="O155" s="453"/>
      <c r="P155" s="453"/>
      <c r="Q155" s="453"/>
      <c r="Z155" s="454"/>
      <c r="AA155" s="402"/>
    </row>
    <row r="156" spans="1:27" x14ac:dyDescent="0.25">
      <c r="A156" s="426">
        <f t="shared" si="37"/>
        <v>12.666666666666666</v>
      </c>
      <c r="B156" s="427">
        <f>'OptiMaxx plus'!$T$7+A156</f>
        <v>41.666666666666664</v>
      </c>
      <c r="C156" s="428">
        <f t="shared" si="38"/>
        <v>152</v>
      </c>
      <c r="D156" s="429">
        <f>+'No Deducible 93'!AD175</f>
        <v>2705581.050197503</v>
      </c>
      <c r="E156" s="429">
        <f>+'Deducible 151'!AD175</f>
        <v>2647240.4213497518</v>
      </c>
      <c r="F156" s="429">
        <f>+'Deducible 185'!AD175</f>
        <v>2705581.050197503</v>
      </c>
      <c r="H156" s="428">
        <f t="shared" si="39"/>
        <v>152</v>
      </c>
      <c r="I156" s="429">
        <f>+'No Deducible 93'!Y175</f>
        <v>2197805.0581997395</v>
      </c>
      <c r="J156" s="429">
        <f>+'Deducible 151'!Y175</f>
        <v>2167305.7418413116</v>
      </c>
      <c r="K156" s="429">
        <f>+'Deducible 185'!Y175</f>
        <v>2197805.0581997395</v>
      </c>
      <c r="O156" s="453"/>
      <c r="P156" s="453"/>
      <c r="Q156" s="453"/>
      <c r="Z156" s="454"/>
      <c r="AA156" s="402"/>
    </row>
    <row r="157" spans="1:27" x14ac:dyDescent="0.25">
      <c r="A157" s="426">
        <f t="shared" si="37"/>
        <v>12.75</v>
      </c>
      <c r="B157" s="427">
        <f>'OptiMaxx plus'!$T$7+A157</f>
        <v>41.75</v>
      </c>
      <c r="C157" s="428">
        <f t="shared" si="38"/>
        <v>153</v>
      </c>
      <c r="D157" s="429">
        <f>+'No Deducible 93'!AD176</f>
        <v>2729627.4147897484</v>
      </c>
      <c r="E157" s="429">
        <f>+'Deducible 151'!AD176</f>
        <v>2670297.6937249745</v>
      </c>
      <c r="F157" s="429">
        <f>+'Deducible 185'!AD176</f>
        <v>2729627.4147897484</v>
      </c>
      <c r="H157" s="428">
        <f t="shared" si="39"/>
        <v>153</v>
      </c>
      <c r="I157" s="429">
        <f>+'No Deducible 93'!Y176</f>
        <v>2223062.99671264</v>
      </c>
      <c r="J157" s="429">
        <f>+'Deducible 151'!Y176</f>
        <v>2191980.714559982</v>
      </c>
      <c r="K157" s="429">
        <f>+'Deducible 185'!Y176</f>
        <v>2223062.99671264</v>
      </c>
      <c r="O157" s="453"/>
      <c r="P157" s="453"/>
      <c r="Q157" s="453"/>
      <c r="Z157" s="454"/>
      <c r="AA157" s="402"/>
    </row>
    <row r="158" spans="1:27" x14ac:dyDescent="0.25">
      <c r="A158" s="426">
        <f t="shared" si="37"/>
        <v>12.833333333333334</v>
      </c>
      <c r="B158" s="427">
        <f>'OptiMaxx plus'!$T$7+A158</f>
        <v>41.833333333333336</v>
      </c>
      <c r="C158" s="428">
        <f t="shared" si="38"/>
        <v>154</v>
      </c>
      <c r="D158" s="429">
        <f>+'No Deducible 93'!AD177</f>
        <v>2758443.9448303124</v>
      </c>
      <c r="E158" s="429">
        <f>+'Deducible 151'!AD177</f>
        <v>2698280.0734565025</v>
      </c>
      <c r="F158" s="429">
        <f>+'Deducible 185'!AD177</f>
        <v>2758443.9448303124</v>
      </c>
      <c r="H158" s="428">
        <f t="shared" si="39"/>
        <v>154</v>
      </c>
      <c r="I158" s="429">
        <f>+'No Deducible 93'!Y177</f>
        <v>2248496.8862253255</v>
      </c>
      <c r="J158" s="429">
        <f>+'Deducible 151'!Y177</f>
        <v>2216823.597764268</v>
      </c>
      <c r="K158" s="429">
        <f>+'Deducible 185'!Y177</f>
        <v>2248496.8862253255</v>
      </c>
      <c r="O158" s="453"/>
      <c r="P158" s="453"/>
      <c r="Q158" s="453"/>
      <c r="Z158" s="454"/>
      <c r="AA158" s="402"/>
    </row>
    <row r="159" spans="1:27" x14ac:dyDescent="0.25">
      <c r="A159" s="426">
        <f t="shared" si="37"/>
        <v>12.916666666666666</v>
      </c>
      <c r="B159" s="427">
        <f>'OptiMaxx plus'!$T$7+A159</f>
        <v>41.916666666666664</v>
      </c>
      <c r="C159" s="428">
        <f t="shared" si="38"/>
        <v>155</v>
      </c>
      <c r="D159" s="429">
        <f>+'No Deducible 93'!AD178</f>
        <v>2787460.309331087</v>
      </c>
      <c r="E159" s="429">
        <f>+'Deducible 151'!AD178</f>
        <v>2726452.1547343265</v>
      </c>
      <c r="F159" s="429">
        <f>+'Deducible 185'!AD178</f>
        <v>2787460.309331087</v>
      </c>
      <c r="H159" s="428">
        <f t="shared" si="39"/>
        <v>155</v>
      </c>
      <c r="I159" s="429">
        <f>+'No Deducible 93'!Y178</f>
        <v>2274107.9524417194</v>
      </c>
      <c r="J159" s="429">
        <f>+'Deducible 151'!Y178</f>
        <v>2241835.5340666254</v>
      </c>
      <c r="K159" s="429">
        <f>+'Deducible 185'!Y178</f>
        <v>2274107.9524417194</v>
      </c>
      <c r="O159" s="453"/>
      <c r="P159" s="453"/>
      <c r="Q159" s="453"/>
      <c r="Z159" s="454"/>
      <c r="AA159" s="402"/>
    </row>
    <row r="160" spans="1:27" x14ac:dyDescent="0.25">
      <c r="A160" s="426">
        <f t="shared" si="37"/>
        <v>13</v>
      </c>
      <c r="B160" s="427">
        <f>'OptiMaxx plus'!$T$7+A160</f>
        <v>42</v>
      </c>
      <c r="C160" s="428">
        <f t="shared" si="38"/>
        <v>156</v>
      </c>
      <c r="D160" s="429">
        <f>+'No Deducible 93'!AD179</f>
        <v>2812025.1193683213</v>
      </c>
      <c r="E160" s="429">
        <f>+'Deducible 151'!AD179</f>
        <v>2750000.7779585477</v>
      </c>
      <c r="F160" s="429">
        <f>+'Deducible 185'!AD179</f>
        <v>2812025.1193683213</v>
      </c>
      <c r="H160" s="428">
        <f t="shared" si="39"/>
        <v>156</v>
      </c>
      <c r="I160" s="429">
        <f>+'No Deducible 93'!Y179</f>
        <v>2299897.429604201</v>
      </c>
      <c r="J160" s="429">
        <f>+'Deducible 151'!Y179</f>
        <v>2267017.673854863</v>
      </c>
      <c r="K160" s="429">
        <f>+'Deducible 185'!Y179</f>
        <v>2299897.429604201</v>
      </c>
      <c r="O160" s="453"/>
      <c r="P160" s="453"/>
      <c r="Q160" s="453"/>
      <c r="Z160" s="454"/>
      <c r="AA160" s="402"/>
    </row>
    <row r="161" spans="1:27" x14ac:dyDescent="0.25">
      <c r="A161" s="426">
        <f t="shared" si="37"/>
        <v>13.083333333333334</v>
      </c>
      <c r="B161" s="427">
        <f>'OptiMaxx plus'!$T$7+A161</f>
        <v>42.083333333333336</v>
      </c>
      <c r="C161" s="428">
        <f t="shared" si="38"/>
        <v>157</v>
      </c>
      <c r="D161" s="429">
        <f>+'No Deducible 93'!AD180</f>
        <v>2841409.371348968</v>
      </c>
      <c r="E161" s="429">
        <f>+'Deducible 151'!AD180</f>
        <v>2778518.773573192</v>
      </c>
      <c r="F161" s="429">
        <f>+'Deducible 185'!AD180</f>
        <v>2841409.371348968</v>
      </c>
      <c r="H161" s="428">
        <f t="shared" si="39"/>
        <v>157</v>
      </c>
      <c r="I161" s="429">
        <f>+'No Deducible 93'!Y180</f>
        <v>2325861.6806068877</v>
      </c>
      <c r="J161" s="429">
        <f>+'Deducible 151'!Y180</f>
        <v>2292365.521173912</v>
      </c>
      <c r="K161" s="429">
        <f>+'Deducible 185'!Y180</f>
        <v>2325861.6806068877</v>
      </c>
      <c r="O161" s="453"/>
      <c r="P161" s="453"/>
      <c r="Q161" s="453"/>
      <c r="Z161" s="454"/>
      <c r="AA161" s="402"/>
    </row>
    <row r="162" spans="1:27" x14ac:dyDescent="0.25">
      <c r="A162" s="426">
        <f t="shared" si="37"/>
        <v>13.166666666666666</v>
      </c>
      <c r="B162" s="427">
        <f>'OptiMaxx plus'!$T$7+A162</f>
        <v>42.166666666666664</v>
      </c>
      <c r="C162" s="428">
        <f t="shared" si="38"/>
        <v>158</v>
      </c>
      <c r="D162" s="429">
        <f>+'No Deducible 93'!AD181</f>
        <v>2870997.4039909034</v>
      </c>
      <c r="E162" s="429">
        <f>+'Deducible 151'!AD181</f>
        <v>2807230.1087170565</v>
      </c>
      <c r="F162" s="429">
        <f>+'Deducible 185'!AD181</f>
        <v>2870997.4039909034</v>
      </c>
      <c r="H162" s="428">
        <f t="shared" si="39"/>
        <v>158</v>
      </c>
      <c r="I162" s="429">
        <f>+'No Deducible 93'!Y181</f>
        <v>2352006.8028996144</v>
      </c>
      <c r="J162" s="429">
        <f>+'Deducible 151'!Y181</f>
        <v>2317885.857816503</v>
      </c>
      <c r="K162" s="429">
        <f>+'Deducible 185'!Y181</f>
        <v>2352006.8028996144</v>
      </c>
      <c r="O162" s="453"/>
      <c r="P162" s="453"/>
      <c r="Q162" s="453"/>
      <c r="Z162" s="454"/>
      <c r="AA162" s="402"/>
    </row>
    <row r="163" spans="1:27" x14ac:dyDescent="0.25">
      <c r="A163" s="426">
        <f t="shared" si="37"/>
        <v>13.25</v>
      </c>
      <c r="B163" s="427">
        <f>'OptiMaxx plus'!$T$7+A163</f>
        <v>42.25</v>
      </c>
      <c r="C163" s="428">
        <f t="shared" si="38"/>
        <v>159</v>
      </c>
      <c r="D163" s="429">
        <f>+'No Deducible 93'!AD182</f>
        <v>2896086.754117012</v>
      </c>
      <c r="E163" s="429">
        <f>+'Deducible 151'!AD182</f>
        <v>2831274.62098747</v>
      </c>
      <c r="F163" s="429">
        <f>+'Deducible 185'!AD182</f>
        <v>2896086.754117012</v>
      </c>
      <c r="H163" s="428">
        <f t="shared" si="39"/>
        <v>159</v>
      </c>
      <c r="I163" s="429">
        <f>+'No Deducible 93'!Y182</f>
        <v>2378334.0564618646</v>
      </c>
      <c r="J163" s="429">
        <f>+'Deducible 151'!Y182</f>
        <v>2343579.8575535812</v>
      </c>
      <c r="K163" s="429">
        <f>+'Deducible 185'!Y182</f>
        <v>2378334.0564618646</v>
      </c>
      <c r="O163" s="453"/>
      <c r="P163" s="453"/>
      <c r="Q163" s="453"/>
      <c r="Z163" s="454"/>
      <c r="AA163" s="402"/>
    </row>
    <row r="164" spans="1:27" x14ac:dyDescent="0.25">
      <c r="A164" s="426">
        <f t="shared" si="37"/>
        <v>13.333333333333334</v>
      </c>
      <c r="B164" s="427">
        <f>'OptiMaxx plus'!$T$7+A164</f>
        <v>42.333333333333336</v>
      </c>
      <c r="C164" s="428">
        <f t="shared" si="38"/>
        <v>160</v>
      </c>
      <c r="D164" s="429">
        <f>+'No Deducible 93'!AD183</f>
        <v>2926055.185899672</v>
      </c>
      <c r="E164" s="429">
        <f>+'Deducible 151'!AD183</f>
        <v>2860344.564999057</v>
      </c>
      <c r="F164" s="429">
        <f>+'Deducible 185'!AD183</f>
        <v>2926055.185899672</v>
      </c>
      <c r="H164" s="428">
        <f t="shared" si="39"/>
        <v>160</v>
      </c>
      <c r="I164" s="429">
        <f>+'No Deducible 93'!Y183</f>
        <v>2404844.7100503487</v>
      </c>
      <c r="J164" s="429">
        <f>+'Deducible 151'!Y183</f>
        <v>2369448.7021434763</v>
      </c>
      <c r="K164" s="429">
        <f>+'Deducible 185'!Y183</f>
        <v>2404844.7100503487</v>
      </c>
      <c r="O164" s="453"/>
      <c r="P164" s="453"/>
      <c r="Q164" s="453"/>
      <c r="Z164" s="454"/>
      <c r="AA164" s="402"/>
    </row>
    <row r="165" spans="1:27" x14ac:dyDescent="0.25">
      <c r="A165" s="426">
        <f t="shared" si="37"/>
        <v>13.416666666666666</v>
      </c>
      <c r="B165" s="427">
        <f>'OptiMaxx plus'!$T$7+A165</f>
        <v>42.416666666666664</v>
      </c>
      <c r="C165" s="428">
        <f t="shared" si="38"/>
        <v>161</v>
      </c>
      <c r="D165" s="429">
        <f>+'No Deducible 93'!AD184</f>
        <v>2956231.4591104523</v>
      </c>
      <c r="E165" s="429">
        <f>+'Deducible 151'!AD184</f>
        <v>2889611.5975986607</v>
      </c>
      <c r="F165" s="429">
        <f>+'Deducible 185'!AD184</f>
        <v>2956231.4591104523</v>
      </c>
      <c r="H165" s="428">
        <f t="shared" si="39"/>
        <v>161</v>
      </c>
      <c r="I165" s="429">
        <f>+'No Deducible 93'!Y184</f>
        <v>2431540.041260146</v>
      </c>
      <c r="J165" s="429">
        <f>+'Deducible 151'!Y184</f>
        <v>2395493.581386253</v>
      </c>
      <c r="K165" s="429">
        <f>+'Deducible 185'!Y184</f>
        <v>2431540.041260146</v>
      </c>
      <c r="O165" s="453"/>
      <c r="P165" s="453"/>
      <c r="Q165" s="453"/>
      <c r="Z165" s="454"/>
      <c r="AA165" s="402"/>
    </row>
    <row r="166" spans="1:27" x14ac:dyDescent="0.25">
      <c r="A166" s="426">
        <f t="shared" si="37"/>
        <v>13.5</v>
      </c>
      <c r="B166" s="427">
        <f>'OptiMaxx plus'!$T$7+A166</f>
        <v>42.5</v>
      </c>
      <c r="C166" s="428">
        <f t="shared" si="38"/>
        <v>162</v>
      </c>
      <c r="D166" s="429">
        <f>+'No Deducible 93'!AD185</f>
        <v>2981861.470002262</v>
      </c>
      <c r="E166" s="429">
        <f>+'Deducible 151'!AD185</f>
        <v>2914168.0948262075</v>
      </c>
      <c r="F166" s="429">
        <f>+'Deducible 185'!AD185</f>
        <v>2981861.470002262</v>
      </c>
      <c r="H166" s="428">
        <f t="shared" si="39"/>
        <v>162</v>
      </c>
      <c r="I166" s="429">
        <f>+'No Deducible 93'!Y185</f>
        <v>2458421.3365862765</v>
      </c>
      <c r="J166" s="429">
        <f>+'Deducible 151'!Y185</f>
        <v>2421715.6931784353</v>
      </c>
      <c r="K166" s="429">
        <f>+'Deducible 185'!Y185</f>
        <v>2458421.3365862765</v>
      </c>
      <c r="O166" s="453"/>
      <c r="P166" s="453"/>
      <c r="Q166" s="453"/>
      <c r="Z166" s="454"/>
      <c r="AA166" s="402"/>
    </row>
    <row r="167" spans="1:27" x14ac:dyDescent="0.25">
      <c r="A167" s="426">
        <f t="shared" si="37"/>
        <v>13.583333333333334</v>
      </c>
      <c r="B167" s="427">
        <f>'OptiMaxx plus'!$T$7+A167</f>
        <v>42.583333333333336</v>
      </c>
      <c r="C167" s="428">
        <f t="shared" si="38"/>
        <v>163</v>
      </c>
      <c r="D167" s="429">
        <f>+'No Deducible 93'!AD186</f>
        <v>3012426.0017696256</v>
      </c>
      <c r="E167" s="429">
        <f>+'Deducible 151'!AD186</f>
        <v>2943800.998045986</v>
      </c>
      <c r="F167" s="429">
        <f>+'Deducible 185'!AD186</f>
        <v>3012426.0017696256</v>
      </c>
      <c r="H167" s="428">
        <f t="shared" si="39"/>
        <v>163</v>
      </c>
      <c r="I167" s="429">
        <f>+'No Deducible 93'!Y186</f>
        <v>2485489.8914856985</v>
      </c>
      <c r="J167" s="429">
        <f>+'Deducible 151'!Y186</f>
        <v>2448116.243568102</v>
      </c>
      <c r="K167" s="429">
        <f>+'Deducible 185'!Y186</f>
        <v>2485489.8914856985</v>
      </c>
      <c r="O167" s="453"/>
      <c r="P167" s="453"/>
      <c r="Q167" s="453"/>
      <c r="Z167" s="454"/>
      <c r="AA167" s="402"/>
    </row>
    <row r="168" spans="1:27" x14ac:dyDescent="0.25">
      <c r="A168" s="426">
        <f t="shared" si="37"/>
        <v>13.666666666666666</v>
      </c>
      <c r="B168" s="427">
        <f>'OptiMaxx plus'!$T$7+A168</f>
        <v>42.666666666666664</v>
      </c>
      <c r="C168" s="428">
        <f t="shared" si="38"/>
        <v>164</v>
      </c>
      <c r="D168" s="429">
        <f>+'No Deducible 93'!AD187</f>
        <v>3043202.5186866764</v>
      </c>
      <c r="E168" s="429">
        <f>+'Deducible 151'!AD187</f>
        <v>2973634.8137742286</v>
      </c>
      <c r="F168" s="429">
        <f>+'Deducible 185'!AD187</f>
        <v>3043202.5186866764</v>
      </c>
      <c r="H168" s="428">
        <f t="shared" si="39"/>
        <v>164</v>
      </c>
      <c r="I168" s="429">
        <f>+'No Deducible 93'!Y187</f>
        <v>2512747.010439739</v>
      </c>
      <c r="J168" s="429">
        <f>+'Deducible 151'!Y187</f>
        <v>2474696.4468103563</v>
      </c>
      <c r="K168" s="429">
        <f>+'Deducible 185'!Y187</f>
        <v>2512747.010439739</v>
      </c>
      <c r="O168" s="453"/>
      <c r="P168" s="453"/>
      <c r="Q168" s="453"/>
      <c r="Z168" s="454"/>
      <c r="AA168" s="402"/>
    </row>
    <row r="169" spans="1:27" x14ac:dyDescent="0.25">
      <c r="A169" s="426">
        <f t="shared" si="37"/>
        <v>13.75</v>
      </c>
      <c r="B169" s="427">
        <f>'OptiMaxx plus'!$T$7+A169</f>
        <v>42.75</v>
      </c>
      <c r="C169" s="428">
        <f t="shared" si="38"/>
        <v>165</v>
      </c>
      <c r="D169" s="429">
        <f>+'No Deducible 93'!AD188</f>
        <v>3069384.703545489</v>
      </c>
      <c r="E169" s="429">
        <f>+'Deducible 151'!AD188</f>
        <v>2998713.9930010694</v>
      </c>
      <c r="F169" s="429">
        <f>+'Deducible 185'!AD188</f>
        <v>3069384.703545489</v>
      </c>
      <c r="H169" s="428">
        <f t="shared" si="39"/>
        <v>165</v>
      </c>
      <c r="I169" s="429">
        <f>+'No Deducible 93'!Y188</f>
        <v>2540194.0070169577</v>
      </c>
      <c r="J169" s="429">
        <f>+'Deducible 151'!Y188</f>
        <v>2501457.525423175</v>
      </c>
      <c r="K169" s="429">
        <f>+'Deducible 185'!Y188</f>
        <v>2540194.0070169577</v>
      </c>
      <c r="O169" s="453"/>
      <c r="P169" s="453"/>
      <c r="Q169" s="453"/>
      <c r="Z169" s="454"/>
      <c r="AA169" s="402"/>
    </row>
    <row r="170" spans="1:27" x14ac:dyDescent="0.25">
      <c r="A170" s="426">
        <f t="shared" si="37"/>
        <v>13.833333333333334</v>
      </c>
      <c r="B170" s="427">
        <f>'OptiMaxx plus'!$T$7+A170</f>
        <v>42.833333333333336</v>
      </c>
      <c r="C170" s="428">
        <f t="shared" si="38"/>
        <v>166</v>
      </c>
      <c r="D170" s="429">
        <f>+'No Deducible 93'!AD189</f>
        <v>3100557.502208892</v>
      </c>
      <c r="E170" s="429">
        <f>+'Deducible 151'!AD189</f>
        <v>3028921.089295548</v>
      </c>
      <c r="F170" s="429">
        <f>+'Deducible 185'!AD189</f>
        <v>3100557.502208892</v>
      </c>
      <c r="H170" s="428">
        <f t="shared" si="39"/>
        <v>166</v>
      </c>
      <c r="I170" s="429">
        <f>+'No Deducible 93'!Y189</f>
        <v>2567832.2039364525</v>
      </c>
      <c r="J170" s="429">
        <f>+'Deducible 151'!Y189</f>
        <v>2528400.7102436363</v>
      </c>
      <c r="K170" s="429">
        <f>+'Deducible 185'!Y189</f>
        <v>2567832.2039364525</v>
      </c>
      <c r="O170" s="453"/>
      <c r="P170" s="453"/>
      <c r="Q170" s="453"/>
      <c r="Z170" s="454"/>
      <c r="AA170" s="402"/>
    </row>
    <row r="171" spans="1:27" x14ac:dyDescent="0.25">
      <c r="A171" s="426">
        <f t="shared" si="37"/>
        <v>13.916666666666666</v>
      </c>
      <c r="B171" s="427">
        <f>'OptiMaxx plus'!$T$7+A171</f>
        <v>42.916666666666664</v>
      </c>
      <c r="C171" s="428">
        <f t="shared" si="38"/>
        <v>167</v>
      </c>
      <c r="D171" s="429">
        <f>+'No Deducible 93'!AD190</f>
        <v>3131946.514416243</v>
      </c>
      <c r="E171" s="429">
        <f>+'Deducible 151'!AD190</f>
        <v>3059332.9983978258</v>
      </c>
      <c r="F171" s="429">
        <f>+'Deducible 185'!AD190</f>
        <v>3131946.514416243</v>
      </c>
      <c r="H171" s="428">
        <f t="shared" si="39"/>
        <v>167</v>
      </c>
      <c r="I171" s="429">
        <f>+'No Deducible 93'!Y190</f>
        <v>2595662.933131602</v>
      </c>
      <c r="J171" s="429">
        <f>+'Deducible 151'!Y190</f>
        <v>2555527.2404845282</v>
      </c>
      <c r="K171" s="429">
        <f>+'Deducible 185'!Y190</f>
        <v>2595662.933131602</v>
      </c>
      <c r="O171" s="453"/>
      <c r="P171" s="453"/>
      <c r="Q171" s="453"/>
      <c r="Z171" s="454"/>
      <c r="AA171" s="402"/>
    </row>
    <row r="172" spans="1:27" x14ac:dyDescent="0.25">
      <c r="A172" s="426">
        <f t="shared" si="37"/>
        <v>14</v>
      </c>
      <c r="B172" s="427">
        <f>'OptiMaxx plus'!$T$7+A172</f>
        <v>43</v>
      </c>
      <c r="C172" s="428">
        <f t="shared" si="38"/>
        <v>168</v>
      </c>
      <c r="D172" s="429">
        <f>+'No Deducible 93'!AD191</f>
        <v>3158692.6301940354</v>
      </c>
      <c r="E172" s="429">
        <f>+'Deducible 151'!AD191</f>
        <v>3084945.7782309493</v>
      </c>
      <c r="F172" s="429">
        <f>+'Deducible 185'!AD191</f>
        <v>3158692.6301940354</v>
      </c>
      <c r="H172" s="428">
        <f t="shared" si="39"/>
        <v>168</v>
      </c>
      <c r="I172" s="429">
        <f>+'No Deducible 93'!Y191</f>
        <v>2623687.535814255</v>
      </c>
      <c r="J172" s="429">
        <f>+'Deducible 151'!Y191</f>
        <v>2582838.363791347</v>
      </c>
      <c r="K172" s="429">
        <f>+'Deducible 185'!Y191</f>
        <v>2623687.535814255</v>
      </c>
      <c r="O172" s="453"/>
      <c r="P172" s="453"/>
      <c r="Q172" s="453"/>
      <c r="Z172" s="454"/>
      <c r="AA172" s="402"/>
    </row>
    <row r="173" spans="1:27" x14ac:dyDescent="0.25">
      <c r="A173" s="426">
        <f t="shared" si="37"/>
        <v>14.083333333333334</v>
      </c>
      <c r="B173" s="427">
        <f>'OptiMaxx plus'!$T$7+A173</f>
        <v>43.083333333333336</v>
      </c>
      <c r="C173" s="428">
        <f t="shared" si="38"/>
        <v>169</v>
      </c>
      <c r="D173" s="429">
        <f>+'No Deducible 93'!AD192</f>
        <v>3190481.0393956685</v>
      </c>
      <c r="E173" s="429">
        <f>+'Deducible 151'!AD192</f>
        <v>3115732.648736725</v>
      </c>
      <c r="F173" s="429">
        <f>+'Deducible 185'!AD192</f>
        <v>3190481.0393956685</v>
      </c>
      <c r="H173" s="428">
        <f t="shared" si="39"/>
        <v>169</v>
      </c>
      <c r="I173" s="429">
        <f>+'No Deducible 93'!Y192</f>
        <v>2651902.2873953134</v>
      </c>
      <c r="J173" s="429">
        <f>+'Deducible 151'!Y192</f>
        <v>2610329.455961696</v>
      </c>
      <c r="K173" s="429">
        <f>+'Deducible 185'!Y192</f>
        <v>2651902.2873953134</v>
      </c>
      <c r="O173" s="453"/>
      <c r="P173" s="453"/>
      <c r="Q173" s="453"/>
      <c r="Z173" s="454"/>
      <c r="AA173" s="402"/>
    </row>
    <row r="174" spans="1:27" x14ac:dyDescent="0.25">
      <c r="A174" s="426">
        <f t="shared" si="37"/>
        <v>14.166666666666666</v>
      </c>
      <c r="B174" s="427">
        <f>'OptiMaxx plus'!$T$7+A174</f>
        <v>43.166666666666664</v>
      </c>
      <c r="C174" s="428">
        <f t="shared" si="38"/>
        <v>170</v>
      </c>
      <c r="D174" s="429">
        <f>+'No Deducible 93'!AD193</f>
        <v>3222489.9416077095</v>
      </c>
      <c r="E174" s="429">
        <f>+'Deducible 151'!AD193</f>
        <v>3146728.2702616844</v>
      </c>
      <c r="F174" s="429">
        <f>+'Deducible 185'!AD193</f>
        <v>3222489.9416077095</v>
      </c>
      <c r="H174" s="428">
        <f t="shared" si="39"/>
        <v>170</v>
      </c>
      <c r="I174" s="429">
        <f>+'No Deducible 93'!Y193</f>
        <v>2680313.5876276735</v>
      </c>
      <c r="J174" s="429">
        <f>+'Deducible 151'!Y193</f>
        <v>2638007.622001955</v>
      </c>
      <c r="K174" s="429">
        <f>+'Deducible 185'!Y193</f>
        <v>2680313.5876276735</v>
      </c>
      <c r="O174" s="453"/>
      <c r="P174" s="453"/>
      <c r="Q174" s="453"/>
      <c r="Z174" s="454"/>
      <c r="AA174" s="402"/>
    </row>
    <row r="175" spans="1:27" x14ac:dyDescent="0.25">
      <c r="A175" s="426">
        <f t="shared" si="37"/>
        <v>14.25</v>
      </c>
      <c r="B175" s="427">
        <f>'OptiMaxx plus'!$T$7+A175</f>
        <v>43.25</v>
      </c>
      <c r="C175" s="428">
        <f t="shared" si="38"/>
        <v>171</v>
      </c>
      <c r="D175" s="429">
        <f>+'No Deducible 93'!AD194</f>
        <v>3249806.8480537757</v>
      </c>
      <c r="E175" s="429">
        <f>+'Deducible 151'!AD194</f>
        <v>3172879.8348031505</v>
      </c>
      <c r="F175" s="429">
        <f>+'Deducible 185'!AD194</f>
        <v>3249806.8480537757</v>
      </c>
      <c r="H175" s="428">
        <f t="shared" si="39"/>
        <v>171</v>
      </c>
      <c r="I175" s="429">
        <f>+'No Deducible 93'!Y194</f>
        <v>2708922.805701924</v>
      </c>
      <c r="J175" s="429">
        <f>+'Deducible 151'!Y194</f>
        <v>2665874.1349293105</v>
      </c>
      <c r="K175" s="429">
        <f>+'Deducible 185'!Y194</f>
        <v>2708922.805701924</v>
      </c>
      <c r="O175" s="453"/>
      <c r="P175" s="453"/>
      <c r="Q175" s="453"/>
      <c r="Z175" s="454"/>
      <c r="AA175" s="402"/>
    </row>
    <row r="176" spans="1:27" x14ac:dyDescent="0.25">
      <c r="A176" s="426">
        <f t="shared" si="37"/>
        <v>14.333333333333334</v>
      </c>
      <c r="B176" s="427">
        <f>'OptiMaxx plus'!$T$7+A176</f>
        <v>43.333333333333336</v>
      </c>
      <c r="C176" s="428">
        <f t="shared" si="38"/>
        <v>172</v>
      </c>
      <c r="D176" s="429">
        <f>+'No Deducible 93'!AD195</f>
        <v>3282228.5120494175</v>
      </c>
      <c r="E176" s="429">
        <f>+'Deducible 151'!AD195</f>
        <v>3204263.9327230374</v>
      </c>
      <c r="F176" s="429">
        <f>+'Deducible 185'!AD195</f>
        <v>3282228.5120494175</v>
      </c>
      <c r="H176" s="428">
        <f t="shared" si="39"/>
        <v>172</v>
      </c>
      <c r="I176" s="429">
        <f>+'No Deducible 93'!Y195</f>
        <v>2737731.320346663</v>
      </c>
      <c r="J176" s="429">
        <f>+'Deducible 151'!Y195</f>
        <v>2693930.2764236922</v>
      </c>
      <c r="K176" s="429">
        <f>+'Deducible 185'!Y195</f>
        <v>2737731.320346663</v>
      </c>
      <c r="O176" s="453"/>
      <c r="P176" s="453"/>
      <c r="Q176" s="453"/>
      <c r="Z176" s="454"/>
      <c r="AA176" s="402"/>
    </row>
    <row r="177" spans="1:27" x14ac:dyDescent="0.25">
      <c r="A177" s="426">
        <f t="shared" si="37"/>
        <v>14.416666666666666</v>
      </c>
      <c r="B177" s="427">
        <f>'OptiMaxx plus'!$T$7+A177</f>
        <v>43.416666666666664</v>
      </c>
      <c r="C177" s="428">
        <f t="shared" si="38"/>
        <v>173</v>
      </c>
      <c r="D177" s="429">
        <f>+'No Deducible 93'!AD196</f>
        <v>3314875.0713491025</v>
      </c>
      <c r="E177" s="429">
        <f>+'Deducible 151'!AD196</f>
        <v>3235860.8385730116</v>
      </c>
      <c r="F177" s="429">
        <f>+'Deducible 185'!AD196</f>
        <v>3314875.0713491025</v>
      </c>
      <c r="H177" s="428">
        <f t="shared" si="39"/>
        <v>173</v>
      </c>
      <c r="I177" s="429">
        <f>+'No Deducible 93'!Y196</f>
        <v>2766740.519894941</v>
      </c>
      <c r="J177" s="429">
        <f>+'Deducible 151'!Y196</f>
        <v>2722177.3368867193</v>
      </c>
      <c r="K177" s="429">
        <f>+'Deducible 185'!Y196</f>
        <v>2766740.519894941</v>
      </c>
      <c r="O177" s="453"/>
      <c r="P177" s="453"/>
      <c r="Q177" s="453"/>
      <c r="Z177" s="454"/>
      <c r="AA177" s="402"/>
    </row>
    <row r="178" spans="1:27" x14ac:dyDescent="0.25">
      <c r="A178" s="426">
        <f t="shared" si="37"/>
        <v>14.5</v>
      </c>
      <c r="B178" s="427">
        <f>'OptiMaxx plus'!$T$7+A178</f>
        <v>43.5</v>
      </c>
      <c r="C178" s="428">
        <f t="shared" si="38"/>
        <v>174</v>
      </c>
      <c r="D178" s="429">
        <f>+'No Deducible 93'!AD197</f>
        <v>3342780.066264205</v>
      </c>
      <c r="E178" s="429">
        <f>+'Deducible 151'!AD197</f>
        <v>3262568.4014914343</v>
      </c>
      <c r="F178" s="429">
        <f>+'Deducible 185'!AD197</f>
        <v>3342780.066264205</v>
      </c>
      <c r="H178" s="428">
        <f t="shared" si="39"/>
        <v>174</v>
      </c>
      <c r="I178" s="429">
        <f>+'No Deducible 93'!Y197</f>
        <v>2795951.8023511674</v>
      </c>
      <c r="J178" s="429">
        <f>+'Deducible 151'!Y197</f>
        <v>2750616.615501054</v>
      </c>
      <c r="K178" s="429">
        <f>+'Deducible 185'!Y197</f>
        <v>2795951.8023511674</v>
      </c>
      <c r="O178" s="453"/>
      <c r="P178" s="453"/>
      <c r="Q178" s="453"/>
      <c r="Z178" s="454"/>
      <c r="AA178" s="402"/>
    </row>
    <row r="179" spans="1:27" x14ac:dyDescent="0.25">
      <c r="A179" s="426">
        <f t="shared" si="37"/>
        <v>14.583333333333334</v>
      </c>
      <c r="B179" s="427">
        <f>'OptiMaxx plus'!$T$7+A179</f>
        <v>43.583333333333336</v>
      </c>
      <c r="C179" s="428">
        <f t="shared" si="38"/>
        <v>175</v>
      </c>
      <c r="D179" s="429">
        <f>+'No Deducible 93'!AD198</f>
        <v>3375847.9212144604</v>
      </c>
      <c r="E179" s="429">
        <f>+'Deducible 151'!AD198</f>
        <v>3294561.6550653763</v>
      </c>
      <c r="F179" s="429">
        <f>+'Deducible 185'!AD198</f>
        <v>3375847.9212144604</v>
      </c>
      <c r="H179" s="428">
        <f t="shared" si="39"/>
        <v>175</v>
      </c>
      <c r="I179" s="429">
        <f>+'No Deducible 93'!Y198</f>
        <v>2825366.575458484</v>
      </c>
      <c r="J179" s="429">
        <f>+'Deducible 151'!Y198</f>
        <v>2779249.4202901544</v>
      </c>
      <c r="K179" s="429">
        <f>+'Deducible 185'!Y198</f>
        <v>2825366.575458484</v>
      </c>
      <c r="O179" s="453"/>
      <c r="P179" s="453"/>
      <c r="Q179" s="453"/>
      <c r="Z179" s="454"/>
      <c r="AA179" s="402"/>
    </row>
    <row r="180" spans="1:27" x14ac:dyDescent="0.25">
      <c r="A180" s="426">
        <f t="shared" si="37"/>
        <v>14.666666666666666</v>
      </c>
      <c r="B180" s="427">
        <f>'OptiMaxx plus'!$T$7+A180</f>
        <v>43.666666666666664</v>
      </c>
      <c r="C180" s="428">
        <f t="shared" si="38"/>
        <v>176</v>
      </c>
      <c r="D180" s="429">
        <f>+'No Deducible 93'!AD199</f>
        <v>3409145.163791379</v>
      </c>
      <c r="E180" s="429">
        <f>+'Deducible 151'!AD199</f>
        <v>3326771.854582417</v>
      </c>
      <c r="F180" s="429">
        <f>+'Deducible 185'!AD199</f>
        <v>3409145.163791379</v>
      </c>
      <c r="H180" s="428">
        <f t="shared" si="39"/>
        <v>176</v>
      </c>
      <c r="I180" s="429">
        <f>+'No Deducible 93'!Y199</f>
        <v>2854986.2567666033</v>
      </c>
      <c r="J180" s="429">
        <f>+'Deducible 151'!Y199</f>
        <v>2808077.0681784335</v>
      </c>
      <c r="K180" s="429">
        <f>+'Deducible 185'!Y199</f>
        <v>2854986.2567666033</v>
      </c>
      <c r="O180" s="453"/>
      <c r="P180" s="453"/>
      <c r="Q180" s="453"/>
      <c r="Z180" s="454"/>
      <c r="AA180" s="402"/>
    </row>
    <row r="181" spans="1:27" x14ac:dyDescent="0.25">
      <c r="A181" s="426">
        <f t="shared" si="37"/>
        <v>14.75</v>
      </c>
      <c r="B181" s="427">
        <f>'OptiMaxx plus'!$T$7+A181</f>
        <v>43.75</v>
      </c>
      <c r="C181" s="428">
        <f t="shared" si="38"/>
        <v>177</v>
      </c>
      <c r="D181" s="429">
        <f>+'No Deducible 93'!AD200</f>
        <v>3437650.764410032</v>
      </c>
      <c r="E181" s="429">
        <f>+'Deducible 151'!AD200</f>
        <v>3354047.024463306</v>
      </c>
      <c r="F181" s="429">
        <f>+'Deducible 185'!AD200</f>
        <v>3437650.764410032</v>
      </c>
      <c r="H181" s="428">
        <f t="shared" si="39"/>
        <v>177</v>
      </c>
      <c r="I181" s="429">
        <f>+'No Deducible 93'!Y200</f>
        <v>2884812.2737001274</v>
      </c>
      <c r="J181" s="429">
        <f>+'Deducible 151'!Y200</f>
        <v>2837100.885051832</v>
      </c>
      <c r="K181" s="429">
        <f>+'Deducible 185'!Y200</f>
        <v>2884812.2737001274</v>
      </c>
      <c r="O181" s="453"/>
      <c r="P181" s="453"/>
      <c r="Q181" s="453"/>
      <c r="Z181" s="454"/>
      <c r="AA181" s="402"/>
    </row>
    <row r="182" spans="1:27" x14ac:dyDescent="0.25">
      <c r="A182" s="426">
        <f t="shared" si="37"/>
        <v>14.833333333333334</v>
      </c>
      <c r="B182" s="427">
        <f>'OptiMaxx plus'!$T$7+A182</f>
        <v>43.833333333333336</v>
      </c>
      <c r="C182" s="428">
        <f t="shared" si="38"/>
        <v>178</v>
      </c>
      <c r="D182" s="429">
        <f>+'No Deducible 93'!AD201</f>
        <v>3471378.0143976794</v>
      </c>
      <c r="E182" s="429">
        <f>+'Deducible 151'!AD201</f>
        <v>3386661.6037140125</v>
      </c>
      <c r="F182" s="429">
        <f>+'Deducible 185'!AD201</f>
        <v>3471378.0143976794</v>
      </c>
      <c r="H182" s="428">
        <f t="shared" si="39"/>
        <v>178</v>
      </c>
      <c r="I182" s="429">
        <f>+'No Deducible 93'!Y201</f>
        <v>2914846.063627333</v>
      </c>
      <c r="J182" s="429">
        <f>+'Deducible 151'!Y201</f>
        <v>2866322.2058187984</v>
      </c>
      <c r="K182" s="429">
        <f>+'Deducible 185'!Y201</f>
        <v>2914846.063627333</v>
      </c>
      <c r="O182" s="453"/>
      <c r="P182" s="453"/>
      <c r="Q182" s="453"/>
      <c r="Z182" s="454"/>
      <c r="AA182" s="402"/>
    </row>
    <row r="183" spans="1:27" x14ac:dyDescent="0.25">
      <c r="A183" s="426">
        <f t="shared" si="37"/>
        <v>14.916666666666666</v>
      </c>
      <c r="B183" s="427">
        <f>'OptiMaxx plus'!$T$7+A183</f>
        <v>43.916666666666664</v>
      </c>
      <c r="C183" s="428">
        <f t="shared" si="38"/>
        <v>179</v>
      </c>
      <c r="D183" s="429">
        <f>+'No Deducible 93'!AD202</f>
        <v>3505339.2362291636</v>
      </c>
      <c r="E183" s="429">
        <f>+'Deducible 151'!AD202</f>
        <v>3419497.3496675924</v>
      </c>
      <c r="F183" s="429">
        <f>+'Deducible 185'!AD202</f>
        <v>3505339.2362291636</v>
      </c>
      <c r="H183" s="428">
        <f t="shared" si="39"/>
        <v>179</v>
      </c>
      <c r="I183" s="429">
        <f>+'No Deducible 93'!Y202</f>
        <v>2945089.073929445</v>
      </c>
      <c r="J183" s="429">
        <f>+'Deducible 151'!Y202</f>
        <v>2895742.374471687</v>
      </c>
      <c r="K183" s="429">
        <f>+'Deducible 185'!Y202</f>
        <v>2945089.073929445</v>
      </c>
      <c r="O183" s="453"/>
      <c r="P183" s="453"/>
      <c r="Q183" s="453"/>
      <c r="Z183" s="454"/>
      <c r="AA183" s="402"/>
    </row>
    <row r="184" spans="1:27" x14ac:dyDescent="0.25">
      <c r="A184" s="426">
        <f t="shared" si="37"/>
        <v>15</v>
      </c>
      <c r="B184" s="427">
        <f>'OptiMaxx plus'!$T$7+A184</f>
        <v>44</v>
      </c>
      <c r="C184" s="428">
        <f t="shared" si="38"/>
        <v>180</v>
      </c>
      <c r="D184" s="429">
        <f>+'No Deducible 93'!AD203</f>
        <v>3534458.224730827</v>
      </c>
      <c r="E184" s="429">
        <f>+'Deducible 151'!AD203</f>
        <v>3447351.975464504</v>
      </c>
      <c r="F184" s="429">
        <f>+'Deducible 185'!AD203</f>
        <v>3534458.224730827</v>
      </c>
      <c r="H184" s="428">
        <f t="shared" si="39"/>
        <v>180</v>
      </c>
      <c r="I184" s="429">
        <f>+'No Deducible 93'!Y203</f>
        <v>2975542.762070385</v>
      </c>
      <c r="J184" s="429">
        <f>+'Deducible 151'!Y203</f>
        <v>2925362.7441485734</v>
      </c>
      <c r="K184" s="429">
        <f>+'Deducible 185'!Y203</f>
        <v>2975542.762070385</v>
      </c>
      <c r="O184" s="453"/>
      <c r="P184" s="453"/>
      <c r="Q184" s="453"/>
      <c r="Z184" s="454"/>
      <c r="AA184" s="402"/>
    </row>
    <row r="185" spans="1:27" x14ac:dyDescent="0.25">
      <c r="A185" s="426">
        <f t="shared" si="37"/>
        <v>15.083333333333334</v>
      </c>
      <c r="B185" s="427">
        <f>'OptiMaxx plus'!$T$7+A185</f>
        <v>44.083333333333336</v>
      </c>
      <c r="C185" s="428">
        <f t="shared" si="38"/>
        <v>181</v>
      </c>
      <c r="D185" s="429">
        <f>+'No Deducible 93'!AD204</f>
        <v>3568853.0692011677</v>
      </c>
      <c r="E185" s="429">
        <f>+'Deducible 151'!AD204</f>
        <v>3480594.1815824276</v>
      </c>
      <c r="F185" s="429">
        <f>+'Deducible 185'!AD204</f>
        <v>3568853.0692011677</v>
      </c>
      <c r="H185" s="428">
        <f t="shared" si="39"/>
        <v>181</v>
      </c>
      <c r="I185" s="429">
        <f>+'No Deducible 93'!Y204</f>
        <v>3006203.3175172005</v>
      </c>
      <c r="J185" s="429">
        <f>+'Deducible 151'!Y204</f>
        <v>2955178.5616439846</v>
      </c>
      <c r="K185" s="429">
        <f>+'Deducible 185'!Y204</f>
        <v>3006203.3175172005</v>
      </c>
      <c r="O185" s="453"/>
      <c r="P185" s="453"/>
      <c r="Q185" s="453"/>
      <c r="Z185" s="454"/>
      <c r="AA185" s="402"/>
    </row>
    <row r="186" spans="1:27" x14ac:dyDescent="0.25">
      <c r="A186" s="426">
        <f t="shared" si="37"/>
        <v>15.166666666666666</v>
      </c>
      <c r="B186" s="427">
        <f>'OptiMaxx plus'!$T$7+A186</f>
        <v>44.166666666666664</v>
      </c>
      <c r="C186" s="428">
        <f t="shared" si="38"/>
        <v>182</v>
      </c>
      <c r="D186" s="429">
        <f>+'No Deducible 93'!AD205</f>
        <v>3603486.5267630983</v>
      </c>
      <c r="E186" s="429">
        <f>+'Deducible 151'!AD205</f>
        <v>3514061.817972342</v>
      </c>
      <c r="F186" s="429">
        <f>+'Deducible 185'!AD205</f>
        <v>3603486.5267630983</v>
      </c>
      <c r="H186" s="428">
        <f t="shared" si="39"/>
        <v>182</v>
      </c>
      <c r="I186" s="429">
        <f>+'No Deducible 93'!Y205</f>
        <v>3037077.4594917553</v>
      </c>
      <c r="J186" s="429">
        <f>+'Deducible 151'!Y205</f>
        <v>2985197.272510414</v>
      </c>
      <c r="K186" s="429">
        <f>+'Deducible 185'!Y205</f>
        <v>3037077.4594917553</v>
      </c>
      <c r="O186" s="453"/>
      <c r="P186" s="453"/>
      <c r="Q186" s="453"/>
      <c r="Z186" s="454"/>
      <c r="AA186" s="402"/>
    </row>
    <row r="187" spans="1:27" x14ac:dyDescent="0.25">
      <c r="A187" s="426">
        <f t="shared" si="37"/>
        <v>15.25</v>
      </c>
      <c r="B187" s="427">
        <f>'OptiMaxx plus'!$T$7+A187</f>
        <v>44.25</v>
      </c>
      <c r="C187" s="428">
        <f t="shared" si="38"/>
        <v>183</v>
      </c>
      <c r="D187" s="429">
        <f>+'No Deducible 93'!AD206</f>
        <v>3633226.6039216053</v>
      </c>
      <c r="E187" s="429">
        <f>+'Deducible 151'!AD206</f>
        <v>3542501.794898644</v>
      </c>
      <c r="F187" s="429">
        <f>+'Deducible 185'!AD206</f>
        <v>3633226.6039216053</v>
      </c>
      <c r="H187" s="428">
        <f t="shared" si="39"/>
        <v>183</v>
      </c>
      <c r="I187" s="429">
        <f>+'No Deducible 93'!Y206</f>
        <v>3068166.675873319</v>
      </c>
      <c r="J187" s="429">
        <f>+'Deducible 151'!Y206</f>
        <v>3015420.2574150194</v>
      </c>
      <c r="K187" s="429">
        <f>+'Deducible 185'!Y206</f>
        <v>3068166.675873319</v>
      </c>
      <c r="O187" s="453"/>
      <c r="P187" s="453"/>
      <c r="Q187" s="453"/>
      <c r="Z187" s="454"/>
      <c r="AA187" s="402"/>
    </row>
    <row r="188" spans="1:27" x14ac:dyDescent="0.25">
      <c r="A188" s="426">
        <f t="shared" si="37"/>
        <v>15.333333333333334</v>
      </c>
      <c r="B188" s="427">
        <f>'OptiMaxx plus'!$T$7+A188</f>
        <v>44.333333333333336</v>
      </c>
      <c r="C188" s="428">
        <f t="shared" si="38"/>
        <v>184</v>
      </c>
      <c r="D188" s="429">
        <f>+'No Deducible 93'!AD207</f>
        <v>3668307.9667635565</v>
      </c>
      <c r="E188" s="429">
        <f>+'Deducible 151'!AD207</f>
        <v>3576390.286235638</v>
      </c>
      <c r="F188" s="429">
        <f>+'Deducible 185'!AD207</f>
        <v>3668307.9667635565</v>
      </c>
      <c r="H188" s="428">
        <f t="shared" si="39"/>
        <v>184</v>
      </c>
      <c r="I188" s="429">
        <f>+'No Deducible 93'!Y207</f>
        <v>3099472.464905975</v>
      </c>
      <c r="J188" s="429">
        <f>+'Deducible 151'!Y207</f>
        <v>3045848.9064202476</v>
      </c>
      <c r="K188" s="429">
        <f>+'Deducible 185'!Y207</f>
        <v>3099472.464905975</v>
      </c>
      <c r="O188" s="453"/>
      <c r="P188" s="453"/>
      <c r="Q188" s="453"/>
      <c r="Z188" s="454"/>
      <c r="AA188" s="402"/>
    </row>
    <row r="189" spans="1:27" x14ac:dyDescent="0.25">
      <c r="A189" s="426">
        <f t="shared" si="37"/>
        <v>15.416666666666666</v>
      </c>
      <c r="B189" s="427">
        <f>'OptiMaxx plus'!$T$7+A189</f>
        <v>44.416666666666664</v>
      </c>
      <c r="C189" s="428">
        <f t="shared" si="38"/>
        <v>185</v>
      </c>
      <c r="D189" s="429">
        <f>+'No Deducible 93'!AD208</f>
        <v>3703632.715682851</v>
      </c>
      <c r="E189" s="429">
        <f>+'Deducible 151'!AD208</f>
        <v>3610508.5983115514</v>
      </c>
      <c r="F189" s="429">
        <f>+'Deducible 185'!AD208</f>
        <v>3703632.715682851</v>
      </c>
      <c r="H189" s="428">
        <f t="shared" si="39"/>
        <v>185</v>
      </c>
      <c r="I189" s="429">
        <f>+'No Deducible 93'!Y208</f>
        <v>3130996.3352708244</v>
      </c>
      <c r="J189" s="429">
        <f>+'Deducible 151'!Y208</f>
        <v>3076484.619047768</v>
      </c>
      <c r="K189" s="429">
        <f>+'Deducible 185'!Y208</f>
        <v>3130996.3352708244</v>
      </c>
      <c r="O189" s="453"/>
      <c r="P189" s="453"/>
      <c r="Q189" s="453"/>
      <c r="Z189" s="454"/>
      <c r="AA189" s="402"/>
    </row>
    <row r="190" spans="1:27" x14ac:dyDescent="0.25">
      <c r="A190" s="426">
        <f t="shared" si="37"/>
        <v>15.5</v>
      </c>
      <c r="B190" s="427">
        <f>'OptiMaxx plus'!$T$7+A190</f>
        <v>44.5</v>
      </c>
      <c r="C190" s="428">
        <f t="shared" si="38"/>
        <v>186</v>
      </c>
      <c r="D190" s="429">
        <f>+'No Deducible 93'!AD209</f>
        <v>3734012.4497767123</v>
      </c>
      <c r="E190" s="429">
        <f>+'Deducible 151'!AD209</f>
        <v>3639552.3426832817</v>
      </c>
      <c r="F190" s="429">
        <f>+'Deducible 185'!AD209</f>
        <v>3734012.4497767123</v>
      </c>
      <c r="H190" s="428">
        <f t="shared" si="39"/>
        <v>186</v>
      </c>
      <c r="I190" s="429">
        <f>+'No Deducible 93'!Y209</f>
        <v>3162739.8061586916</v>
      </c>
      <c r="J190" s="429">
        <f>+'Deducible 151'!Y209</f>
        <v>3107328.8043428413</v>
      </c>
      <c r="K190" s="429">
        <f>+'Deducible 185'!Y209</f>
        <v>3162739.8061586916</v>
      </c>
      <c r="O190" s="453"/>
      <c r="P190" s="453"/>
      <c r="Q190" s="453"/>
      <c r="Z190" s="454"/>
      <c r="AA190" s="402"/>
    </row>
    <row r="191" spans="1:27" x14ac:dyDescent="0.25">
      <c r="A191" s="426">
        <f t="shared" si="37"/>
        <v>15.583333333333334</v>
      </c>
      <c r="B191" s="427">
        <f>'OptiMaxx plus'!$T$7+A191</f>
        <v>44.583333333333336</v>
      </c>
      <c r="C191" s="428">
        <f t="shared" si="38"/>
        <v>187</v>
      </c>
      <c r="D191" s="429">
        <f>+'No Deducible 93'!AD210</f>
        <v>3769794.370513866</v>
      </c>
      <c r="E191" s="429">
        <f>+'Deducible 151'!AD210</f>
        <v>3674100.0420522727</v>
      </c>
      <c r="F191" s="429">
        <f>+'Deducible 185'!AD210</f>
        <v>3769794.370513866</v>
      </c>
      <c r="H191" s="428">
        <f t="shared" si="39"/>
        <v>187</v>
      </c>
      <c r="I191" s="429">
        <f>+'No Deducible 93'!Y210</f>
        <v>3194704.4073433373</v>
      </c>
      <c r="J191" s="429">
        <f>+'Deducible 151'!Y210</f>
        <v>3138382.880939127</v>
      </c>
      <c r="K191" s="429">
        <f>+'Deducible 185'!Y210</f>
        <v>3194704.4073433373</v>
      </c>
      <c r="O191" s="453"/>
      <c r="P191" s="453"/>
      <c r="Q191" s="453"/>
      <c r="Z191" s="454"/>
      <c r="AA191" s="402"/>
    </row>
    <row r="192" spans="1:27" x14ac:dyDescent="0.25">
      <c r="A192" s="426">
        <f t="shared" si="37"/>
        <v>15.666666666666666</v>
      </c>
      <c r="B192" s="427">
        <f>'OptiMaxx plus'!$T$7+A192</f>
        <v>44.666666666666664</v>
      </c>
      <c r="C192" s="428">
        <f t="shared" si="38"/>
        <v>188</v>
      </c>
      <c r="D192" s="429">
        <f>+'No Deducible 93'!AD211</f>
        <v>3805824.5480259643</v>
      </c>
      <c r="E192" s="429">
        <f>+'Deducible 151'!AD211</f>
        <v>3708882.0404945356</v>
      </c>
      <c r="F192" s="429">
        <f>+'Deducible 185'!AD211</f>
        <v>3805824.5480259643</v>
      </c>
      <c r="H192" s="428">
        <f t="shared" si="39"/>
        <v>188</v>
      </c>
      <c r="I192" s="429">
        <f>+'No Deducible 93'!Y211</f>
        <v>3226891.6792551796</v>
      </c>
      <c r="J192" s="429">
        <f>+'Deducible 151'!Y211</f>
        <v>3169648.2771239304</v>
      </c>
      <c r="K192" s="429">
        <f>+'Deducible 185'!Y211</f>
        <v>3226891.6792551796</v>
      </c>
      <c r="O192" s="453"/>
      <c r="P192" s="453"/>
      <c r="Q192" s="453"/>
      <c r="Z192" s="454"/>
      <c r="AA192" s="402"/>
    </row>
    <row r="193" spans="1:27" x14ac:dyDescent="0.25">
      <c r="A193" s="426">
        <f t="shared" si="37"/>
        <v>15.75</v>
      </c>
      <c r="B193" s="427">
        <f>'OptiMaxx plus'!$T$7+A193</f>
        <v>44.75</v>
      </c>
      <c r="C193" s="428">
        <f t="shared" si="38"/>
        <v>189</v>
      </c>
      <c r="D193" s="429">
        <f>+'No Deducible 93'!AD212</f>
        <v>3836857.547727104</v>
      </c>
      <c r="E193" s="429">
        <f>+'Deducible 151'!AD212</f>
        <v>3738542.1499075554</v>
      </c>
      <c r="F193" s="429">
        <f>+'Deducible 185'!AD212</f>
        <v>3836857.547727104</v>
      </c>
      <c r="H193" s="428">
        <f t="shared" si="39"/>
        <v>189</v>
      </c>
      <c r="I193" s="429">
        <f>+'No Deducible 93'!Y212</f>
        <v>3259303.1730555324</v>
      </c>
      <c r="J193" s="429">
        <f>+'Deducible 151'!Y212</f>
        <v>3201126.4309038976</v>
      </c>
      <c r="K193" s="429">
        <f>+'Deducible 185'!Y212</f>
        <v>3259303.1730555324</v>
      </c>
      <c r="O193" s="453"/>
      <c r="P193" s="453"/>
      <c r="Q193" s="453"/>
      <c r="Z193" s="454"/>
      <c r="AA193" s="402"/>
    </row>
    <row r="194" spans="1:27" x14ac:dyDescent="0.25">
      <c r="A194" s="426">
        <f t="shared" si="37"/>
        <v>15.833333333333334</v>
      </c>
      <c r="B194" s="427">
        <f>'OptiMaxx plus'!$T$7+A194</f>
        <v>44.833333333333336</v>
      </c>
      <c r="C194" s="428">
        <f t="shared" si="38"/>
        <v>190</v>
      </c>
      <c r="D194" s="429">
        <f>+'No Deducible 93'!AD213</f>
        <v>3873354.356829152</v>
      </c>
      <c r="E194" s="429">
        <f>+'Deducible 151'!AD213</f>
        <v>3773762.242212235</v>
      </c>
      <c r="F194" s="429">
        <f>+'Deducible 185'!AD213</f>
        <v>3873354.356829152</v>
      </c>
      <c r="H194" s="428">
        <f t="shared" si="39"/>
        <v>190</v>
      </c>
      <c r="I194" s="429">
        <f>+'No Deducible 93'!Y213</f>
        <v>3291940.4507113565</v>
      </c>
      <c r="J194" s="429">
        <f>+'Deducible 151'!Y213</f>
        <v>3232818.7900711508</v>
      </c>
      <c r="K194" s="429">
        <f>+'Deducible 185'!Y213</f>
        <v>3291940.4507113565</v>
      </c>
      <c r="O194" s="453"/>
      <c r="P194" s="453"/>
      <c r="Q194" s="453"/>
      <c r="Z194" s="454"/>
      <c r="AA194" s="402"/>
    </row>
    <row r="195" spans="1:27" x14ac:dyDescent="0.25">
      <c r="A195" s="426">
        <f t="shared" si="37"/>
        <v>15.916666666666666</v>
      </c>
      <c r="B195" s="427">
        <f>'OptiMaxx plus'!$T$7+A195</f>
        <v>44.916666666666664</v>
      </c>
      <c r="C195" s="428">
        <f t="shared" si="38"/>
        <v>191</v>
      </c>
      <c r="D195" s="429">
        <f>+'No Deducible 93'!AD214</f>
        <v>3910104.3931415193</v>
      </c>
      <c r="E195" s="429">
        <f>+'Deducible 151'!AD214</f>
        <v>3809221.2015747908</v>
      </c>
      <c r="F195" s="429">
        <f>+'Deducible 185'!AD214</f>
        <v>3910104.3931415193</v>
      </c>
      <c r="H195" s="428">
        <f t="shared" si="39"/>
        <v>191</v>
      </c>
      <c r="I195" s="429">
        <f>+'No Deducible 93'!Y214</f>
        <v>3324805.085070534</v>
      </c>
      <c r="J195" s="429">
        <f>+'Deducible 151'!Y214</f>
        <v>3264726.812269878</v>
      </c>
      <c r="K195" s="429">
        <f>+'Deducible 185'!Y214</f>
        <v>3324805.085070534</v>
      </c>
      <c r="O195" s="453"/>
      <c r="P195" s="453"/>
      <c r="Q195" s="453"/>
      <c r="Z195" s="454"/>
      <c r="AA195" s="402"/>
    </row>
    <row r="196" spans="1:27" x14ac:dyDescent="0.25">
      <c r="A196" s="426">
        <f t="shared" si="37"/>
        <v>16</v>
      </c>
      <c r="B196" s="427">
        <f>'OptiMaxx plus'!$T$7+A196</f>
        <v>45</v>
      </c>
      <c r="C196" s="428">
        <f t="shared" si="38"/>
        <v>192</v>
      </c>
      <c r="D196" s="429">
        <f>+'No Deducible 93'!AD215</f>
        <v>3941804.5551033723</v>
      </c>
      <c r="E196" s="429">
        <f>+'Deducible 151'!AD215</f>
        <v>3839510.5343911517</v>
      </c>
      <c r="F196" s="429">
        <f>+'Deducible 185'!AD215</f>
        <v>3941804.5551033723</v>
      </c>
      <c r="H196" s="428">
        <f t="shared" si="39"/>
        <v>192</v>
      </c>
      <c r="I196" s="429">
        <f>+'No Deducible 93'!Y215</f>
        <v>3357898.6599376677</v>
      </c>
      <c r="J196" s="429">
        <f>+'Deducible 151'!Y215</f>
        <v>3296851.9650633787</v>
      </c>
      <c r="K196" s="429">
        <f>+'Deducible 185'!Y215</f>
        <v>3357898.6599376677</v>
      </c>
      <c r="O196" s="453"/>
      <c r="P196" s="453"/>
      <c r="Q196" s="453"/>
      <c r="Z196" s="454"/>
      <c r="AA196" s="402"/>
    </row>
    <row r="197" spans="1:27" x14ac:dyDescent="0.25">
      <c r="A197" s="426">
        <f t="shared" si="37"/>
        <v>16.083333333333332</v>
      </c>
      <c r="B197" s="427">
        <f>'OptiMaxx plus'!$T$7+A197</f>
        <v>45.08333333333333</v>
      </c>
      <c r="C197" s="428">
        <f t="shared" si="38"/>
        <v>193</v>
      </c>
      <c r="D197" s="429">
        <f>+'No Deducible 93'!AD216</f>
        <v>3979025.390782784</v>
      </c>
      <c r="E197" s="429">
        <f>+'Deducible 151'!AD216</f>
        <v>3875410.1118049906</v>
      </c>
      <c r="F197" s="429">
        <f>+'Deducible 185'!AD216</f>
        <v>3979025.390782784</v>
      </c>
      <c r="H197" s="428">
        <f t="shared" si="39"/>
        <v>193</v>
      </c>
      <c r="I197" s="429">
        <f>+'No Deducible 93'!Y216</f>
        <v>3391217.2808746006</v>
      </c>
      <c r="J197" s="429">
        <f>+'Deducible 151'!Y216</f>
        <v>3329189.3658279935</v>
      </c>
      <c r="K197" s="429">
        <f>+'Deducible 185'!Y216</f>
        <v>3391217.2808746006</v>
      </c>
      <c r="O197" s="453"/>
      <c r="P197" s="453"/>
      <c r="Q197" s="453"/>
      <c r="Z197" s="454"/>
      <c r="AA197" s="402"/>
    </row>
    <row r="198" spans="1:27" x14ac:dyDescent="0.25">
      <c r="A198" s="426">
        <f t="shared" ref="A198:A261" si="40">+C198/12</f>
        <v>16.166666666666668</v>
      </c>
      <c r="B198" s="427">
        <f>'OptiMaxx plus'!$T$7+A198</f>
        <v>45.16666666666667</v>
      </c>
      <c r="C198" s="428">
        <f t="shared" si="38"/>
        <v>194</v>
      </c>
      <c r="D198" s="429">
        <f>+'No Deducible 93'!AD217</f>
        <v>4016504.4876746684</v>
      </c>
      <c r="E198" s="429">
        <f>+'Deducible 151'!AD217</f>
        <v>3911553.172450514</v>
      </c>
      <c r="F198" s="429">
        <f>+'Deducible 185'!AD217</f>
        <v>4016504.4876746684</v>
      </c>
      <c r="H198" s="428">
        <f t="shared" si="39"/>
        <v>194</v>
      </c>
      <c r="I198" s="429">
        <f>+'No Deducible 93'!Y217</f>
        <v>3424768.004865483</v>
      </c>
      <c r="J198" s="429">
        <f>+'Deducible 151'!Y217</f>
        <v>3361746.8190614735</v>
      </c>
      <c r="K198" s="429">
        <f>+'Deducible 185'!Y217</f>
        <v>3424768.004865483</v>
      </c>
      <c r="O198" s="453"/>
      <c r="P198" s="453"/>
      <c r="Q198" s="453"/>
      <c r="Z198" s="454"/>
      <c r="AA198" s="402"/>
    </row>
    <row r="199" spans="1:27" x14ac:dyDescent="0.25">
      <c r="A199" s="426">
        <f t="shared" si="40"/>
        <v>16.25</v>
      </c>
      <c r="B199" s="427">
        <f>'OptiMaxx plus'!$T$7+A199</f>
        <v>45.25</v>
      </c>
      <c r="C199" s="428">
        <f t="shared" ref="C199:C262" si="41">+C198+1</f>
        <v>195</v>
      </c>
      <c r="D199" s="429">
        <f>+'No Deducible 93'!AD218</f>
        <v>4048880.436589432</v>
      </c>
      <c r="E199" s="429">
        <f>+'Deducible 151'!AD218</f>
        <v>3942478.406147535</v>
      </c>
      <c r="F199" s="429">
        <f>+'Deducible 185'!AD218</f>
        <v>4048880.436589432</v>
      </c>
      <c r="H199" s="428">
        <f t="shared" ref="H199:H262" si="42">+H198+1</f>
        <v>195</v>
      </c>
      <c r="I199" s="429">
        <f>+'No Deducible 93'!Y218</f>
        <v>3458552.4487787844</v>
      </c>
      <c r="J199" s="429">
        <f>+'Deducible 151'!Y218</f>
        <v>3394525.822196757</v>
      </c>
      <c r="K199" s="429">
        <f>+'Deducible 185'!Y218</f>
        <v>3458552.4487787844</v>
      </c>
      <c r="O199" s="453"/>
      <c r="P199" s="453"/>
      <c r="Q199" s="453"/>
      <c r="Z199" s="454"/>
      <c r="AA199" s="402"/>
    </row>
    <row r="200" spans="1:27" x14ac:dyDescent="0.25">
      <c r="A200" s="426">
        <f t="shared" si="40"/>
        <v>16.333333333333332</v>
      </c>
      <c r="B200" s="427">
        <f>'OptiMaxx plus'!$T$7+A200</f>
        <v>45.33333333333333</v>
      </c>
      <c r="C200" s="428">
        <f t="shared" si="41"/>
        <v>196</v>
      </c>
      <c r="D200" s="429">
        <f>+'No Deducible 93'!AD219</f>
        <v>4086845.6033099517</v>
      </c>
      <c r="E200" s="429">
        <f>+'Deducible 151'!AD219</f>
        <v>3979077.42337032</v>
      </c>
      <c r="F200" s="429">
        <f>+'Deducible 185'!AD219</f>
        <v>4086845.6033099517</v>
      </c>
      <c r="H200" s="428">
        <f t="shared" si="42"/>
        <v>196</v>
      </c>
      <c r="I200" s="429">
        <f>+'No Deducible 93'!Y219</f>
        <v>3492572.2407463496</v>
      </c>
      <c r="J200" s="429">
        <f>+'Deducible 151'!Y219</f>
        <v>3427527.88285665</v>
      </c>
      <c r="K200" s="429">
        <f>+'Deducible 185'!Y219</f>
        <v>3492572.2407463496</v>
      </c>
      <c r="O200" s="453"/>
      <c r="P200" s="453"/>
      <c r="Q200" s="453"/>
      <c r="Z200" s="454"/>
      <c r="AA200" s="402"/>
    </row>
    <row r="201" spans="1:27" x14ac:dyDescent="0.25">
      <c r="A201" s="426">
        <f t="shared" si="40"/>
        <v>16.416666666666668</v>
      </c>
      <c r="B201" s="427">
        <f>'OptiMaxx plus'!$T$7+A201</f>
        <v>45.41666666666667</v>
      </c>
      <c r="C201" s="428">
        <f t="shared" si="41"/>
        <v>197</v>
      </c>
      <c r="D201" s="429">
        <f>+'No Deducible 93'!AD220</f>
        <v>4125074.2065969664</v>
      </c>
      <c r="E201" s="429">
        <f>+'Deducible 151'!AD220</f>
        <v>4015924.675715194</v>
      </c>
      <c r="F201" s="429">
        <f>+'Deducible 185'!AD220</f>
        <v>4125074.2065969664</v>
      </c>
      <c r="H201" s="428">
        <f t="shared" si="42"/>
        <v>197</v>
      </c>
      <c r="I201" s="429">
        <f>+'No Deducible 93'!Y220</f>
        <v>3526829.02024186</v>
      </c>
      <c r="J201" s="429">
        <f>+'Deducible 151'!Y220</f>
        <v>3460754.5189231657</v>
      </c>
      <c r="K201" s="429">
        <f>+'Deducible 185'!Y220</f>
        <v>3526829.02024186</v>
      </c>
      <c r="O201" s="453"/>
      <c r="P201" s="453"/>
      <c r="Q201" s="453"/>
      <c r="Z201" s="454"/>
      <c r="AA201" s="402"/>
    </row>
    <row r="202" spans="1:27" x14ac:dyDescent="0.25">
      <c r="A202" s="426">
        <f t="shared" si="40"/>
        <v>16.5</v>
      </c>
      <c r="B202" s="427">
        <f>'OptiMaxx plus'!$T$7+A202</f>
        <v>45.5</v>
      </c>
      <c r="C202" s="428">
        <f t="shared" si="41"/>
        <v>198</v>
      </c>
      <c r="D202" s="429">
        <f>+'No Deducible 93'!AD221</f>
        <v>4158145.8823296786</v>
      </c>
      <c r="E202" s="429">
        <f>+'Deducible 151'!AD221</f>
        <v>4047505.520948224</v>
      </c>
      <c r="F202" s="429">
        <f>+'Deducible 185'!AD221</f>
        <v>4158145.8823296786</v>
      </c>
      <c r="H202" s="428">
        <f t="shared" si="42"/>
        <v>198</v>
      </c>
      <c r="I202" s="429">
        <f>+'No Deducible 93'!Y221</f>
        <v>3561324.4381598434</v>
      </c>
      <c r="J202" s="429">
        <f>+'Deducible 151'!Y221</f>
        <v>3494207.258607339</v>
      </c>
      <c r="K202" s="429">
        <f>+'Deducible 185'!Y221</f>
        <v>3561324.4381598434</v>
      </c>
      <c r="O202" s="453"/>
      <c r="P202" s="453"/>
      <c r="Q202" s="453"/>
      <c r="Z202" s="454"/>
      <c r="AA202" s="402"/>
    </row>
    <row r="203" spans="1:27" x14ac:dyDescent="0.25">
      <c r="A203" s="426">
        <f t="shared" si="40"/>
        <v>16.583333333333332</v>
      </c>
      <c r="B203" s="427">
        <f>'OptiMaxx plus'!$T$7+A203</f>
        <v>45.58333333333333</v>
      </c>
      <c r="C203" s="428">
        <f t="shared" si="41"/>
        <v>199</v>
      </c>
      <c r="D203" s="429">
        <f>+'No Deducible 93'!AD222</f>
        <v>4196870.617914732</v>
      </c>
      <c r="E203" s="429">
        <f>+'Deducible 151'!AD222</f>
        <v>4084817.97902543</v>
      </c>
      <c r="F203" s="429">
        <f>+'Deducible 185'!AD222</f>
        <v>4196870.617914732</v>
      </c>
      <c r="H203" s="428">
        <f t="shared" si="42"/>
        <v>199</v>
      </c>
      <c r="I203" s="429">
        <f>+'No Deducible 93'!Y222</f>
        <v>3596060.1568952342</v>
      </c>
      <c r="J203" s="429">
        <f>+'Deducible 151'!Y222</f>
        <v>3527887.640519513</v>
      </c>
      <c r="K203" s="429">
        <f>+'Deducible 185'!Y222</f>
        <v>3596060.1568952342</v>
      </c>
      <c r="O203" s="453"/>
      <c r="P203" s="453"/>
      <c r="Q203" s="453"/>
      <c r="Z203" s="454"/>
      <c r="AA203" s="402"/>
    </row>
    <row r="204" spans="1:27" x14ac:dyDescent="0.25">
      <c r="A204" s="426">
        <f t="shared" si="40"/>
        <v>16.666666666666668</v>
      </c>
      <c r="B204" s="427">
        <f>'OptiMaxx plus'!$T$7+A204</f>
        <v>45.66666666666667</v>
      </c>
      <c r="C204" s="428">
        <f t="shared" si="41"/>
        <v>200</v>
      </c>
      <c r="D204" s="429">
        <f>+'No Deducible 93'!AD223</f>
        <v>4235864.071476234</v>
      </c>
      <c r="E204" s="429">
        <f>+'Deducible 151'!AD223</f>
        <v>4122383.5193170677</v>
      </c>
      <c r="F204" s="429">
        <f>+'Deducible 185'!AD223</f>
        <v>4235864.071476234</v>
      </c>
      <c r="H204" s="428">
        <f t="shared" si="42"/>
        <v>200</v>
      </c>
      <c r="I204" s="429">
        <f>+'No Deducible 93'!Y223</f>
        <v>3631037.850423486</v>
      </c>
      <c r="J204" s="429">
        <f>+'Deducible 151'!Y223</f>
        <v>3561797.213740105</v>
      </c>
      <c r="K204" s="429">
        <f>+'Deducible 185'!Y223</f>
        <v>3631037.850423486</v>
      </c>
      <c r="O204" s="453"/>
      <c r="P204" s="453"/>
      <c r="Q204" s="453"/>
      <c r="Z204" s="454"/>
      <c r="AA204" s="402"/>
    </row>
    <row r="205" spans="1:27" x14ac:dyDescent="0.25">
      <c r="A205" s="426">
        <f t="shared" si="40"/>
        <v>16.75</v>
      </c>
      <c r="B205" s="427">
        <f>'OptiMaxx plus'!$T$7+A205</f>
        <v>45.75</v>
      </c>
      <c r="C205" s="428">
        <f t="shared" si="41"/>
        <v>201</v>
      </c>
      <c r="D205" s="429">
        <f>+'No Deducible 93'!AD224</f>
        <v>4269646.269142046</v>
      </c>
      <c r="E205" s="429">
        <f>+'Deducible 151'!AD224</f>
        <v>4154633.6467345627</v>
      </c>
      <c r="F205" s="429">
        <f>+'Deducible 185'!AD224</f>
        <v>4269646.269142046</v>
      </c>
      <c r="H205" s="428">
        <f t="shared" si="42"/>
        <v>201</v>
      </c>
      <c r="I205" s="429">
        <f>+'No Deducible 93'!Y224</f>
        <v>3666259.2043812424</v>
      </c>
      <c r="J205" s="429">
        <f>+'Deducible 151'!Y224</f>
        <v>3595937.5378908557</v>
      </c>
      <c r="K205" s="429">
        <f>+'Deducible 185'!Y224</f>
        <v>3666259.2043812424</v>
      </c>
      <c r="O205" s="453"/>
      <c r="P205" s="453"/>
      <c r="Q205" s="453"/>
      <c r="Z205" s="454"/>
      <c r="AA205" s="402"/>
    </row>
    <row r="206" spans="1:27" x14ac:dyDescent="0.25">
      <c r="A206" s="426">
        <f t="shared" si="40"/>
        <v>16.833333333333332</v>
      </c>
      <c r="B206" s="427">
        <f>'OptiMaxx plus'!$T$7+A206</f>
        <v>45.83333333333333</v>
      </c>
      <c r="C206" s="428">
        <f t="shared" si="41"/>
        <v>202</v>
      </c>
      <c r="D206" s="429">
        <f>+'No Deducible 93'!AD225</f>
        <v>4309146.127374014</v>
      </c>
      <c r="E206" s="429">
        <f>+'Deducible 151'!AD225</f>
        <v>4192673.830824637</v>
      </c>
      <c r="F206" s="429">
        <f>+'Deducible 185'!AD225</f>
        <v>4309146.127374014</v>
      </c>
      <c r="H206" s="428">
        <f t="shared" si="42"/>
        <v>202</v>
      </c>
      <c r="I206" s="429">
        <f>+'No Deducible 93'!Y225</f>
        <v>3701725.916147574</v>
      </c>
      <c r="J206" s="429">
        <f>+'Deducible 151'!Y225</f>
        <v>3630310.183206561</v>
      </c>
      <c r="K206" s="429">
        <f>+'Deducible 185'!Y225</f>
        <v>3701725.916147574</v>
      </c>
      <c r="O206" s="453"/>
      <c r="P206" s="453"/>
      <c r="Q206" s="453"/>
      <c r="Z206" s="454"/>
      <c r="AA206" s="402"/>
    </row>
    <row r="207" spans="1:27" x14ac:dyDescent="0.25">
      <c r="A207" s="426">
        <f t="shared" si="40"/>
        <v>16.916666666666668</v>
      </c>
      <c r="B207" s="427">
        <f>'OptiMaxx plus'!$T$7+A207</f>
        <v>45.91666666666667</v>
      </c>
      <c r="C207" s="428">
        <f t="shared" si="41"/>
        <v>203</v>
      </c>
      <c r="D207" s="429">
        <f>+'No Deducible 93'!AD226</f>
        <v>4348920.093248445</v>
      </c>
      <c r="E207" s="429">
        <f>+'Deducible 151'!AD226</f>
        <v>4230972.0413560765</v>
      </c>
      <c r="F207" s="429">
        <f>+'Deducible 185'!AD226</f>
        <v>4348920.093248445</v>
      </c>
      <c r="H207" s="428">
        <f t="shared" si="42"/>
        <v>203</v>
      </c>
      <c r="I207" s="429">
        <f>+'No Deducible 93'!Y226</f>
        <v>3737439.694925775</v>
      </c>
      <c r="J207" s="429">
        <f>+'Deducible 151'!Y226</f>
        <v>3664916.7306072917</v>
      </c>
      <c r="K207" s="429">
        <f>+'Deducible 185'!Y226</f>
        <v>3737439.694925775</v>
      </c>
      <c r="O207" s="453"/>
      <c r="P207" s="453"/>
      <c r="Q207" s="453"/>
      <c r="Z207" s="454"/>
      <c r="AA207" s="402"/>
    </row>
    <row r="208" spans="1:27" x14ac:dyDescent="0.25">
      <c r="A208" s="426">
        <f t="shared" si="40"/>
        <v>17</v>
      </c>
      <c r="B208" s="427">
        <f>'OptiMaxx plus'!$T$7+A208</f>
        <v>46</v>
      </c>
      <c r="C208" s="428">
        <f t="shared" si="41"/>
        <v>204</v>
      </c>
      <c r="D208" s="429">
        <f>+'No Deducible 93'!AD227</f>
        <v>4383427.9209829755</v>
      </c>
      <c r="E208" s="429">
        <f>+'Deducible 151'!AD227</f>
        <v>4263905.4045010125</v>
      </c>
      <c r="F208" s="429">
        <f>+'Deducible 185'!AD227</f>
        <v>4383427.9209829755</v>
      </c>
      <c r="H208" s="428">
        <f t="shared" si="42"/>
        <v>204</v>
      </c>
      <c r="I208" s="429">
        <f>+'No Deducible 93'!Y227</f>
        <v>3773402.2618257343</v>
      </c>
      <c r="J208" s="429">
        <f>+'Deducible 151'!Y227</f>
        <v>3699758.771771107</v>
      </c>
      <c r="K208" s="429">
        <f>+'Deducible 185'!Y227</f>
        <v>3773402.2618257343</v>
      </c>
      <c r="O208" s="453"/>
      <c r="P208" s="453"/>
      <c r="Q208" s="453"/>
      <c r="Z208" s="454"/>
      <c r="AA208" s="402"/>
    </row>
    <row r="209" spans="1:27" x14ac:dyDescent="0.25">
      <c r="A209" s="426">
        <f t="shared" si="40"/>
        <v>17.083333333333332</v>
      </c>
      <c r="B209" s="427">
        <f>'OptiMaxx plus'!$T$7+A209</f>
        <v>46.08333333333333</v>
      </c>
      <c r="C209" s="428">
        <f t="shared" si="41"/>
        <v>205</v>
      </c>
      <c r="D209" s="429">
        <f>+'No Deducible 93'!AD228</f>
        <v>4423713.069352909</v>
      </c>
      <c r="E209" s="429">
        <f>+'Deducible 151'!AD228</f>
        <v>4302681.275098717</v>
      </c>
      <c r="F209" s="429">
        <f>+'Deducible 185'!AD228</f>
        <v>4423713.069352909</v>
      </c>
      <c r="H209" s="428">
        <f t="shared" si="42"/>
        <v>205</v>
      </c>
      <c r="I209" s="429">
        <f>+'No Deducible 93'!Y228</f>
        <v>3809609.641100043</v>
      </c>
      <c r="J209" s="429">
        <f>+'Deducible 151'!Y228</f>
        <v>3734831.2946267533</v>
      </c>
      <c r="K209" s="429">
        <f>+'Deducible 185'!Y228</f>
        <v>3809609.641100043</v>
      </c>
      <c r="O209" s="453"/>
      <c r="P209" s="453"/>
      <c r="Q209" s="453"/>
      <c r="Z209" s="454"/>
      <c r="AA209" s="402"/>
    </row>
    <row r="210" spans="1:27" x14ac:dyDescent="0.25">
      <c r="A210" s="426">
        <f t="shared" si="40"/>
        <v>17.166666666666668</v>
      </c>
      <c r="B210" s="427">
        <f>'OptiMaxx plus'!$T$7+A210</f>
        <v>46.16666666666667</v>
      </c>
      <c r="C210" s="428">
        <f t="shared" si="41"/>
        <v>206</v>
      </c>
      <c r="D210" s="429">
        <f>+'No Deducible 93'!AD229</f>
        <v>4464277.785764685</v>
      </c>
      <c r="E210" s="429">
        <f>+'Deducible 151'!AD229</f>
        <v>4341720.170459959</v>
      </c>
      <c r="F210" s="429">
        <f>+'Deducible 185'!AD229</f>
        <v>4464277.785764685</v>
      </c>
      <c r="H210" s="428">
        <f t="shared" si="42"/>
        <v>206</v>
      </c>
      <c r="I210" s="429">
        <f>+'No Deducible 93'!Y229</f>
        <v>3846069.246999246</v>
      </c>
      <c r="J210" s="429">
        <f>+'Deducible 151'!Y229</f>
        <v>3770142.482157396</v>
      </c>
      <c r="K210" s="429">
        <f>+'Deducible 185'!Y229</f>
        <v>3846069.246999246</v>
      </c>
      <c r="O210" s="453"/>
      <c r="P210" s="453"/>
      <c r="Q210" s="453"/>
      <c r="Z210" s="454"/>
      <c r="AA210" s="402"/>
    </row>
    <row r="211" spans="1:27" x14ac:dyDescent="0.25">
      <c r="A211" s="426">
        <f t="shared" si="40"/>
        <v>17.25</v>
      </c>
      <c r="B211" s="427">
        <f>'OptiMaxx plus'!$T$7+A211</f>
        <v>46.25</v>
      </c>
      <c r="C211" s="428">
        <f t="shared" si="41"/>
        <v>207</v>
      </c>
      <c r="D211" s="429">
        <f>+'No Deducible 93'!AD230</f>
        <v>4499520.882668166</v>
      </c>
      <c r="E211" s="429">
        <f>+'Deducible 151'!AD230</f>
        <v>4375344.306693297</v>
      </c>
      <c r="F211" s="429">
        <f>+'Deducible 185'!AD230</f>
        <v>4499520.882668166</v>
      </c>
      <c r="H211" s="428">
        <f t="shared" si="42"/>
        <v>207</v>
      </c>
      <c r="I211" s="429">
        <f>+'No Deducible 93'!Y230</f>
        <v>3882782.836575955</v>
      </c>
      <c r="J211" s="429">
        <f>+'Deducible 151'!Y230</f>
        <v>3805693.9584499975</v>
      </c>
      <c r="K211" s="429">
        <f>+'Deducible 185'!Y230</f>
        <v>3882782.836575955</v>
      </c>
      <c r="O211" s="453"/>
      <c r="P211" s="453"/>
      <c r="Q211" s="453"/>
      <c r="Z211" s="454"/>
      <c r="AA211" s="402"/>
    </row>
    <row r="212" spans="1:27" x14ac:dyDescent="0.25">
      <c r="A212" s="426">
        <f t="shared" si="40"/>
        <v>17.333333333333332</v>
      </c>
      <c r="B212" s="427">
        <f>'OptiMaxx plus'!$T$7+A212</f>
        <v>46.33333333333333</v>
      </c>
      <c r="C212" s="428">
        <f t="shared" si="41"/>
        <v>208</v>
      </c>
      <c r="D212" s="429">
        <f>+'No Deducible 93'!AD231</f>
        <v>4540613.115511717</v>
      </c>
      <c r="E212" s="429">
        <f>+'Deducible 151'!AD231</f>
        <v>4414877.213338558</v>
      </c>
      <c r="F212" s="429">
        <f>+'Deducible 185'!AD231</f>
        <v>4540613.115511717</v>
      </c>
      <c r="H212" s="428">
        <f t="shared" si="42"/>
        <v>208</v>
      </c>
      <c r="I212" s="429">
        <f>+'No Deducible 93'!Y231</f>
        <v>3919752.1791227027</v>
      </c>
      <c r="J212" s="429">
        <f>+'Deducible 151'!Y231</f>
        <v>3841487.3586432524</v>
      </c>
      <c r="K212" s="429">
        <f>+'Deducible 185'!Y231</f>
        <v>3919752.1791227027</v>
      </c>
      <c r="O212" s="453"/>
      <c r="P212" s="453"/>
      <c r="Q212" s="453"/>
      <c r="Z212" s="454"/>
      <c r="AA212" s="402"/>
    </row>
    <row r="213" spans="1:27" x14ac:dyDescent="0.25">
      <c r="A213" s="426">
        <f t="shared" si="40"/>
        <v>17.416666666666668</v>
      </c>
      <c r="B213" s="427">
        <f>'OptiMaxx plus'!$T$7+A213</f>
        <v>46.41666666666667</v>
      </c>
      <c r="C213" s="428">
        <f t="shared" si="41"/>
        <v>209</v>
      </c>
      <c r="D213" s="429">
        <f>+'No Deducible 93'!AD232</f>
        <v>4581990.528523477</v>
      </c>
      <c r="E213" s="429">
        <f>+'Deducible 151'!AD232</f>
        <v>4454678.288275039</v>
      </c>
      <c r="F213" s="429">
        <f>+'Deducible 185'!AD232</f>
        <v>4581990.528523477</v>
      </c>
      <c r="H213" s="428">
        <f t="shared" si="42"/>
        <v>209</v>
      </c>
      <c r="I213" s="429">
        <f>+'No Deducible 93'!Y232</f>
        <v>3956979.0562572065</v>
      </c>
      <c r="J213" s="429">
        <f>+'Deducible 151'!Y232</f>
        <v>3877524.3290027967</v>
      </c>
      <c r="K213" s="429">
        <f>+'Deducible 185'!Y232</f>
        <v>3956979.0562572065</v>
      </c>
      <c r="O213" s="453"/>
      <c r="P213" s="453"/>
      <c r="Q213" s="453"/>
      <c r="Z213" s="454"/>
      <c r="AA213" s="402"/>
    </row>
    <row r="214" spans="1:27" x14ac:dyDescent="0.25">
      <c r="A214" s="426">
        <f t="shared" si="40"/>
        <v>17.5</v>
      </c>
      <c r="B214" s="427">
        <f>'OptiMaxx plus'!$T$7+A214</f>
        <v>46.5</v>
      </c>
      <c r="C214" s="428">
        <f t="shared" si="41"/>
        <v>210</v>
      </c>
      <c r="D214" s="429">
        <f>+'No Deducible 93'!AD233</f>
        <v>4617990.315570785</v>
      </c>
      <c r="E214" s="429">
        <f>+'Deducible 151'!AD233</f>
        <v>4489014.301646364</v>
      </c>
      <c r="F214" s="429">
        <f>+'Deducible 185'!AD233</f>
        <v>4617990.315570785</v>
      </c>
      <c r="H214" s="428">
        <f t="shared" si="42"/>
        <v>210</v>
      </c>
      <c r="I214" s="429">
        <f>+'No Deducible 93'!Y233</f>
        <v>3994465.2620082297</v>
      </c>
      <c r="J214" s="429">
        <f>+'Deducible 151'!Y233</f>
        <v>3913806.5269969227</v>
      </c>
      <c r="K214" s="429">
        <f>+'Deducible 185'!Y233</f>
        <v>3994465.2620082297</v>
      </c>
      <c r="O214" s="453"/>
      <c r="P214" s="453"/>
      <c r="Q214" s="453"/>
      <c r="Z214" s="454"/>
      <c r="AA214" s="402"/>
    </row>
    <row r="215" spans="1:27" x14ac:dyDescent="0.25">
      <c r="A215" s="426">
        <f t="shared" si="40"/>
        <v>17.583333333333332</v>
      </c>
      <c r="B215" s="427">
        <f>'OptiMaxx plus'!$T$7+A215</f>
        <v>46.58333333333333</v>
      </c>
      <c r="C215" s="428">
        <f t="shared" si="41"/>
        <v>211</v>
      </c>
      <c r="D215" s="429">
        <f>+'No Deducible 93'!AD234</f>
        <v>4659906.172154076</v>
      </c>
      <c r="E215" s="429">
        <f>+'Deducible 151'!AD234</f>
        <v>4529319.414343448</v>
      </c>
      <c r="F215" s="429">
        <f>+'Deducible 185'!AD234</f>
        <v>4659906.172154076</v>
      </c>
      <c r="H215" s="428">
        <f t="shared" si="42"/>
        <v>211</v>
      </c>
      <c r="I215" s="429">
        <f>+'No Deducible 93'!Y234</f>
        <v>4032212.602902039</v>
      </c>
      <c r="J215" s="429">
        <f>+'Deducible 151'!Y234</f>
        <v>3950335.621372814</v>
      </c>
      <c r="K215" s="429">
        <f>+'Deducible 185'!Y234</f>
        <v>4032212.602902039</v>
      </c>
      <c r="O215" s="453"/>
      <c r="P215" s="453"/>
      <c r="Q215" s="453"/>
      <c r="Z215" s="454"/>
      <c r="AA215" s="402"/>
    </row>
    <row r="216" spans="1:27" x14ac:dyDescent="0.25">
      <c r="A216" s="426">
        <f t="shared" si="40"/>
        <v>17.666666666666668</v>
      </c>
      <c r="B216" s="427">
        <f>'OptiMaxx plus'!$T$7+A216</f>
        <v>46.66666666666667</v>
      </c>
      <c r="C216" s="428">
        <f t="shared" si="41"/>
        <v>212</v>
      </c>
      <c r="D216" s="429">
        <f>+'No Deducible 93'!AD235</f>
        <v>4702112.936150329</v>
      </c>
      <c r="E216" s="429">
        <f>+'Deducible 151'!AD235</f>
        <v>4569897.942013157</v>
      </c>
      <c r="F216" s="429">
        <f>+'Deducible 185'!AD235</f>
        <v>4702112.936150329</v>
      </c>
      <c r="H216" s="428">
        <f t="shared" si="42"/>
        <v>212</v>
      </c>
      <c r="I216" s="429">
        <f>+'No Deducible 93'!Y235</f>
        <v>4070222.898049462</v>
      </c>
      <c r="J216" s="429">
        <f>+'Deducible 151'!Y235</f>
        <v>3987113.2922332943</v>
      </c>
      <c r="K216" s="429">
        <f>+'Deducible 185'!Y235</f>
        <v>4070222.898049462</v>
      </c>
      <c r="O216" s="453"/>
      <c r="P216" s="453"/>
      <c r="Q216" s="453"/>
      <c r="Z216" s="454"/>
      <c r="AA216" s="402"/>
    </row>
    <row r="217" spans="1:27" x14ac:dyDescent="0.25">
      <c r="A217" s="426">
        <f t="shared" si="40"/>
        <v>17.75</v>
      </c>
      <c r="B217" s="427">
        <f>'OptiMaxx plus'!$T$7+A217</f>
        <v>46.75</v>
      </c>
      <c r="C217" s="428">
        <f t="shared" si="41"/>
        <v>213</v>
      </c>
      <c r="D217" s="429">
        <f>+'No Deducible 93'!AD236</f>
        <v>4738885.498168053</v>
      </c>
      <c r="E217" s="429">
        <f>+'Deducible 151'!AD236</f>
        <v>4604960.667398781</v>
      </c>
      <c r="F217" s="429">
        <f>+'Deducible 185'!AD236</f>
        <v>4738885.498168053</v>
      </c>
      <c r="H217" s="428">
        <f t="shared" si="42"/>
        <v>213</v>
      </c>
      <c r="I217" s="429">
        <f>+'No Deducible 93'!Y236</f>
        <v>4108497.9792335564</v>
      </c>
      <c r="J217" s="429">
        <f>+'Deducible 151'!Y236</f>
        <v>4024141.231114104</v>
      </c>
      <c r="K217" s="429">
        <f>+'Deducible 185'!Y236</f>
        <v>4108497.9792335564</v>
      </c>
      <c r="O217" s="453"/>
      <c r="P217" s="453"/>
      <c r="Q217" s="453"/>
      <c r="Z217" s="454"/>
      <c r="AA217" s="402"/>
    </row>
    <row r="218" spans="1:27" x14ac:dyDescent="0.25">
      <c r="A218" s="426">
        <f t="shared" si="40"/>
        <v>17.833333333333332</v>
      </c>
      <c r="B218" s="427">
        <f>'OptiMaxx plus'!$T$7+A218</f>
        <v>46.83333333333333</v>
      </c>
      <c r="C218" s="428">
        <f t="shared" si="41"/>
        <v>214</v>
      </c>
      <c r="D218" s="429">
        <f>+'No Deducible 93'!AD237</f>
        <v>4781641.860890214</v>
      </c>
      <c r="E218" s="429">
        <f>+'Deducible 151'!AD237</f>
        <v>4646053.4641463645</v>
      </c>
      <c r="F218" s="429">
        <f>+'Deducible 185'!AD237</f>
        <v>4781641.860890214</v>
      </c>
      <c r="H218" s="428">
        <f t="shared" si="42"/>
        <v>214</v>
      </c>
      <c r="I218" s="429">
        <f>+'No Deducible 93'!Y237</f>
        <v>4147039.6909978837</v>
      </c>
      <c r="J218" s="429">
        <f>+'Deducible 151'!Y237</f>
        <v>4061421.141061698</v>
      </c>
      <c r="K218" s="429">
        <f>+'Deducible 185'!Y237</f>
        <v>4147039.6909978837</v>
      </c>
      <c r="O218" s="453"/>
      <c r="P218" s="453"/>
      <c r="Q218" s="453"/>
      <c r="Z218" s="454"/>
      <c r="AA218" s="402"/>
    </row>
    <row r="219" spans="1:27" x14ac:dyDescent="0.25">
      <c r="A219" s="426">
        <f t="shared" si="40"/>
        <v>17.916666666666668</v>
      </c>
      <c r="B219" s="427">
        <f>'OptiMaxx plus'!$T$7+A219</f>
        <v>46.91666666666667</v>
      </c>
      <c r="C219" s="428">
        <f t="shared" si="41"/>
        <v>215</v>
      </c>
      <c r="D219" s="429">
        <f>+'No Deducible 93'!AD238</f>
        <v>4824694.975777873</v>
      </c>
      <c r="E219" s="429">
        <f>+'Deducible 151'!AD238</f>
        <v>4687425.027796839</v>
      </c>
      <c r="F219" s="429">
        <f>+'Deducible 185'!AD238</f>
        <v>4824694.975777873</v>
      </c>
      <c r="H219" s="428">
        <f t="shared" si="42"/>
        <v>215</v>
      </c>
      <c r="I219" s="429">
        <f>+'No Deducible 93'!Y238</f>
        <v>4185849.8907354036</v>
      </c>
      <c r="J219" s="429">
        <f>+'Deducible 151'!Y238</f>
        <v>4098954.736711577</v>
      </c>
      <c r="K219" s="429">
        <f>+'Deducible 185'!Y238</f>
        <v>4185849.8907354036</v>
      </c>
      <c r="O219" s="453"/>
      <c r="P219" s="453"/>
      <c r="Q219" s="453"/>
      <c r="Z219" s="454"/>
      <c r="AA219" s="402"/>
    </row>
    <row r="220" spans="1:27" x14ac:dyDescent="0.25">
      <c r="A220" s="426">
        <f t="shared" si="40"/>
        <v>18</v>
      </c>
      <c r="B220" s="427">
        <f>'OptiMaxx plus'!$T$7+A220</f>
        <v>47</v>
      </c>
      <c r="C220" s="428">
        <f t="shared" si="41"/>
        <v>216</v>
      </c>
      <c r="D220" s="429">
        <f>+'No Deducible 93'!AD239</f>
        <v>4862256.737828441</v>
      </c>
      <c r="E220" s="429">
        <f>+'Deducible 151'!AD239</f>
        <v>4723229.606972822</v>
      </c>
      <c r="F220" s="429">
        <f>+'Deducible 185'!AD239</f>
        <v>4862256.737828441</v>
      </c>
      <c r="H220" s="428">
        <f t="shared" si="42"/>
        <v>216</v>
      </c>
      <c r="I220" s="429">
        <f>+'No Deducible 93'!Y239</f>
        <v>4224930.448777985</v>
      </c>
      <c r="J220" s="429">
        <f>+'Deducible 151'!Y239</f>
        <v>4136743.744367148</v>
      </c>
      <c r="K220" s="429">
        <f>+'Deducible 185'!Y239</f>
        <v>4224930.448777985</v>
      </c>
      <c r="O220" s="453"/>
      <c r="P220" s="453"/>
      <c r="Q220" s="453"/>
      <c r="Z220" s="454"/>
      <c r="AA220" s="402"/>
    </row>
    <row r="221" spans="1:27" x14ac:dyDescent="0.25">
      <c r="A221" s="426">
        <f t="shared" si="40"/>
        <v>18.083333333333332</v>
      </c>
      <c r="B221" s="427">
        <f>'OptiMaxx plus'!$T$7+A221</f>
        <v>47.08333333333333</v>
      </c>
      <c r="C221" s="428">
        <f t="shared" si="41"/>
        <v>217</v>
      </c>
      <c r="D221" s="429">
        <f>+'No Deducible 93'!AD240</f>
        <v>4905864.902186905</v>
      </c>
      <c r="E221" s="429">
        <f>+'Deducible 151'!AD240</f>
        <v>4765119.000893561</v>
      </c>
      <c r="F221" s="429">
        <f>+'Deducible 185'!AD240</f>
        <v>4905864.902186905</v>
      </c>
      <c r="H221" s="428">
        <f t="shared" si="42"/>
        <v>217</v>
      </c>
      <c r="I221" s="429">
        <f>+'No Deducible 93'!Y240</f>
        <v>4264277.311285825</v>
      </c>
      <c r="J221" s="429">
        <f>+'Deducible 151'!Y240</f>
        <v>4174783.022915395</v>
      </c>
      <c r="K221" s="429">
        <f>+'Deducible 185'!Y240</f>
        <v>4264277.311285825</v>
      </c>
      <c r="O221" s="453"/>
      <c r="P221" s="453"/>
      <c r="Q221" s="453"/>
      <c r="Z221" s="454"/>
      <c r="AA221" s="402"/>
    </row>
    <row r="222" spans="1:27" x14ac:dyDescent="0.25">
      <c r="A222" s="426">
        <f t="shared" si="40"/>
        <v>18.166666666666668</v>
      </c>
      <c r="B222" s="427">
        <f>'OptiMaxx plus'!$T$7+A222</f>
        <v>47.16666666666667</v>
      </c>
      <c r="C222" s="428">
        <f t="shared" si="41"/>
        <v>218</v>
      </c>
      <c r="D222" s="429">
        <f>+'No Deducible 93'!AD241</f>
        <v>4949775.742050963</v>
      </c>
      <c r="E222" s="429">
        <f>+'Deducible 151'!AD241</f>
        <v>4807292.574222317</v>
      </c>
      <c r="F222" s="429">
        <f>+'Deducible 185'!AD241</f>
        <v>4949775.742050963</v>
      </c>
      <c r="H222" s="428">
        <f t="shared" si="42"/>
        <v>218</v>
      </c>
      <c r="I222" s="429">
        <f>+'No Deducible 93'!Y241</f>
        <v>4303898.270580825</v>
      </c>
      <c r="J222" s="429">
        <f>+'Deducible 151'!Y241</f>
        <v>4213081.154586047</v>
      </c>
      <c r="K222" s="429">
        <f>+'Deducible 185'!Y241</f>
        <v>4303898.270580825</v>
      </c>
      <c r="O222" s="453"/>
      <c r="P222" s="453"/>
      <c r="Q222" s="453"/>
      <c r="Z222" s="454"/>
      <c r="AA222" s="402"/>
    </row>
    <row r="223" spans="1:27" x14ac:dyDescent="0.25">
      <c r="A223" s="426">
        <f t="shared" si="40"/>
        <v>18.25</v>
      </c>
      <c r="B223" s="427">
        <f>'OptiMaxx plus'!$T$7+A223</f>
        <v>47.25</v>
      </c>
      <c r="C223" s="428">
        <f t="shared" si="41"/>
        <v>219</v>
      </c>
      <c r="D223" s="429">
        <f>+'No Deducible 93'!AD242</f>
        <v>4988137.456403878</v>
      </c>
      <c r="E223" s="429">
        <f>+'Deducible 151'!AD242</f>
        <v>4843847.489085682</v>
      </c>
      <c r="F223" s="429">
        <f>+'Deducible 185'!AD242</f>
        <v>4988137.456403878</v>
      </c>
      <c r="H223" s="428">
        <f t="shared" si="42"/>
        <v>219</v>
      </c>
      <c r="I223" s="429">
        <f>+'No Deducible 93'!Y242</f>
        <v>4343795.236066784</v>
      </c>
      <c r="J223" s="429">
        <f>+'Deducible 151'!Y242</f>
        <v>4251639.900846239</v>
      </c>
      <c r="K223" s="429">
        <f>+'Deducible 185'!Y242</f>
        <v>4343795.236066784</v>
      </c>
      <c r="O223" s="453"/>
      <c r="P223" s="453"/>
      <c r="Q223" s="453"/>
      <c r="Z223" s="454"/>
      <c r="AA223" s="402"/>
    </row>
    <row r="224" spans="1:27" x14ac:dyDescent="0.25">
      <c r="A224" s="426">
        <f t="shared" si="40"/>
        <v>18.333333333333332</v>
      </c>
      <c r="B224" s="427">
        <f>'OptiMaxx plus'!$T$7+A224</f>
        <v>47.33333333333333</v>
      </c>
      <c r="C224" s="428">
        <f t="shared" si="41"/>
        <v>220</v>
      </c>
      <c r="D224" s="429">
        <f>+'No Deducible 93'!AD243</f>
        <v>5032620.824967757</v>
      </c>
      <c r="E224" s="429">
        <f>+'Deducible 151'!AD243</f>
        <v>4886556.33094598</v>
      </c>
      <c r="F224" s="429">
        <f>+'Deducible 185'!AD243</f>
        <v>5032620.824967757</v>
      </c>
      <c r="H224" s="428">
        <f t="shared" si="42"/>
        <v>220</v>
      </c>
      <c r="I224" s="429">
        <f>+'No Deducible 93'!Y243</f>
        <v>4383970.130448722</v>
      </c>
      <c r="J224" s="429">
        <f>+'Deducible 151'!Y243</f>
        <v>4290461.035149695</v>
      </c>
      <c r="K224" s="429">
        <f>+'Deducible 185'!Y243</f>
        <v>4383970.130448722</v>
      </c>
      <c r="O224" s="453"/>
      <c r="P224" s="453"/>
      <c r="Q224" s="453"/>
      <c r="Z224" s="454"/>
      <c r="AA224" s="402"/>
    </row>
    <row r="225" spans="1:27" x14ac:dyDescent="0.25">
      <c r="A225" s="426">
        <f t="shared" si="40"/>
        <v>18.416666666666668</v>
      </c>
      <c r="B225" s="427">
        <f>'OptiMaxx plus'!$T$7+A225</f>
        <v>47.41666666666667</v>
      </c>
      <c r="C225" s="428">
        <f t="shared" si="41"/>
        <v>221</v>
      </c>
      <c r="D225" s="429">
        <f>+'No Deducible 93'!AD244</f>
        <v>5077412.955303828</v>
      </c>
      <c r="E225" s="429">
        <f>+'Deducible 151'!AD244</f>
        <v>4929554.920137683</v>
      </c>
      <c r="F225" s="429">
        <f>+'Deducible 185'!AD244</f>
        <v>5077412.955303828</v>
      </c>
      <c r="H225" s="428">
        <f t="shared" si="42"/>
        <v>221</v>
      </c>
      <c r="I225" s="429">
        <f>+'No Deducible 93'!Y244</f>
        <v>4424424.889825548</v>
      </c>
      <c r="J225" s="429">
        <f>+'Deducible 151'!Y244</f>
        <v>4329546.343018301</v>
      </c>
      <c r="K225" s="429">
        <f>+'Deducible 185'!Y244</f>
        <v>4424424.889825548</v>
      </c>
      <c r="O225" s="453"/>
      <c r="P225" s="453"/>
      <c r="Q225" s="453"/>
      <c r="Z225" s="454"/>
      <c r="AA225" s="402"/>
    </row>
    <row r="226" spans="1:27" x14ac:dyDescent="0.25">
      <c r="A226" s="426">
        <f t="shared" si="40"/>
        <v>18.5</v>
      </c>
      <c r="B226" s="427">
        <f>'OptiMaxx plus'!$T$7+A226</f>
        <v>47.5</v>
      </c>
      <c r="C226" s="428">
        <f t="shared" si="41"/>
        <v>222</v>
      </c>
      <c r="D226" s="429">
        <f>+'No Deducible 93'!AD245</f>
        <v>5116597.642697938</v>
      </c>
      <c r="E226" s="429">
        <f>+'Deducible 151'!AD245</f>
        <v>4966882.775158061</v>
      </c>
      <c r="F226" s="429">
        <f>+'Deducible 185'!AD245</f>
        <v>5116597.642697938</v>
      </c>
      <c r="H226" s="428">
        <f t="shared" si="42"/>
        <v>222</v>
      </c>
      <c r="I226" s="429">
        <f>+'No Deducible 93'!Y245</f>
        <v>4465161.463783353</v>
      </c>
      <c r="J226" s="429">
        <f>+'Deducible 151'!Y245</f>
        <v>4368897.622124219</v>
      </c>
      <c r="K226" s="429">
        <f>+'Deducible 185'!Y245</f>
        <v>4465161.463783353</v>
      </c>
      <c r="O226" s="453"/>
      <c r="P226" s="453"/>
      <c r="Q226" s="453"/>
      <c r="Z226" s="454"/>
      <c r="AA226" s="402"/>
    </row>
    <row r="227" spans="1:27" x14ac:dyDescent="0.25">
      <c r="A227" s="426">
        <f t="shared" si="40"/>
        <v>18.583333333333332</v>
      </c>
      <c r="B227" s="427">
        <f>'OptiMaxx plus'!$T$7+A227</f>
        <v>47.58333333333333</v>
      </c>
      <c r="C227" s="428">
        <f t="shared" si="41"/>
        <v>223</v>
      </c>
      <c r="D227" s="429">
        <f>+'No Deducible 93'!AD246</f>
        <v>5161974.168235916</v>
      </c>
      <c r="E227" s="429">
        <f>+'Deducible 151'!AD246</f>
        <v>5010427.502311983</v>
      </c>
      <c r="F227" s="429">
        <f>+'Deducible 185'!AD246</f>
        <v>5161974.168235916</v>
      </c>
      <c r="H227" s="428">
        <f t="shared" si="42"/>
        <v>223</v>
      </c>
      <c r="I227" s="429">
        <f>+'No Deducible 93'!Y246</f>
        <v>4506181.81548937</v>
      </c>
      <c r="J227" s="429">
        <f>+'Deducible 151'!Y246</f>
        <v>4408516.682372576</v>
      </c>
      <c r="K227" s="429">
        <f>+'Deducible 185'!Y246</f>
        <v>4506181.81548937</v>
      </c>
      <c r="O227" s="453"/>
      <c r="P227" s="453"/>
      <c r="Q227" s="453"/>
      <c r="Z227" s="454"/>
      <c r="AA227" s="402"/>
    </row>
    <row r="228" spans="1:27" x14ac:dyDescent="0.25">
      <c r="A228" s="426">
        <f t="shared" si="40"/>
        <v>18.666666666666668</v>
      </c>
      <c r="B228" s="427">
        <f>'OptiMaxx plus'!$T$7+A228</f>
        <v>47.66666666666667</v>
      </c>
      <c r="C228" s="428">
        <f t="shared" si="41"/>
        <v>224</v>
      </c>
      <c r="D228" s="429">
        <f>+'No Deducible 93'!AD247</f>
        <v>5207665.6667740075</v>
      </c>
      <c r="E228" s="429">
        <f>+'Deducible 151'!AD247</f>
        <v>5054267.656495636</v>
      </c>
      <c r="F228" s="429">
        <f>+'Deducible 185'!AD247</f>
        <v>5207665.6667740075</v>
      </c>
      <c r="H228" s="428">
        <f t="shared" si="42"/>
        <v>224</v>
      </c>
      <c r="I228" s="429">
        <f>+'No Deducible 93'!Y247</f>
        <v>4547487.921786583</v>
      </c>
      <c r="J228" s="429">
        <f>+'Deducible 151'!Y247</f>
        <v>4448405.345984703</v>
      </c>
      <c r="K228" s="429">
        <f>+'Deducible 185'!Y247</f>
        <v>4547487.921786583</v>
      </c>
      <c r="O228" s="453"/>
      <c r="P228" s="453"/>
      <c r="Q228" s="453"/>
      <c r="Z228" s="454"/>
      <c r="AA228" s="402"/>
    </row>
    <row r="229" spans="1:27" x14ac:dyDescent="0.25">
      <c r="A229" s="426">
        <f t="shared" si="40"/>
        <v>18.75</v>
      </c>
      <c r="B229" s="427">
        <f>'OptiMaxx plus'!$T$7+A229</f>
        <v>47.75</v>
      </c>
      <c r="C229" s="428">
        <f t="shared" si="41"/>
        <v>225</v>
      </c>
      <c r="D229" s="429">
        <f>+'No Deducible 93'!AD248</f>
        <v>5247690.813996156</v>
      </c>
      <c r="E229" s="429">
        <f>+'Deducible 151'!AD248</f>
        <v>5092384.549690527</v>
      </c>
      <c r="F229" s="429">
        <f>+'Deducible 185'!AD248</f>
        <v>5247690.813996156</v>
      </c>
      <c r="H229" s="428">
        <f t="shared" si="42"/>
        <v>225</v>
      </c>
      <c r="I229" s="429">
        <f>+'No Deducible 93'!Y248</f>
        <v>4589081.773288992</v>
      </c>
      <c r="J229" s="429">
        <f>+'Deducible 151'!Y248</f>
        <v>4488565.447581951</v>
      </c>
      <c r="K229" s="429">
        <f>+'Deducible 185'!Y248</f>
        <v>4589081.773288992</v>
      </c>
      <c r="O229" s="453"/>
      <c r="P229" s="453"/>
      <c r="Q229" s="453"/>
      <c r="Z229" s="454"/>
      <c r="AA229" s="402"/>
    </row>
    <row r="230" spans="1:27" x14ac:dyDescent="0.25">
      <c r="A230" s="426">
        <f t="shared" si="40"/>
        <v>18.833333333333332</v>
      </c>
      <c r="B230" s="427">
        <f>'OptiMaxx plus'!$T$7+A230</f>
        <v>47.83333333333333</v>
      </c>
      <c r="C230" s="428">
        <f t="shared" si="41"/>
        <v>226</v>
      </c>
      <c r="D230" s="429">
        <f>+'No Deducible 93'!AD249</f>
        <v>5293978.821932393</v>
      </c>
      <c r="E230" s="429">
        <f>+'Deducible 151'!AD249</f>
        <v>5136781.933384556</v>
      </c>
      <c r="F230" s="429">
        <f>+'Deducible 185'!AD249</f>
        <v>5293978.821932393</v>
      </c>
      <c r="H230" s="428">
        <f t="shared" si="42"/>
        <v>226</v>
      </c>
      <c r="I230" s="429">
        <f>+'No Deducible 93'!Y249</f>
        <v>4630965.374477546</v>
      </c>
      <c r="J230" s="429">
        <f>+'Deducible 151'!Y249</f>
        <v>4528998.834270066</v>
      </c>
      <c r="K230" s="429">
        <f>+'Deducible 185'!Y249</f>
        <v>4630965.374477546</v>
      </c>
      <c r="O230" s="453"/>
      <c r="P230" s="453"/>
      <c r="Q230" s="453"/>
      <c r="Z230" s="454"/>
      <c r="AA230" s="402"/>
    </row>
    <row r="231" spans="1:27" x14ac:dyDescent="0.25">
      <c r="A231" s="426">
        <f t="shared" si="40"/>
        <v>18.916666666666668</v>
      </c>
      <c r="B231" s="427">
        <f>'OptiMaxx plus'!$T$7+A231</f>
        <v>47.91666666666667</v>
      </c>
      <c r="C231" s="428">
        <f t="shared" si="41"/>
        <v>227</v>
      </c>
      <c r="D231" s="429">
        <f>+'No Deducible 93'!AD250</f>
        <v>5340588.141653018</v>
      </c>
      <c r="E231" s="429">
        <f>+'Deducible 151'!AD250</f>
        <v>5181480.537852922</v>
      </c>
      <c r="F231" s="429">
        <f>+'Deducible 185'!AD250</f>
        <v>5340588.141653018</v>
      </c>
      <c r="H231" s="428">
        <f t="shared" si="42"/>
        <v>227</v>
      </c>
      <c r="I231" s="429">
        <f>+'No Deducible 93'!Y250</f>
        <v>4673140.743796738</v>
      </c>
      <c r="J231" s="429">
        <f>+'Deducible 151'!Y250</f>
        <v>4569707.365724145</v>
      </c>
      <c r="K231" s="429">
        <f>+'Deducible 185'!Y250</f>
        <v>4673140.743796738</v>
      </c>
      <c r="O231" s="453"/>
      <c r="P231" s="453"/>
      <c r="Q231" s="453"/>
      <c r="Z231" s="454"/>
      <c r="AA231" s="402"/>
    </row>
    <row r="232" spans="1:27" x14ac:dyDescent="0.25">
      <c r="A232" s="426">
        <f t="shared" si="40"/>
        <v>19</v>
      </c>
      <c r="B232" s="427">
        <f>'OptiMaxx plus'!$T$7+A232</f>
        <v>48</v>
      </c>
      <c r="C232" s="428">
        <f t="shared" si="41"/>
        <v>228</v>
      </c>
      <c r="D232" s="429">
        <f>+'No Deducible 93'!AD251</f>
        <v>5381471.6053067995</v>
      </c>
      <c r="E232" s="429">
        <f>+'Deducible 151'!AD251</f>
        <v>5220402.900180874</v>
      </c>
      <c r="F232" s="429">
        <f>+'Deducible 185'!AD251</f>
        <v>5381471.6053067995</v>
      </c>
      <c r="H232" s="428">
        <f t="shared" si="42"/>
        <v>228</v>
      </c>
      <c r="I232" s="429">
        <f>+'No Deducible 93'!Y251</f>
        <v>4715609.913751885</v>
      </c>
      <c r="J232" s="429">
        <f>+'Deducible 151'!Y251</f>
        <v>4610692.914274174</v>
      </c>
      <c r="K232" s="429">
        <f>+'Deducible 185'!Y251</f>
        <v>4715609.913751885</v>
      </c>
      <c r="O232" s="453"/>
      <c r="P232" s="453"/>
      <c r="Q232" s="453"/>
      <c r="Z232" s="454"/>
      <c r="AA232" s="402"/>
    </row>
    <row r="233" spans="1:27" x14ac:dyDescent="0.25">
      <c r="A233" s="426">
        <f t="shared" si="40"/>
        <v>19.083333333333332</v>
      </c>
      <c r="B233" s="427">
        <f>'OptiMaxx plus'!$T$7+A233</f>
        <v>48.08333333333333</v>
      </c>
      <c r="C233" s="428">
        <f t="shared" si="41"/>
        <v>229</v>
      </c>
      <c r="D233" s="429">
        <f>+'No Deducible 93'!AD252</f>
        <v>5428683.626816966</v>
      </c>
      <c r="E233" s="429">
        <f>+'Deducible 151'!AD252</f>
        <v>5265662.898047749</v>
      </c>
      <c r="F233" s="429">
        <f>+'Deducible 185'!AD252</f>
        <v>5428683.626816966</v>
      </c>
      <c r="H233" s="428">
        <f t="shared" si="42"/>
        <v>229</v>
      </c>
      <c r="I233" s="429">
        <f>+'No Deducible 93'!Y252</f>
        <v>4758368.756318335</v>
      </c>
      <c r="J233" s="429">
        <f>+'Deducible 151'!Y252</f>
        <v>4651950.210660859</v>
      </c>
      <c r="K233" s="429">
        <f>+'Deducible 185'!Y252</f>
        <v>4758368.756318335</v>
      </c>
      <c r="O233" s="453"/>
      <c r="P233" s="453"/>
      <c r="Q233" s="453"/>
      <c r="Z233" s="454"/>
      <c r="AA233" s="402"/>
    </row>
    <row r="234" spans="1:27" x14ac:dyDescent="0.25">
      <c r="A234" s="426">
        <f t="shared" si="40"/>
        <v>19.166666666666668</v>
      </c>
      <c r="B234" s="427">
        <f>'OptiMaxx plus'!$T$7+A234</f>
        <v>48.16666666666667</v>
      </c>
      <c r="C234" s="428">
        <f t="shared" si="41"/>
        <v>230</v>
      </c>
      <c r="D234" s="429">
        <f>+'No Deducible 93'!AD253</f>
        <v>5476223.386087476</v>
      </c>
      <c r="E234" s="429">
        <f>+'Deducible 151'!AD253</f>
        <v>5311229.978113191</v>
      </c>
      <c r="F234" s="429">
        <f>+'Deducible 185'!AD253</f>
        <v>5476223.386087476</v>
      </c>
      <c r="H234" s="428">
        <f t="shared" si="42"/>
        <v>230</v>
      </c>
      <c r="I234" s="429">
        <f>+'No Deducible 93'!Y253</f>
        <v>4801425.4640924055</v>
      </c>
      <c r="J234" s="429">
        <f>+'Deducible 151'!Y253</f>
        <v>4693488.258428729</v>
      </c>
      <c r="K234" s="429">
        <f>+'Deducible 185'!Y253</f>
        <v>4801425.4640924055</v>
      </c>
      <c r="O234" s="453"/>
      <c r="P234" s="453"/>
      <c r="Q234" s="453"/>
      <c r="Z234" s="454"/>
      <c r="AA234" s="402"/>
    </row>
    <row r="235" spans="1:27" x14ac:dyDescent="0.25">
      <c r="A235" s="426">
        <f t="shared" si="40"/>
        <v>19.25</v>
      </c>
      <c r="B235" s="427">
        <f>'OptiMaxx plus'!$T$7+A235</f>
        <v>48.25</v>
      </c>
      <c r="C235" s="428">
        <f t="shared" si="41"/>
        <v>231</v>
      </c>
      <c r="D235" s="429">
        <f>+'No Deducible 93'!AD254</f>
        <v>5517977.139379533</v>
      </c>
      <c r="E235" s="429">
        <f>+'Deducible 151'!AD254</f>
        <v>5350967.328306786</v>
      </c>
      <c r="F235" s="429">
        <f>+'Deducible 185'!AD254</f>
        <v>5517977.139379533</v>
      </c>
      <c r="H235" s="428">
        <f t="shared" si="42"/>
        <v>231</v>
      </c>
      <c r="I235" s="429">
        <f>+'No Deducible 93'!Y254</f>
        <v>4844782.112052664</v>
      </c>
      <c r="J235" s="429">
        <f>+'Deducible 151'!Y254</f>
        <v>4735308.968060169</v>
      </c>
      <c r="K235" s="429">
        <f>+'Deducible 185'!Y254</f>
        <v>4844782.112052664</v>
      </c>
      <c r="O235" s="453"/>
      <c r="P235" s="453"/>
      <c r="Q235" s="453"/>
      <c r="Z235" s="454"/>
      <c r="AA235" s="402"/>
    </row>
    <row r="236" spans="1:27" x14ac:dyDescent="0.25">
      <c r="A236" s="426">
        <f t="shared" si="40"/>
        <v>19.333333333333332</v>
      </c>
      <c r="B236" s="427">
        <f>'OptiMaxx plus'!$T$7+A236</f>
        <v>48.33333333333333</v>
      </c>
      <c r="C236" s="428">
        <f t="shared" si="41"/>
        <v>232</v>
      </c>
      <c r="D236" s="429">
        <f>+'No Deducible 93'!AD255</f>
        <v>5566138.313462227</v>
      </c>
      <c r="E236" s="429">
        <f>+'Deducible 151'!AD255</f>
        <v>5397114.407270905</v>
      </c>
      <c r="F236" s="429">
        <f>+'Deducible 185'!AD255</f>
        <v>5566138.313462227</v>
      </c>
      <c r="H236" s="428">
        <f t="shared" si="42"/>
        <v>232</v>
      </c>
      <c r="I236" s="429">
        <f>+'No Deducible 93'!Y255</f>
        <v>4888440.789632325</v>
      </c>
      <c r="J236" s="429">
        <f>+'Deducible 151'!Y255</f>
        <v>4777414.263038189</v>
      </c>
      <c r="K236" s="429">
        <f>+'Deducible 185'!Y255</f>
        <v>4888440.789632325</v>
      </c>
      <c r="O236" s="453"/>
      <c r="P236" s="453"/>
      <c r="Q236" s="453"/>
      <c r="Z236" s="454"/>
      <c r="AA236" s="402"/>
    </row>
    <row r="237" spans="1:27" x14ac:dyDescent="0.25">
      <c r="A237" s="426">
        <f t="shared" si="40"/>
        <v>19.416666666666668</v>
      </c>
      <c r="B237" s="427">
        <f>'OptiMaxx plus'!$T$7+A237</f>
        <v>48.41666666666667</v>
      </c>
      <c r="C237" s="428">
        <f t="shared" si="41"/>
        <v>233</v>
      </c>
      <c r="D237" s="429">
        <f>+'No Deducible 93'!AD256</f>
        <v>5614633.826300115</v>
      </c>
      <c r="E237" s="429">
        <f>+'Deducible 151'!AD256</f>
        <v>5443574.596270812</v>
      </c>
      <c r="F237" s="429">
        <f>+'Deducible 185'!AD256</f>
        <v>5614633.826300115</v>
      </c>
      <c r="H237" s="428">
        <f t="shared" si="42"/>
        <v>233</v>
      </c>
      <c r="I237" s="429">
        <f>+'No Deducible 93'!Y256</f>
        <v>4932403.600819942</v>
      </c>
      <c r="J237" s="429">
        <f>+'Deducible 151'!Y256</f>
        <v>4819806.079934889</v>
      </c>
      <c r="K237" s="429">
        <f>+'Deducible 185'!Y256</f>
        <v>4932403.600819942</v>
      </c>
      <c r="O237" s="453"/>
      <c r="P237" s="453"/>
      <c r="Q237" s="453"/>
      <c r="Z237" s="454"/>
      <c r="AA237" s="402"/>
    </row>
    <row r="238" spans="1:27" x14ac:dyDescent="0.25">
      <c r="A238" s="426">
        <f t="shared" si="40"/>
        <v>19.5</v>
      </c>
      <c r="B238" s="427">
        <f>'OptiMaxx plus'!$T$7+A238</f>
        <v>48.5</v>
      </c>
      <c r="C238" s="428">
        <f t="shared" si="41"/>
        <v>234</v>
      </c>
      <c r="D238" s="429">
        <f>+'No Deducible 93'!AD257</f>
        <v>5657282.618296183</v>
      </c>
      <c r="E238" s="429">
        <f>+'Deducible 151'!AD257</f>
        <v>5484151.154875111</v>
      </c>
      <c r="F238" s="429">
        <f>+'Deducible 185'!AD257</f>
        <v>5657282.618296183</v>
      </c>
      <c r="H238" s="428">
        <f t="shared" si="42"/>
        <v>234</v>
      </c>
      <c r="I238" s="429">
        <f>+'No Deducible 93'!Y257</f>
        <v>4976672.6642608</v>
      </c>
      <c r="J238" s="429">
        <f>+'Deducible 151'!Y257</f>
        <v>4862486.368500531</v>
      </c>
      <c r="K238" s="429">
        <f>+'Deducible 185'!Y257</f>
        <v>4976672.6642608</v>
      </c>
      <c r="O238" s="453"/>
      <c r="P238" s="453"/>
      <c r="Q238" s="453"/>
      <c r="Z238" s="454"/>
      <c r="AA238" s="402"/>
    </row>
    <row r="239" spans="1:27" x14ac:dyDescent="0.25">
      <c r="A239" s="426">
        <f t="shared" si="40"/>
        <v>19.583333333333332</v>
      </c>
      <c r="B239" s="427">
        <f>'OptiMaxx plus'!$T$7+A239</f>
        <v>48.58333333333333</v>
      </c>
      <c r="C239" s="428">
        <f t="shared" si="41"/>
        <v>235</v>
      </c>
      <c r="D239" s="429">
        <f>+'No Deducible 93'!AD258</f>
        <v>5706412.432972169</v>
      </c>
      <c r="E239" s="429">
        <f>+'Deducible 151'!AD258</f>
        <v>5531203.12634489</v>
      </c>
      <c r="F239" s="429">
        <f>+'Deducible 185'!AD258</f>
        <v>5706412.432972169</v>
      </c>
      <c r="H239" s="428">
        <f t="shared" si="42"/>
        <v>235</v>
      </c>
      <c r="I239" s="429">
        <f>+'No Deducible 93'!Y258</f>
        <v>5021250.113359022</v>
      </c>
      <c r="J239" s="429">
        <f>+'Deducible 151'!Y258</f>
        <v>4905457.091753212</v>
      </c>
      <c r="K239" s="429">
        <f>+'Deducible 185'!Y258</f>
        <v>5021250.113359022</v>
      </c>
      <c r="O239" s="453"/>
      <c r="P239" s="453"/>
      <c r="Q239" s="453"/>
      <c r="Z239" s="454"/>
      <c r="AA239" s="402"/>
    </row>
    <row r="240" spans="1:27" x14ac:dyDescent="0.25">
      <c r="A240" s="426">
        <f t="shared" si="40"/>
        <v>19.666666666666668</v>
      </c>
      <c r="B240" s="427">
        <f>'OptiMaxx plus'!$T$7+A240</f>
        <v>48.66666666666667</v>
      </c>
      <c r="C240" s="428">
        <f t="shared" si="41"/>
        <v>236</v>
      </c>
      <c r="D240" s="429">
        <f>+'No Deducible 93'!AD259</f>
        <v>5755883.323050454</v>
      </c>
      <c r="E240" s="429">
        <f>+'Deducible 151'!AD259</f>
        <v>5578574.356809833</v>
      </c>
      <c r="F240" s="429">
        <f>+'Deducible 185'!AD259</f>
        <v>5755883.323050454</v>
      </c>
      <c r="H240" s="428">
        <f t="shared" si="42"/>
        <v>236</v>
      </c>
      <c r="I240" s="429">
        <f>+'No Deducible 93'!Y259</f>
        <v>5066138.096380377</v>
      </c>
      <c r="J240" s="429">
        <f>+'Deducible 151'!Y259</f>
        <v>4948720.226069154</v>
      </c>
      <c r="K240" s="429">
        <f>+'Deducible 185'!Y259</f>
        <v>5066138.096380377</v>
      </c>
      <c r="O240" s="453"/>
      <c r="P240" s="453"/>
      <c r="Q240" s="453"/>
      <c r="Z240" s="454"/>
      <c r="AA240" s="402"/>
    </row>
    <row r="241" spans="1:27" x14ac:dyDescent="0.25">
      <c r="A241" s="426">
        <f t="shared" si="40"/>
        <v>19.75</v>
      </c>
      <c r="B241" s="427">
        <f>'OptiMaxx plus'!$T$7+A241</f>
        <v>48.75</v>
      </c>
      <c r="C241" s="428">
        <f t="shared" si="41"/>
        <v>237</v>
      </c>
      <c r="D241" s="429">
        <f>+'No Deducible 93'!AD260</f>
        <v>5799446.164507654</v>
      </c>
      <c r="E241" s="429">
        <f>+'Deducible 151'!AD260</f>
        <v>5620007.592291333</v>
      </c>
      <c r="F241" s="429">
        <f>+'Deducible 185'!AD260</f>
        <v>5799446.164507654</v>
      </c>
      <c r="H241" s="428">
        <f t="shared" si="42"/>
        <v>237</v>
      </c>
      <c r="I241" s="429">
        <f>+'No Deducible 93'!Y260</f>
        <v>5111338.776555815</v>
      </c>
      <c r="J241" s="429">
        <f>+'Deducible 151'!Y260</f>
        <v>4992277.761273602</v>
      </c>
      <c r="K241" s="429">
        <f>+'Deducible 185'!Y260</f>
        <v>5111338.776555815</v>
      </c>
      <c r="O241" s="453"/>
      <c r="P241" s="453"/>
      <c r="Q241" s="453"/>
      <c r="Z241" s="454"/>
      <c r="AA241" s="402"/>
    </row>
    <row r="242" spans="1:27" x14ac:dyDescent="0.25">
      <c r="A242" s="426">
        <f t="shared" si="40"/>
        <v>19.833333333333332</v>
      </c>
      <c r="B242" s="427">
        <f>'OptiMaxx plus'!$T$7+A242</f>
        <v>48.83333333333333</v>
      </c>
      <c r="C242" s="428">
        <f t="shared" si="41"/>
        <v>238</v>
      </c>
      <c r="D242" s="429">
        <f>+'No Deducible 93'!AD261</f>
        <v>5849564.512527532</v>
      </c>
      <c r="E242" s="429">
        <f>+'Deducible 151'!AD261</f>
        <v>5667982.629652815</v>
      </c>
      <c r="F242" s="429">
        <f>+'Deducible 185'!AD261</f>
        <v>5849564.512527532</v>
      </c>
      <c r="H242" s="428">
        <f t="shared" si="42"/>
        <v>238</v>
      </c>
      <c r="I242" s="429">
        <f>+'No Deducible 93'!Y261</f>
        <v>5156854.332185706</v>
      </c>
      <c r="J242" s="429">
        <f>+'Deducible 151'!Y261</f>
        <v>5036131.700732342</v>
      </c>
      <c r="K242" s="429">
        <f>+'Deducible 185'!Y261</f>
        <v>5156854.332185706</v>
      </c>
      <c r="O242" s="453"/>
      <c r="P242" s="453"/>
      <c r="Q242" s="453"/>
      <c r="Z242" s="454"/>
      <c r="AA242" s="402"/>
    </row>
    <row r="243" spans="1:27" x14ac:dyDescent="0.25">
      <c r="A243" s="426">
        <f t="shared" si="40"/>
        <v>19.916666666666668</v>
      </c>
      <c r="B243" s="427">
        <f>'OptiMaxx plus'!$T$7+A243</f>
        <v>48.91666666666667</v>
      </c>
      <c r="C243" s="428">
        <f t="shared" si="41"/>
        <v>239</v>
      </c>
      <c r="D243" s="429">
        <f>+'No Deducible 93'!AD262</f>
        <v>5900030.811067491</v>
      </c>
      <c r="E243" s="429">
        <f>+'Deducible 151'!AD262</f>
        <v>5716283.198553414</v>
      </c>
      <c r="F243" s="429">
        <f>+'Deducible 185'!AD262</f>
        <v>5900030.811067491</v>
      </c>
      <c r="H243" s="428">
        <f t="shared" si="42"/>
        <v>239</v>
      </c>
      <c r="I243" s="429">
        <f>+'No Deducible 93'!Y262</f>
        <v>5202686.956744827</v>
      </c>
      <c r="J243" s="429">
        <f>+'Deducible 151'!Y262</f>
        <v>5080284.061443848</v>
      </c>
      <c r="K243" s="429">
        <f>+'Deducible 185'!Y262</f>
        <v>5202686.956744827</v>
      </c>
      <c r="O243" s="453"/>
      <c r="P243" s="453"/>
      <c r="Q243" s="453"/>
      <c r="Z243" s="454"/>
      <c r="AA243" s="402"/>
    </row>
    <row r="244" spans="1:36" s="460" customFormat="1" x14ac:dyDescent="0.25">
      <c r="A244" s="433">
        <f t="shared" si="40"/>
        <v>20</v>
      </c>
      <c r="B244" s="472">
        <f>'OptiMaxx plus'!$T$7+A244</f>
        <v>49</v>
      </c>
      <c r="C244" s="473">
        <f t="shared" si="41"/>
        <v>240</v>
      </c>
      <c r="D244" s="474">
        <f>+'No Deducible 93'!AD263</f>
        <v>5944527.114711734</v>
      </c>
      <c r="E244" s="474">
        <f>+'Deducible 151'!AD263</f>
        <v>5758590.940569675</v>
      </c>
      <c r="F244" s="474">
        <f>+'Deducible 185'!AD263</f>
        <v>5944527.114711734</v>
      </c>
      <c r="H244" s="473">
        <f t="shared" si="42"/>
        <v>240</v>
      </c>
      <c r="I244" s="474">
        <f>+'No Deducible 93'!Y263</f>
        <v>5248838.858988065</v>
      </c>
      <c r="J244" s="474">
        <f>+'Deducible 151'!Y263</f>
        <v>5124736.874132046</v>
      </c>
      <c r="K244" s="474">
        <f>+'Deducible 185'!Y263</f>
        <v>5248838.858988065</v>
      </c>
      <c r="O244" s="475"/>
      <c r="P244" s="475"/>
      <c r="Q244" s="475"/>
      <c r="Z244" s="476"/>
      <c r="AA244" s="477"/>
      <c r="AI244" s="478"/>
      <c r="AJ244" s="478"/>
    </row>
    <row r="245" spans="1:27" x14ac:dyDescent="0.25">
      <c r="A245" s="426">
        <f t="shared" si="40"/>
        <v>20.083333333333332</v>
      </c>
      <c r="B245" s="427">
        <f>'OptiMaxx plus'!$T$7+A245</f>
        <v>49.08333333333333</v>
      </c>
      <c r="C245" s="428">
        <f t="shared" si="41"/>
        <v>241</v>
      </c>
      <c r="D245" s="429">
        <f>+'No Deducible 93'!AD264</f>
        <v>5995647.880336768</v>
      </c>
      <c r="E245" s="429">
        <f>+'Deducible 151'!AD264</f>
        <v>5807500.146082886</v>
      </c>
      <c r="F245" s="429">
        <f>+'Deducible 185'!AD264</f>
        <v>5995647.880336768</v>
      </c>
      <c r="H245" s="428">
        <f t="shared" si="42"/>
        <v>241</v>
      </c>
      <c r="I245" s="429">
        <f>+'No Deducible 93'!Y264</f>
        <v>5295305.841380571</v>
      </c>
      <c r="J245" s="429">
        <f>+'Deducible 151'!Y264</f>
        <v>5169484.742836227</v>
      </c>
      <c r="K245" s="429">
        <f>+'Deducible 185'!Y264</f>
        <v>5295305.841380571</v>
      </c>
      <c r="O245" s="453"/>
      <c r="P245" s="453"/>
      <c r="Q245" s="453"/>
      <c r="Z245" s="454"/>
      <c r="AA245" s="402"/>
    </row>
    <row r="246" spans="1:27" x14ac:dyDescent="0.25">
      <c r="A246" s="426">
        <f t="shared" si="40"/>
        <v>20.166666666666668</v>
      </c>
      <c r="B246" s="427">
        <f>'OptiMaxx plus'!$T$7+A246</f>
        <v>49.16666666666667</v>
      </c>
      <c r="C246" s="428">
        <f t="shared" si="41"/>
        <v>242</v>
      </c>
      <c r="D246" s="429">
        <f>+'No Deducible 93'!AD265</f>
        <v>6047123.568213193</v>
      </c>
      <c r="E246" s="429">
        <f>+'Deducible 151'!AD265</f>
        <v>5856741.231144722</v>
      </c>
      <c r="F246" s="429">
        <f>+'Deducible 185'!AD265</f>
        <v>6047123.568213193</v>
      </c>
      <c r="H246" s="428">
        <f t="shared" si="42"/>
        <v>242</v>
      </c>
      <c r="I246" s="429">
        <f>+'No Deducible 93'!Y265</f>
        <v>5342096.520499346</v>
      </c>
      <c r="J246" s="429">
        <f>+'Deducible 151'!Y265</f>
        <v>5214537.115883737</v>
      </c>
      <c r="K246" s="429">
        <f>+'Deducible 185'!Y265</f>
        <v>5342096.520499346</v>
      </c>
      <c r="O246" s="453"/>
      <c r="P246" s="453"/>
      <c r="Q246" s="453"/>
      <c r="Z246" s="454"/>
      <c r="AA246" s="402"/>
    </row>
    <row r="247" spans="1:27" x14ac:dyDescent="0.25">
      <c r="A247" s="426">
        <f t="shared" si="40"/>
        <v>20.25</v>
      </c>
      <c r="B247" s="427">
        <f>'OptiMaxx plus'!$T$7+A247</f>
        <v>49.25</v>
      </c>
      <c r="C247" s="428">
        <f t="shared" si="41"/>
        <v>243</v>
      </c>
      <c r="D247" s="429">
        <f>+'No Deducible 93'!AD266</f>
        <v>6092566.645762336</v>
      </c>
      <c r="E247" s="429">
        <f>+'Deducible 151'!AD266</f>
        <v>5899934.135877587</v>
      </c>
      <c r="F247" s="429">
        <f>+'Deducible 185'!AD266</f>
        <v>6092566.645762336</v>
      </c>
      <c r="H247" s="428">
        <f t="shared" si="42"/>
        <v>243</v>
      </c>
      <c r="I247" s="429">
        <f>+'No Deducible 93'!Y266</f>
        <v>5389213.151269613</v>
      </c>
      <c r="J247" s="429">
        <f>+'Deducible 151'!Y266</f>
        <v>5259896.065393267</v>
      </c>
      <c r="K247" s="429">
        <f>+'Deducible 185'!Y266</f>
        <v>5389213.151269613</v>
      </c>
      <c r="O247" s="453"/>
      <c r="P247" s="453"/>
      <c r="Q247" s="453"/>
      <c r="Z247" s="454"/>
      <c r="AA247" s="402"/>
    </row>
    <row r="248" spans="1:27" x14ac:dyDescent="0.25">
      <c r="A248" s="426">
        <f t="shared" si="40"/>
        <v>20.333333333333332</v>
      </c>
      <c r="B248" s="427">
        <f>'OptiMaxx plus'!$T$7+A248</f>
        <v>49.33333333333333</v>
      </c>
      <c r="C248" s="428">
        <f t="shared" si="41"/>
        <v>244</v>
      </c>
      <c r="D248" s="429">
        <f>+'No Deducible 93'!AD267</f>
        <v>6144716.843287271</v>
      </c>
      <c r="E248" s="429">
        <f>+'Deducible 151'!AD267</f>
        <v>5949803.716807138</v>
      </c>
      <c r="F248" s="429">
        <f>+'Deducible 185'!AD267</f>
        <v>6144716.843287271</v>
      </c>
      <c r="H248" s="428">
        <f t="shared" si="42"/>
        <v>244</v>
      </c>
      <c r="I248" s="429">
        <f>+'No Deducible 93'!Y267</f>
        <v>5436658.004324779</v>
      </c>
      <c r="J248" s="429">
        <f>+'Deducible 151'!Y267</f>
        <v>5305563.677584048</v>
      </c>
      <c r="K248" s="429">
        <f>+'Deducible 185'!Y267</f>
        <v>5436658.004324779</v>
      </c>
      <c r="O248" s="453"/>
      <c r="P248" s="453"/>
      <c r="Q248" s="453"/>
      <c r="Z248" s="454"/>
      <c r="AA248" s="402"/>
    </row>
    <row r="249" spans="1:27" x14ac:dyDescent="0.25">
      <c r="A249" s="426">
        <f t="shared" si="40"/>
        <v>20.416666666666668</v>
      </c>
      <c r="B249" s="427">
        <f>'OptiMaxx plus'!$T$7+A249</f>
        <v>49.41666666666667</v>
      </c>
      <c r="C249" s="428">
        <f t="shared" si="41"/>
        <v>245</v>
      </c>
      <c r="D249" s="429">
        <f>+'No Deducible 93'!AD268</f>
        <v>6197229.122873419</v>
      </c>
      <c r="E249" s="429">
        <f>+'Deducible 151'!AD268</f>
        <v>6000011.703547475</v>
      </c>
      <c r="F249" s="429">
        <f>+'Deducible 185'!AD268</f>
        <v>6197229.122873419</v>
      </c>
      <c r="H249" s="428">
        <f t="shared" si="42"/>
        <v>245</v>
      </c>
      <c r="I249" s="429">
        <f>+'No Deducible 93'!Y268</f>
        <v>5484433.366115859</v>
      </c>
      <c r="J249" s="429">
        <f>+'Deducible 151'!Y268</f>
        <v>5351542.052871806</v>
      </c>
      <c r="K249" s="429">
        <f>+'Deducible 185'!Y268</f>
        <v>5484433.366115859</v>
      </c>
      <c r="O249" s="453"/>
      <c r="P249" s="453"/>
      <c r="Q249" s="453"/>
      <c r="Z249" s="454"/>
      <c r="AA249" s="402"/>
    </row>
    <row r="250" spans="1:27" x14ac:dyDescent="0.25">
      <c r="A250" s="426">
        <f t="shared" si="40"/>
        <v>20.5</v>
      </c>
      <c r="B250" s="427">
        <f>'OptiMaxx plus'!$T$7+A250</f>
        <v>49.5</v>
      </c>
      <c r="C250" s="428">
        <f t="shared" si="41"/>
        <v>246</v>
      </c>
      <c r="D250" s="429">
        <f>+'No Deducible 93'!AD269</f>
        <v>6243645.591036673</v>
      </c>
      <c r="E250" s="429">
        <f>+'Deducible 151'!AD269</f>
        <v>6044115.7326162895</v>
      </c>
      <c r="F250" s="429">
        <f>+'Deducible 185'!AD269</f>
        <v>6243645.591036673</v>
      </c>
      <c r="H250" s="428">
        <f t="shared" si="42"/>
        <v>246</v>
      </c>
      <c r="I250" s="429">
        <f>+'No Deducible 93'!Y269</f>
        <v>5532541.539021667</v>
      </c>
      <c r="J250" s="429">
        <f>+'Deducible 151'!Y269</f>
        <v>5397833.305965362</v>
      </c>
      <c r="K250" s="429">
        <f>+'Deducible 185'!Y269</f>
        <v>5532541.539021667</v>
      </c>
      <c r="O250" s="453"/>
      <c r="P250" s="453"/>
      <c r="Q250" s="453"/>
      <c r="Z250" s="454"/>
      <c r="AA250" s="402"/>
    </row>
    <row r="251" spans="1:27" x14ac:dyDescent="0.25">
      <c r="A251" s="426">
        <f t="shared" si="40"/>
        <v>20.583333333333332</v>
      </c>
      <c r="B251" s="427">
        <f>'OptiMaxx plus'!$T$7+A251</f>
        <v>49.58333333333333</v>
      </c>
      <c r="C251" s="428">
        <f t="shared" si="41"/>
        <v>247</v>
      </c>
      <c r="D251" s="429">
        <f>+'No Deducible 93'!AD270</f>
        <v>6296846.3760132445</v>
      </c>
      <c r="E251" s="429">
        <f>+'Deducible 151'!AD270</f>
        <v>6094964.990146769</v>
      </c>
      <c r="F251" s="429">
        <f>+'Deducible 185'!AD270</f>
        <v>6296846.3760132445</v>
      </c>
      <c r="H251" s="428">
        <f t="shared" si="42"/>
        <v>247</v>
      </c>
      <c r="I251" s="429">
        <f>+'No Deducible 93'!Y270</f>
        <v>5580984.841459773</v>
      </c>
      <c r="J251" s="429">
        <f>+'Deducible 151'!Y270</f>
        <v>5444439.5659639025</v>
      </c>
      <c r="K251" s="429">
        <f>+'Deducible 185'!Y270</f>
        <v>5580984.841459773</v>
      </c>
      <c r="O251" s="453"/>
      <c r="P251" s="453"/>
      <c r="Q251" s="453"/>
      <c r="Z251" s="454"/>
      <c r="AA251" s="402"/>
    </row>
    <row r="252" spans="1:27" x14ac:dyDescent="0.25">
      <c r="A252" s="426">
        <f t="shared" si="40"/>
        <v>20.666666666666668</v>
      </c>
      <c r="B252" s="427">
        <f>'OptiMaxx plus'!$T$7+A252</f>
        <v>49.66666666666667</v>
      </c>
      <c r="C252" s="428">
        <f t="shared" si="41"/>
        <v>248</v>
      </c>
      <c r="D252" s="429">
        <f>+'No Deducible 93'!AD271</f>
        <v>6350416.550125359</v>
      </c>
      <c r="E252" s="429">
        <f>+'Deducible 151'!AD271</f>
        <v>6146159.311006915</v>
      </c>
      <c r="F252" s="429">
        <f>+'Deducible 185'!AD271</f>
        <v>6350416.550125359</v>
      </c>
      <c r="H252" s="428">
        <f t="shared" si="42"/>
        <v>248</v>
      </c>
      <c r="I252" s="429">
        <f>+'No Deducible 93'!Y271</f>
        <v>5629765.607998224</v>
      </c>
      <c r="J252" s="429">
        <f>+'Deducible 151'!Y271</f>
        <v>5491362.976454899</v>
      </c>
      <c r="K252" s="429">
        <f>+'Deducible 185'!Y271</f>
        <v>5629765.607998224</v>
      </c>
      <c r="O252" s="453"/>
      <c r="P252" s="453"/>
      <c r="Q252" s="453"/>
      <c r="Z252" s="454"/>
      <c r="AA252" s="402"/>
    </row>
    <row r="253" spans="1:27" x14ac:dyDescent="0.25">
      <c r="A253" s="426">
        <f t="shared" si="40"/>
        <v>20.75</v>
      </c>
      <c r="B253" s="427">
        <f>'OptiMaxx plus'!$T$7+A253</f>
        <v>49.75</v>
      </c>
      <c r="C253" s="428">
        <f t="shared" si="41"/>
        <v>249</v>
      </c>
      <c r="D253" s="429">
        <f>+'No Deducible 93'!AD272</f>
        <v>6397827.076249826</v>
      </c>
      <c r="E253" s="429">
        <f>+'Deducible 151'!AD272</f>
        <v>6191193.419741478</v>
      </c>
      <c r="F253" s="429">
        <f>+'Deducible 185'!AD272</f>
        <v>6397827.076249826</v>
      </c>
      <c r="H253" s="428">
        <f t="shared" si="42"/>
        <v>249</v>
      </c>
      <c r="I253" s="429">
        <f>+'No Deducible 93'!Y272</f>
        <v>5678886.189468062</v>
      </c>
      <c r="J253" s="429">
        <f>+'Deducible 151'!Y272</f>
        <v>5538605.695612701</v>
      </c>
      <c r="K253" s="429">
        <f>+'Deducible 185'!Y272</f>
        <v>5678886.189468062</v>
      </c>
      <c r="O253" s="453"/>
      <c r="P253" s="453"/>
      <c r="Q253" s="453"/>
      <c r="Z253" s="454"/>
      <c r="AA253" s="402"/>
    </row>
    <row r="254" spans="1:27" x14ac:dyDescent="0.25">
      <c r="A254" s="426">
        <f t="shared" si="40"/>
        <v>20.833333333333332</v>
      </c>
      <c r="B254" s="427">
        <f>'OptiMaxx plus'!$T$7+A254</f>
        <v>49.83333333333333</v>
      </c>
      <c r="C254" s="428">
        <f t="shared" si="41"/>
        <v>250</v>
      </c>
      <c r="D254" s="429">
        <f>+'No Deducible 93'!AD273</f>
        <v>6452100.043806954</v>
      </c>
      <c r="E254" s="429">
        <f>+'Deducible 151'!AD273</f>
        <v>6243042.047492618</v>
      </c>
      <c r="F254" s="429">
        <f>+'Deducible 185'!AD273</f>
        <v>6452100.043806954</v>
      </c>
      <c r="H254" s="428">
        <f t="shared" si="42"/>
        <v>250</v>
      </c>
      <c r="I254" s="429">
        <f>+'No Deducible 93'!Y273</f>
        <v>5728348.953076605</v>
      </c>
      <c r="J254" s="429">
        <f>+'Deducible 151'!Y273</f>
        <v>5586169.8962977985</v>
      </c>
      <c r="K254" s="429">
        <f>+'Deducible 185'!Y273</f>
        <v>5728348.953076605</v>
      </c>
      <c r="O254" s="453"/>
      <c r="P254" s="453"/>
      <c r="Q254" s="453"/>
      <c r="Z254" s="454"/>
      <c r="AA254" s="402"/>
    </row>
    <row r="255" spans="1:27" x14ac:dyDescent="0.25">
      <c r="A255" s="426">
        <f t="shared" si="40"/>
        <v>20.916666666666668</v>
      </c>
      <c r="B255" s="427">
        <f>'OptiMaxx plus'!$T$7+A255</f>
        <v>49.91666666666667</v>
      </c>
      <c r="C255" s="428">
        <f t="shared" si="41"/>
        <v>251</v>
      </c>
      <c r="D255" s="429">
        <f>+'No Deducible 93'!AD274</f>
        <v>6506749.857899596</v>
      </c>
      <c r="E255" s="429">
        <f>+'Deducible 151'!AD274</f>
        <v>6295242.530018688</v>
      </c>
      <c r="F255" s="429">
        <f>+'Deducible 185'!AD274</f>
        <v>6506749.857899596</v>
      </c>
      <c r="H255" s="428">
        <f t="shared" si="42"/>
        <v>251</v>
      </c>
      <c r="I255" s="429">
        <f>+'No Deducible 93'!Y274</f>
        <v>5778156.282521533</v>
      </c>
      <c r="J255" s="429">
        <f>+'Deducible 151'!Y274</f>
        <v>5634057.766156759</v>
      </c>
      <c r="K255" s="429">
        <f>+'Deducible 185'!Y274</f>
        <v>5778156.282521533</v>
      </c>
      <c r="O255" s="453"/>
      <c r="P255" s="453"/>
      <c r="Q255" s="453"/>
      <c r="Z255" s="454"/>
      <c r="AA255" s="402"/>
    </row>
    <row r="256" spans="1:27" x14ac:dyDescent="0.25">
      <c r="A256" s="426">
        <f t="shared" si="40"/>
        <v>21</v>
      </c>
      <c r="B256" s="427">
        <f>'OptiMaxx plus'!$T$7+A256</f>
        <v>50</v>
      </c>
      <c r="C256" s="428">
        <f t="shared" si="41"/>
        <v>252</v>
      </c>
      <c r="D256" s="429">
        <f>+'No Deducible 93'!AD275</f>
        <v>6555175.546247751</v>
      </c>
      <c r="E256" s="429">
        <f>+'Deducible 151'!AD275</f>
        <v>6341226.0655859085</v>
      </c>
      <c r="F256" s="429">
        <f>+'Deducible 185'!AD275</f>
        <v>6555175.546247751</v>
      </c>
      <c r="H256" s="428">
        <f t="shared" si="42"/>
        <v>252</v>
      </c>
      <c r="I256" s="429">
        <f>+'No Deducible 93'!Y275</f>
        <v>5828310.578105759</v>
      </c>
      <c r="J256" s="429">
        <f>+'Deducible 151'!Y275</f>
        <v>5682271.507722844</v>
      </c>
      <c r="K256" s="429">
        <f>+'Deducible 185'!Y275</f>
        <v>5828310.578105759</v>
      </c>
      <c r="O256" s="453"/>
      <c r="P256" s="453"/>
      <c r="Q256" s="453"/>
      <c r="Z256" s="454"/>
      <c r="AA256" s="402"/>
    </row>
    <row r="257" spans="1:27" x14ac:dyDescent="0.25">
      <c r="A257" s="426">
        <f t="shared" si="40"/>
        <v>21.083333333333332</v>
      </c>
      <c r="B257" s="427">
        <f>'OptiMaxx plus'!$T$7+A257</f>
        <v>50.08333333333333</v>
      </c>
      <c r="C257" s="428">
        <f t="shared" si="41"/>
        <v>253</v>
      </c>
      <c r="D257" s="429">
        <f>+'No Deducible 93'!AD276</f>
        <v>6610536.061735894</v>
      </c>
      <c r="E257" s="429">
        <f>+'Deducible 151'!AD276</f>
        <v>6394086.41951323</v>
      </c>
      <c r="F257" s="429">
        <f>+'Deducible 185'!AD276</f>
        <v>6610536.061735894</v>
      </c>
      <c r="H257" s="428">
        <f t="shared" si="42"/>
        <v>253</v>
      </c>
      <c r="I257" s="429">
        <f>+'No Deducible 93'!Y276</f>
        <v>5878807.578309767</v>
      </c>
      <c r="J257" s="429">
        <f>+'Deducible 151'!Y276</f>
        <v>5730805.600393687</v>
      </c>
      <c r="K257" s="429">
        <f>+'Deducible 185'!Y276</f>
        <v>5878807.578309767</v>
      </c>
      <c r="O257" s="453"/>
      <c r="P257" s="453"/>
      <c r="Q257" s="453"/>
      <c r="Z257" s="454"/>
      <c r="AA257" s="402"/>
    </row>
    <row r="258" spans="1:27" x14ac:dyDescent="0.25">
      <c r="A258" s="426">
        <f t="shared" si="40"/>
        <v>21.166666666666668</v>
      </c>
      <c r="B258" s="427">
        <f>'OptiMaxx plus'!$T$7+A258</f>
        <v>50.16666666666667</v>
      </c>
      <c r="C258" s="428">
        <f t="shared" si="41"/>
        <v>254</v>
      </c>
      <c r="D258" s="429">
        <f>+'No Deducible 93'!AD277</f>
        <v>6666280.988086439</v>
      </c>
      <c r="E258" s="429">
        <f>+'Deducible 151'!AD277</f>
        <v>6447305.503654304</v>
      </c>
      <c r="F258" s="429">
        <f>+'Deducible 185'!AD277</f>
        <v>6666280.988086439</v>
      </c>
      <c r="H258" s="428">
        <f t="shared" si="42"/>
        <v>254</v>
      </c>
      <c r="I258" s="429">
        <f>+'No Deducible 93'!Y277</f>
        <v>5929656.349014265</v>
      </c>
      <c r="J258" s="429">
        <f>+'Deducible 151'!Y277</f>
        <v>5779669.962247081</v>
      </c>
      <c r="K258" s="429">
        <f>+'Deducible 185'!Y277</f>
        <v>5929656.349014265</v>
      </c>
      <c r="O258" s="453"/>
      <c r="P258" s="453"/>
      <c r="Q258" s="453"/>
      <c r="Z258" s="454"/>
      <c r="AA258" s="402"/>
    </row>
    <row r="259" spans="1:27" x14ac:dyDescent="0.25">
      <c r="A259" s="426">
        <f t="shared" si="40"/>
        <v>21.25</v>
      </c>
      <c r="B259" s="427">
        <f>'OptiMaxx plus'!$T$7+A259</f>
        <v>50.25</v>
      </c>
      <c r="C259" s="428">
        <f t="shared" si="41"/>
        <v>255</v>
      </c>
      <c r="D259" s="429">
        <f>+'No Deducible 93'!AD278</f>
        <v>6715736.617137387</v>
      </c>
      <c r="E259" s="429">
        <f>+'Deducible 151'!AD278</f>
        <v>6494250.369337684</v>
      </c>
      <c r="F259" s="429">
        <f>+'Deducible 185'!AD278</f>
        <v>6715736.617137387</v>
      </c>
      <c r="H259" s="428">
        <f t="shared" si="42"/>
        <v>255</v>
      </c>
      <c r="I259" s="429">
        <f>+'No Deducible 93'!Y278</f>
        <v>5980859.340711055</v>
      </c>
      <c r="J259" s="429">
        <f>+'Deducible 151'!Y278</f>
        <v>5828866.840728625</v>
      </c>
      <c r="K259" s="429">
        <f>+'Deducible 185'!Y278</f>
        <v>5980859.340711055</v>
      </c>
      <c r="O259" s="453"/>
      <c r="P259" s="453"/>
      <c r="Q259" s="453"/>
      <c r="Z259" s="454"/>
      <c r="AA259" s="402"/>
    </row>
    <row r="260" spans="1:27" x14ac:dyDescent="0.25">
      <c r="A260" s="426">
        <f t="shared" si="40"/>
        <v>21.333333333333332</v>
      </c>
      <c r="B260" s="427">
        <f>'OptiMaxx plus'!$T$7+A260</f>
        <v>50.33333333333333</v>
      </c>
      <c r="C260" s="428">
        <f t="shared" si="41"/>
        <v>256</v>
      </c>
      <c r="D260" s="429">
        <f>+'No Deducible 93'!AD279</f>
        <v>6772213.7205928145</v>
      </c>
      <c r="E260" s="429">
        <f>+'Deducible 151'!AD279</f>
        <v>6548150.531243514</v>
      </c>
      <c r="F260" s="429">
        <f>+'Deducible 185'!AD279</f>
        <v>6772213.7205928145</v>
      </c>
      <c r="H260" s="428">
        <f t="shared" si="42"/>
        <v>256</v>
      </c>
      <c r="I260" s="429">
        <f>+'No Deducible 93'!Y279</f>
        <v>6032419.020962473</v>
      </c>
      <c r="J260" s="429">
        <f>+'Deducible 151'!Y279</f>
        <v>5878398.498577536</v>
      </c>
      <c r="K260" s="429">
        <f>+'Deducible 185'!Y279</f>
        <v>6032419.020962473</v>
      </c>
      <c r="O260" s="453"/>
      <c r="P260" s="453"/>
      <c r="Q260" s="453"/>
      <c r="Z260" s="454"/>
      <c r="AA260" s="402"/>
    </row>
    <row r="261" spans="1:27" x14ac:dyDescent="0.25">
      <c r="A261" s="426">
        <f t="shared" si="40"/>
        <v>21.416666666666668</v>
      </c>
      <c r="B261" s="427">
        <f>'OptiMaxx plus'!$T$7+A261</f>
        <v>50.41666666666667</v>
      </c>
      <c r="C261" s="428">
        <f t="shared" si="41"/>
        <v>257</v>
      </c>
      <c r="D261" s="429">
        <f>+'No Deducible 93'!AD280</f>
        <v>6829083.001423537</v>
      </c>
      <c r="E261" s="429">
        <f>+'Deducible 151'!AD280</f>
        <v>6602416.489807306</v>
      </c>
      <c r="F261" s="429">
        <f>+'Deducible 185'!AD280</f>
        <v>6829083.001423537</v>
      </c>
      <c r="H261" s="428">
        <f t="shared" si="42"/>
        <v>257</v>
      </c>
      <c r="I261" s="429">
        <f>+'No Deducible 93'!Y280</f>
        <v>6084337.874520303</v>
      </c>
      <c r="J261" s="429">
        <f>+'Deducible 151'!Y280</f>
        <v>5928267.213930728</v>
      </c>
      <c r="K261" s="429">
        <f>+'Deducible 185'!Y280</f>
        <v>6084337.874520303</v>
      </c>
      <c r="O261" s="453"/>
      <c r="P261" s="453"/>
      <c r="Q261" s="453"/>
      <c r="Z261" s="454"/>
      <c r="AA261" s="402"/>
    </row>
    <row r="262" spans="1:27" x14ac:dyDescent="0.25">
      <c r="A262" s="426">
        <f t="shared" ref="A262:A325" si="43">+C262/12</f>
        <v>21.5</v>
      </c>
      <c r="B262" s="427">
        <f>'OptiMaxx plus'!$T$7+A262</f>
        <v>50.5</v>
      </c>
      <c r="C262" s="428">
        <f t="shared" si="41"/>
        <v>258</v>
      </c>
      <c r="D262" s="429">
        <f>+'No Deducible 93'!AD281</f>
        <v>6879597.206517912</v>
      </c>
      <c r="E262" s="429">
        <f>+'Deducible 151'!AD281</f>
        <v>6650350.523416451</v>
      </c>
      <c r="F262" s="429">
        <f>+'Deducible 185'!AD281</f>
        <v>6879597.206517912</v>
      </c>
      <c r="H262" s="428">
        <f t="shared" si="42"/>
        <v>258</v>
      </c>
      <c r="I262" s="429">
        <f>+'No Deducible 93'!Y281</f>
        <v>6136618.403445523</v>
      </c>
      <c r="J262" s="429">
        <f>+'Deducible 151'!Y281</f>
        <v>5978475.2804275835</v>
      </c>
      <c r="K262" s="429">
        <f>+'Deducible 185'!Y281</f>
        <v>6136618.403445523</v>
      </c>
      <c r="O262" s="453"/>
      <c r="P262" s="453"/>
      <c r="Q262" s="453"/>
      <c r="Z262" s="454"/>
      <c r="AA262" s="402"/>
    </row>
    <row r="263" spans="1:27" x14ac:dyDescent="0.25">
      <c r="A263" s="426">
        <f t="shared" si="43"/>
        <v>21.583333333333332</v>
      </c>
      <c r="B263" s="427">
        <f>'OptiMaxx plus'!$T$7+A263</f>
        <v>50.58333333333333</v>
      </c>
      <c r="C263" s="428">
        <f t="shared" ref="C263:C326" si="44">+C262+1</f>
        <v>259</v>
      </c>
      <c r="D263" s="429">
        <f>+'No Deducible 93'!AD282</f>
        <v>6937213.864744134</v>
      </c>
      <c r="E263" s="429">
        <f>+'Deducible 151'!AD282</f>
        <v>6705311.409763993</v>
      </c>
      <c r="F263" s="429">
        <f>+'Deducible 185'!AD282</f>
        <v>6937213.864744134</v>
      </c>
      <c r="H263" s="428">
        <f t="shared" ref="H263:H326" si="45">+H262+1</f>
        <v>259</v>
      </c>
      <c r="I263" s="429">
        <f>+'No Deducible 93'!Y282</f>
        <v>6189263.127228886</v>
      </c>
      <c r="J263" s="429">
        <f>+'Deducible 151'!Y282</f>
        <v>6029025.007315452</v>
      </c>
      <c r="K263" s="429">
        <f>+'Deducible 185'!Y282</f>
        <v>6189263.127228886</v>
      </c>
      <c r="O263" s="453"/>
      <c r="P263" s="453"/>
      <c r="Q263" s="453"/>
      <c r="Z263" s="454"/>
      <c r="AA263" s="402"/>
    </row>
    <row r="264" spans="1:27" x14ac:dyDescent="0.25">
      <c r="A264" s="426">
        <f t="shared" si="43"/>
        <v>21.666666666666668</v>
      </c>
      <c r="B264" s="427">
        <f>'OptiMaxx plus'!$T$7+A264</f>
        <v>50.66666666666667</v>
      </c>
      <c r="C264" s="428">
        <f t="shared" si="44"/>
        <v>260</v>
      </c>
      <c r="D264" s="429">
        <f>+'No Deducible 93'!AD283</f>
        <v>6995230.626736331</v>
      </c>
      <c r="E264" s="429">
        <f>+'Deducible 151'!AD283</f>
        <v>6760645.301458903</v>
      </c>
      <c r="F264" s="429">
        <f>+'Deducible 185'!AD283</f>
        <v>6995230.626736331</v>
      </c>
      <c r="H264" s="428">
        <f t="shared" si="45"/>
        <v>260</v>
      </c>
      <c r="I264" s="429">
        <f>+'No Deducible 93'!Y283</f>
        <v>6242274.582912334</v>
      </c>
      <c r="J264" s="429">
        <f>+'Deducible 151'!Y283</f>
        <v>6079918.7195558585</v>
      </c>
      <c r="K264" s="429">
        <f>+'Deducible 185'!Y283</f>
        <v>6242274.582912334</v>
      </c>
      <c r="O264" s="453"/>
      <c r="P264" s="453"/>
      <c r="Q264" s="453"/>
      <c r="Z264" s="454"/>
      <c r="AA264" s="402"/>
    </row>
    <row r="265" spans="1:27" x14ac:dyDescent="0.25">
      <c r="A265" s="426">
        <f t="shared" si="43"/>
        <v>21.75</v>
      </c>
      <c r="B265" s="427">
        <f>'OptiMaxx plus'!$T$7+A265</f>
        <v>50.75</v>
      </c>
      <c r="C265" s="428">
        <f t="shared" si="44"/>
        <v>261</v>
      </c>
      <c r="D265" s="429">
        <f>+'No Deducible 93'!AD284</f>
        <v>7046825.875962768</v>
      </c>
      <c r="E265" s="429">
        <f>+'Deducible 151'!AD284</f>
        <v>6809589.071480176</v>
      </c>
      <c r="F265" s="429">
        <f>+'Deducible 185'!AD284</f>
        <v>7046825.875962768</v>
      </c>
      <c r="H265" s="428">
        <f t="shared" si="45"/>
        <v>261</v>
      </c>
      <c r="I265" s="429">
        <f>+'No Deducible 93'!Y284</f>
        <v>6295655.325211268</v>
      </c>
      <c r="J265" s="429">
        <f>+'Deducible 151'!Y284</f>
        <v>6131158.757931433</v>
      </c>
      <c r="K265" s="429">
        <f>+'Deducible 185'!Y284</f>
        <v>6295655.325211268</v>
      </c>
      <c r="O265" s="453"/>
      <c r="P265" s="453"/>
      <c r="Q265" s="453"/>
      <c r="Z265" s="454"/>
      <c r="AA265" s="402"/>
    </row>
    <row r="266" spans="1:27" x14ac:dyDescent="0.25">
      <c r="A266" s="426">
        <f t="shared" si="43"/>
        <v>21.833333333333332</v>
      </c>
      <c r="B266" s="427">
        <f>'OptiMaxx plus'!$T$7+A266</f>
        <v>50.83333333333333</v>
      </c>
      <c r="C266" s="428">
        <f t="shared" si="44"/>
        <v>262</v>
      </c>
      <c r="D266" s="429">
        <f>+'No Deducible 93'!AD285</f>
        <v>7105605.533201108</v>
      </c>
      <c r="E266" s="429">
        <f>+'Deducible 151'!AD285</f>
        <v>6865632.024198387</v>
      </c>
      <c r="F266" s="429">
        <f>+'Deducible 185'!AD285</f>
        <v>7105605.533201108</v>
      </c>
      <c r="H266" s="428">
        <f t="shared" si="45"/>
        <v>262</v>
      </c>
      <c r="I266" s="429">
        <f>+'No Deducible 93'!Y285</f>
        <v>6349407.926637658</v>
      </c>
      <c r="J266" s="429">
        <f>+'Deducible 151'!Y285</f>
        <v>6182747.479153577</v>
      </c>
      <c r="K266" s="429">
        <f>+'Deducible 185'!Y285</f>
        <v>6349407.926637658</v>
      </c>
      <c r="O266" s="453"/>
      <c r="P266" s="453"/>
      <c r="Q266" s="453"/>
      <c r="Z266" s="454"/>
      <c r="AA266" s="402"/>
    </row>
    <row r="267" spans="1:27" x14ac:dyDescent="0.25">
      <c r="A267" s="426">
        <f t="shared" si="43"/>
        <v>21.916666666666668</v>
      </c>
      <c r="B267" s="427">
        <f>'OptiMaxx plus'!$T$7+A267</f>
        <v>50.91666666666667</v>
      </c>
      <c r="C267" s="428">
        <f t="shared" si="44"/>
        <v>263</v>
      </c>
      <c r="D267" s="429">
        <f>+'No Deducible 93'!AD286</f>
        <v>7164793.383798722</v>
      </c>
      <c r="E267" s="429">
        <f>+'Deducible 151'!AD286</f>
        <v>6922055.336092969</v>
      </c>
      <c r="F267" s="429">
        <f>+'Deducible 185'!AD286</f>
        <v>7164793.383798722</v>
      </c>
      <c r="H267" s="428">
        <f t="shared" si="45"/>
        <v>263</v>
      </c>
      <c r="I267" s="429">
        <f>+'No Deducible 93'!Y286</f>
        <v>6403534.977624022</v>
      </c>
      <c r="J267" s="429">
        <f>+'Deducible 151'!Y286</f>
        <v>6234687.255970855</v>
      </c>
      <c r="K267" s="429">
        <f>+'Deducible 185'!Y286</f>
        <v>6403534.977624022</v>
      </c>
      <c r="O267" s="453"/>
      <c r="P267" s="453"/>
      <c r="Q267" s="453"/>
      <c r="Z267" s="454"/>
      <c r="AA267" s="402"/>
    </row>
    <row r="268" spans="1:27" x14ac:dyDescent="0.25">
      <c r="A268" s="426">
        <f t="shared" si="43"/>
        <v>22</v>
      </c>
      <c r="B268" s="427">
        <f>'OptiMaxx plus'!$T$7+A268</f>
        <v>51</v>
      </c>
      <c r="C268" s="428">
        <f t="shared" si="44"/>
        <v>264</v>
      </c>
      <c r="D268" s="429">
        <f>+'No Deducible 93'!AD287</f>
        <v>7217492.62014521</v>
      </c>
      <c r="E268" s="429">
        <f>+'Deducible 151'!AD287</f>
        <v>6972029.836095084</v>
      </c>
      <c r="F268" s="429">
        <f>+'Deducible 185'!AD287</f>
        <v>7217492.62014521</v>
      </c>
      <c r="H268" s="428">
        <f t="shared" si="45"/>
        <v>264</v>
      </c>
      <c r="I268" s="429">
        <f>+'No Deducible 93'!Y287</f>
        <v>6458039.086648262</v>
      </c>
      <c r="J268" s="429">
        <f>+'Deducible 151'!Y287</f>
        <v>6286980.477278126</v>
      </c>
      <c r="K268" s="429">
        <f>+'Deducible 185'!Y287</f>
        <v>6458039.086648262</v>
      </c>
      <c r="O268" s="453"/>
      <c r="P268" s="453"/>
      <c r="Q268" s="453"/>
      <c r="Z268" s="454"/>
      <c r="AA268" s="402"/>
    </row>
    <row r="269" spans="1:27" x14ac:dyDescent="0.25">
      <c r="A269" s="426">
        <f t="shared" si="43"/>
        <v>22.083333333333332</v>
      </c>
      <c r="B269" s="427">
        <f>'OptiMaxx plus'!$T$7+A269</f>
        <v>51.08333333333333</v>
      </c>
      <c r="C269" s="428">
        <f t="shared" si="44"/>
        <v>265</v>
      </c>
      <c r="D269" s="429">
        <f>+'No Deducible 93'!AD288</f>
        <v>7277452.262371283</v>
      </c>
      <c r="E269" s="429">
        <f>+'Deducible 151'!AD288</f>
        <v>7029168.583631632</v>
      </c>
      <c r="F269" s="429">
        <f>+'Deducible 185'!AD288</f>
        <v>7277452.262371283</v>
      </c>
      <c r="H269" s="428">
        <f t="shared" si="45"/>
        <v>265</v>
      </c>
      <c r="I269" s="429">
        <f>+'No Deducible 93'!Y288</f>
        <v>6512915.9346742965</v>
      </c>
      <c r="J269" s="429">
        <f>+'Deducible 151'!Y288</f>
        <v>6339621.500577846</v>
      </c>
      <c r="K269" s="429">
        <f>+'Deducible 185'!Y288</f>
        <v>6512915.9346742965</v>
      </c>
      <c r="O269" s="453"/>
      <c r="P269" s="453"/>
      <c r="Q269" s="453"/>
      <c r="Z269" s="454"/>
      <c r="AA269" s="402"/>
    </row>
    <row r="270" spans="1:27" x14ac:dyDescent="0.25">
      <c r="A270" s="426">
        <f t="shared" si="43"/>
        <v>22.166666666666668</v>
      </c>
      <c r="B270" s="427">
        <f>'OptiMaxx plus'!$T$7+A270</f>
        <v>51.16666666666667</v>
      </c>
      <c r="C270" s="428">
        <f t="shared" si="44"/>
        <v>266</v>
      </c>
      <c r="D270" s="429">
        <f>+'No Deducible 93'!AD289</f>
        <v>7337828.305762113</v>
      </c>
      <c r="E270" s="429">
        <f>+'Deducible 151'!AD289</f>
        <v>7086695.137503392</v>
      </c>
      <c r="F270" s="429">
        <f>+'Deducible 185'!AD289</f>
        <v>7337828.305762113</v>
      </c>
      <c r="H270" s="428">
        <f t="shared" si="45"/>
        <v>266</v>
      </c>
      <c r="I270" s="429">
        <f>+'No Deducible 93'!Y289</f>
        <v>6568175.063949067</v>
      </c>
      <c r="J270" s="429">
        <f>+'Deducible 151'!Y289</f>
        <v>6392620.740273032</v>
      </c>
      <c r="K270" s="429">
        <f>+'Deducible 185'!Y289</f>
        <v>6568175.063949067</v>
      </c>
      <c r="O270" s="453"/>
      <c r="P270" s="453"/>
      <c r="Q270" s="453"/>
      <c r="Z270" s="454"/>
      <c r="AA270" s="402"/>
    </row>
    <row r="271" spans="1:27" x14ac:dyDescent="0.25">
      <c r="A271" s="426">
        <f t="shared" si="43"/>
        <v>22.25</v>
      </c>
      <c r="B271" s="427">
        <f>'OptiMaxx plus'!$T$7+A271</f>
        <v>51.25</v>
      </c>
      <c r="C271" s="428">
        <f t="shared" si="44"/>
        <v>267</v>
      </c>
      <c r="D271" s="429">
        <f>+'No Deducible 93'!AD290</f>
        <v>7391647.914340981</v>
      </c>
      <c r="E271" s="429">
        <f>+'Deducible 151'!AD290</f>
        <v>7137713.637349243</v>
      </c>
      <c r="F271" s="429">
        <f>+'Deducible 185'!AD290</f>
        <v>7391647.914340981</v>
      </c>
      <c r="H271" s="428">
        <f t="shared" si="45"/>
        <v>267</v>
      </c>
      <c r="I271" s="429">
        <f>+'No Deducible 93'!Y290</f>
        <v>6623819.137507323</v>
      </c>
      <c r="J271" s="429">
        <f>+'Deducible 151'!Y290</f>
        <v>6445980.633987006</v>
      </c>
      <c r="K271" s="429">
        <f>+'Deducible 185'!Y290</f>
        <v>6623819.137507323</v>
      </c>
      <c r="O271" s="453"/>
      <c r="P271" s="453"/>
      <c r="Q271" s="453"/>
      <c r="Z271" s="454"/>
      <c r="AA271" s="402"/>
    </row>
    <row r="272" spans="1:27" x14ac:dyDescent="0.25">
      <c r="A272" s="426">
        <f t="shared" si="43"/>
        <v>22.333333333333332</v>
      </c>
      <c r="B272" s="427">
        <f>'OptiMaxx plus'!$T$7+A272</f>
        <v>51.33333333333333</v>
      </c>
      <c r="C272" s="428">
        <f t="shared" si="44"/>
        <v>268</v>
      </c>
      <c r="D272" s="429">
        <f>+'No Deducible 93'!AD291</f>
        <v>7452818.770342879</v>
      </c>
      <c r="E272" s="429">
        <f>+'Deducible 151'!AD291</f>
        <v>7195978.28108556</v>
      </c>
      <c r="F272" s="429">
        <f>+'Deducible 185'!AD291</f>
        <v>7452818.770342879</v>
      </c>
      <c r="H272" s="428">
        <f t="shared" si="45"/>
        <v>268</v>
      </c>
      <c r="I272" s="429">
        <f>+'No Deducible 93'!Y291</f>
        <v>6679850.836934954</v>
      </c>
      <c r="J272" s="429">
        <f>+'Deducible 151'!Y291</f>
        <v>6499703.635930846</v>
      </c>
      <c r="K272" s="429">
        <f>+'Deducible 185'!Y291</f>
        <v>6679850.836934954</v>
      </c>
      <c r="O272" s="453"/>
      <c r="P272" s="453"/>
      <c r="Q272" s="453"/>
      <c r="Z272" s="454"/>
      <c r="AA272" s="402"/>
    </row>
    <row r="273" spans="1:27" x14ac:dyDescent="0.25">
      <c r="A273" s="426">
        <f t="shared" si="43"/>
        <v>22.416666666666668</v>
      </c>
      <c r="B273" s="427">
        <f>'OptiMaxx plus'!$T$7+A273</f>
        <v>51.41666666666667</v>
      </c>
      <c r="C273" s="428">
        <f t="shared" si="44"/>
        <v>269</v>
      </c>
      <c r="D273" s="429">
        <f>+'No Deducible 93'!AD292</f>
        <v>7514414.452743904</v>
      </c>
      <c r="E273" s="429">
        <f>+'Deducible 151'!AD292</f>
        <v>7254638.383060917</v>
      </c>
      <c r="F273" s="429">
        <f>+'Deducible 185'!AD292</f>
        <v>7514414.452743904</v>
      </c>
      <c r="H273" s="428">
        <f t="shared" si="45"/>
        <v>269</v>
      </c>
      <c r="I273" s="429">
        <f>+'No Deducible 93'!Y292</f>
        <v>6736272.862498224</v>
      </c>
      <c r="J273" s="429">
        <f>+'Deducible 151'!Y292</f>
        <v>6553792.217016271</v>
      </c>
      <c r="K273" s="429">
        <f>+'Deducible 185'!Y292</f>
        <v>6736272.862498224</v>
      </c>
      <c r="O273" s="453"/>
      <c r="P273" s="453"/>
      <c r="Q273" s="453"/>
      <c r="Z273" s="454"/>
      <c r="AA273" s="402"/>
    </row>
    <row r="274" spans="1:27" x14ac:dyDescent="0.25">
      <c r="A274" s="426">
        <f t="shared" si="43"/>
        <v>22.5</v>
      </c>
      <c r="B274" s="427">
        <f>'OptiMaxx plus'!$T$7+A274</f>
        <v>51.5</v>
      </c>
      <c r="C274" s="428">
        <f t="shared" si="44"/>
        <v>270</v>
      </c>
      <c r="D274" s="429">
        <f>+'No Deducible 93'!AD293</f>
        <v>7569385.251183272</v>
      </c>
      <c r="E274" s="429">
        <f>+'Deducible 151'!AD293</f>
        <v>7306730.742822059</v>
      </c>
      <c r="F274" s="429">
        <f>+'Deducible 185'!AD293</f>
        <v>7569385.251183272</v>
      </c>
      <c r="H274" s="428">
        <f t="shared" si="45"/>
        <v>270</v>
      </c>
      <c r="I274" s="429">
        <f>+'No Deducible 93'!Y293</f>
        <v>6793087.933273899</v>
      </c>
      <c r="J274" s="429">
        <f>+'Deducible 151'!Y293</f>
        <v>6608248.864969281</v>
      </c>
      <c r="K274" s="429">
        <f>+'Deducible 185'!Y293</f>
        <v>6793087.933273899</v>
      </c>
      <c r="O274" s="453"/>
      <c r="P274" s="453"/>
      <c r="Q274" s="453"/>
      <c r="Z274" s="454"/>
      <c r="AA274" s="402"/>
    </row>
    <row r="275" spans="1:27" x14ac:dyDescent="0.25">
      <c r="A275" s="426">
        <f t="shared" si="43"/>
        <v>22.583333333333332</v>
      </c>
      <c r="B275" s="427">
        <f>'OptiMaxx plus'!$T$7+A275</f>
        <v>51.58333333333333</v>
      </c>
      <c r="C275" s="428">
        <f t="shared" si="44"/>
        <v>271</v>
      </c>
      <c r="D275" s="429">
        <f>+'No Deducible 93'!AD294</f>
        <v>7631792.255170717</v>
      </c>
      <c r="E275" s="429">
        <f>+'Deducible 151'!AD294</f>
        <v>7366143.950611054</v>
      </c>
      <c r="F275" s="429">
        <f>+'Deducible 185'!AD294</f>
        <v>7631792.255170717</v>
      </c>
      <c r="H275" s="428">
        <f t="shared" si="45"/>
        <v>271</v>
      </c>
      <c r="I275" s="429">
        <f>+'No Deducible 93'!Y294</f>
        <v>6850298.787280289</v>
      </c>
      <c r="J275" s="429">
        <f>+'Deducible 151'!Y294</f>
        <v>6663076.084444578</v>
      </c>
      <c r="K275" s="429">
        <f>+'Deducible 185'!Y294</f>
        <v>6850298.787280289</v>
      </c>
      <c r="O275" s="453"/>
      <c r="P275" s="453"/>
      <c r="Q275" s="453"/>
      <c r="Z275" s="454"/>
      <c r="AA275" s="402"/>
    </row>
    <row r="276" spans="1:27" x14ac:dyDescent="0.25">
      <c r="A276" s="426">
        <f t="shared" si="43"/>
        <v>22.666666666666668</v>
      </c>
      <c r="B276" s="427">
        <f>'OptiMaxx plus'!$T$7+A276</f>
        <v>51.66666666666667</v>
      </c>
      <c r="C276" s="428">
        <f t="shared" si="44"/>
        <v>272</v>
      </c>
      <c r="D276" s="429">
        <f>+'No Deducible 93'!AD295</f>
        <v>7694632.684370358</v>
      </c>
      <c r="E276" s="429">
        <f>+'Deducible 151'!AD295</f>
        <v>7425960.422702682</v>
      </c>
      <c r="F276" s="429">
        <f>+'Deducible 185'!AD295</f>
        <v>7694632.684370358</v>
      </c>
      <c r="H276" s="428">
        <f t="shared" si="45"/>
        <v>272</v>
      </c>
      <c r="I276" s="429">
        <f>+'No Deducible 93'!Y295</f>
        <v>6907908.181609194</v>
      </c>
      <c r="J276" s="429">
        <f>+'Deducible 151'!Y295</f>
        <v>6718276.3971407665</v>
      </c>
      <c r="K276" s="429">
        <f>+'Deducible 185'!Y295</f>
        <v>6907908.181609194</v>
      </c>
      <c r="O276" s="453"/>
      <c r="P276" s="453"/>
      <c r="Q276" s="453"/>
      <c r="Z276" s="454"/>
      <c r="AA276" s="402"/>
    </row>
    <row r="277" spans="1:27" x14ac:dyDescent="0.25">
      <c r="A277" s="426">
        <f t="shared" si="43"/>
        <v>22.75</v>
      </c>
      <c r="B277" s="427">
        <f>'OptiMaxx plus'!$T$7+A277</f>
        <v>51.75</v>
      </c>
      <c r="C277" s="428">
        <f t="shared" si="44"/>
        <v>273</v>
      </c>
      <c r="D277" s="429">
        <f>+'No Deducible 93'!AD296</f>
        <v>7750779.098186113</v>
      </c>
      <c r="E277" s="429">
        <f>+'Deducible 151'!AD296</f>
        <v>7479148.961032161</v>
      </c>
      <c r="F277" s="429">
        <f>+'Deducible 185'!AD296</f>
        <v>7750779.098186113</v>
      </c>
      <c r="H277" s="428">
        <f t="shared" si="45"/>
        <v>273</v>
      </c>
      <c r="I277" s="429">
        <f>+'No Deducible 93'!Y296</f>
        <v>6965918.892558771</v>
      </c>
      <c r="J277" s="429">
        <f>+'Deducible 151'!Y296</f>
        <v>6773852.341916334</v>
      </c>
      <c r="K277" s="429">
        <f>+'Deducible 185'!Y296</f>
        <v>6965918.892558771</v>
      </c>
      <c r="O277" s="453"/>
      <c r="P277" s="453"/>
      <c r="Q277" s="453"/>
      <c r="Z277" s="454"/>
      <c r="AA277" s="402"/>
    </row>
    <row r="278" spans="1:27" x14ac:dyDescent="0.25">
      <c r="A278" s="426">
        <f t="shared" si="43"/>
        <v>22.833333333333332</v>
      </c>
      <c r="B278" s="427">
        <f>'OptiMaxx plus'!$T$7+A278</f>
        <v>51.83333333333333</v>
      </c>
      <c r="C278" s="428">
        <f t="shared" si="44"/>
        <v>274</v>
      </c>
      <c r="D278" s="429">
        <f>+'No Deducible 93'!AD297</f>
        <v>7814447.70294169</v>
      </c>
      <c r="E278" s="429">
        <f>+'Deducible 151'!AD297</f>
        <v>7539733.862013996</v>
      </c>
      <c r="F278" s="429">
        <f>+'Deducible 185'!AD297</f>
        <v>7814447.70294169</v>
      </c>
      <c r="H278" s="428">
        <f t="shared" si="45"/>
        <v>274</v>
      </c>
      <c r="I278" s="429">
        <f>+'No Deducible 93'!Y297</f>
        <v>7024333.715767337</v>
      </c>
      <c r="J278" s="429">
        <f>+'Deducible 151'!Y297</f>
        <v>6829806.474906421</v>
      </c>
      <c r="K278" s="429">
        <f>+'Deducible 185'!Y297</f>
        <v>7024333.715767337</v>
      </c>
      <c r="O278" s="453"/>
      <c r="P278" s="453"/>
      <c r="Q278" s="453"/>
      <c r="Z278" s="454"/>
      <c r="AA278" s="402"/>
    </row>
    <row r="279" spans="1:27" x14ac:dyDescent="0.25">
      <c r="A279" s="426">
        <f t="shared" si="43"/>
        <v>22.916666666666668</v>
      </c>
      <c r="B279" s="427">
        <f>'OptiMaxx plus'!$T$7+A279</f>
        <v>51.91666666666667</v>
      </c>
      <c r="C279" s="428">
        <f t="shared" si="44"/>
        <v>275</v>
      </c>
      <c r="D279" s="429">
        <f>+'No Deducible 93'!AD298</f>
        <v>7878558.508912579</v>
      </c>
      <c r="E279" s="429">
        <f>+'Deducible 151'!AD298</f>
        <v>7600729.990659957</v>
      </c>
      <c r="F279" s="429">
        <f>+'Deducible 185'!AD298</f>
        <v>7878558.508912579</v>
      </c>
      <c r="H279" s="428">
        <f t="shared" si="45"/>
        <v>275</v>
      </c>
      <c r="I279" s="429">
        <f>+'No Deducible 93'!Y298</f>
        <v>7083155.466348086</v>
      </c>
      <c r="J279" s="429">
        <f>+'Deducible 151'!Y298</f>
        <v>6886141.3696403885</v>
      </c>
      <c r="K279" s="429">
        <f>+'Deducible 185'!Y298</f>
        <v>7083155.466348086</v>
      </c>
      <c r="O279" s="453"/>
      <c r="P279" s="453"/>
      <c r="Q279" s="453"/>
      <c r="Z279" s="454"/>
      <c r="AA279" s="402"/>
    </row>
    <row r="280" spans="1:27" x14ac:dyDescent="0.25">
      <c r="A280" s="426">
        <f t="shared" si="43"/>
        <v>23</v>
      </c>
      <c r="B280" s="427">
        <f>'OptiMaxx plus'!$T$7+A280</f>
        <v>52</v>
      </c>
      <c r="C280" s="428">
        <f t="shared" si="44"/>
        <v>276</v>
      </c>
      <c r="D280" s="429">
        <f>+'No Deducible 93'!AD299</f>
        <v>7935905.479805294</v>
      </c>
      <c r="E280" s="429">
        <f>+'Deducible 151'!AD299</f>
        <v>7655037.487358028</v>
      </c>
      <c r="F280" s="429">
        <f>+'Deducible 185'!AD299</f>
        <v>7935905.479805294</v>
      </c>
      <c r="H280" s="428">
        <f t="shared" si="45"/>
        <v>276</v>
      </c>
      <c r="I280" s="429">
        <f>+'No Deducible 93'!Y299</f>
        <v>7142386.979024759</v>
      </c>
      <c r="J280" s="429">
        <f>+'Deducible 151'!Y299</f>
        <v>6942859.617160181</v>
      </c>
      <c r="K280" s="429">
        <f>+'Deducible 185'!Y299</f>
        <v>7142386.979024759</v>
      </c>
      <c r="O280" s="453"/>
      <c r="P280" s="453"/>
      <c r="Q280" s="453"/>
      <c r="Z280" s="454"/>
      <c r="AA280" s="402"/>
    </row>
    <row r="281" spans="1:27" x14ac:dyDescent="0.25">
      <c r="A281" s="426">
        <f t="shared" si="43"/>
        <v>23.083333333333332</v>
      </c>
      <c r="B281" s="427">
        <f>'OptiMaxx plus'!$T$7+A281</f>
        <v>52.08333333333333</v>
      </c>
      <c r="C281" s="428">
        <f t="shared" si="44"/>
        <v>277</v>
      </c>
      <c r="D281" s="429">
        <f>+'No Deducible 93'!AD300</f>
        <v>8000854.444016165</v>
      </c>
      <c r="E281" s="429">
        <f>+'Deducible 151'!AD300</f>
        <v>7716809.311841683</v>
      </c>
      <c r="F281" s="429">
        <f>+'Deducible 185'!AD300</f>
        <v>8000854.444016165</v>
      </c>
      <c r="H281" s="428">
        <f t="shared" si="45"/>
        <v>277</v>
      </c>
      <c r="I281" s="429">
        <f>+'No Deducible 93'!Y300</f>
        <v>7202023.884755778</v>
      </c>
      <c r="J281" s="429">
        <f>+'Deducible 151'!Y300</f>
        <v>6999955.456584986</v>
      </c>
      <c r="K281" s="429">
        <f>+'Deducible 185'!Y300</f>
        <v>7202023.884755778</v>
      </c>
      <c r="O281" s="453"/>
      <c r="P281" s="453"/>
      <c r="Q281" s="453"/>
      <c r="Z281" s="454"/>
      <c r="AA281" s="402"/>
    </row>
    <row r="282" spans="1:27" x14ac:dyDescent="0.25">
      <c r="A282" s="426">
        <f t="shared" si="43"/>
        <v>23.166666666666668</v>
      </c>
      <c r="B282" s="427">
        <f>'OptiMaxx plus'!$T$7+A282</f>
        <v>52.16666666666667</v>
      </c>
      <c r="C282" s="428">
        <f t="shared" si="44"/>
        <v>278</v>
      </c>
      <c r="D282" s="429">
        <f>+'No Deducible 93'!AD301</f>
        <v>8066254.516002202</v>
      </c>
      <c r="E282" s="429">
        <f>+'Deducible 151'!AD301</f>
        <v>7779000.430897276</v>
      </c>
      <c r="F282" s="429">
        <f>+'Deducible 185'!AD301</f>
        <v>8066254.516002202</v>
      </c>
      <c r="H282" s="428">
        <f t="shared" si="45"/>
        <v>278</v>
      </c>
      <c r="I282" s="429">
        <f>+'No Deducible 93'!Y301</f>
        <v>7262076.231089051</v>
      </c>
      <c r="J282" s="429">
        <f>+'Deducible 151'!Y301</f>
        <v>7057439.826940859</v>
      </c>
      <c r="K282" s="429">
        <f>+'Deducible 185'!Y301</f>
        <v>7262076.231089051</v>
      </c>
      <c r="O282" s="453"/>
      <c r="P282" s="453"/>
      <c r="Q282" s="453"/>
      <c r="Z282" s="454"/>
      <c r="AA282" s="402"/>
    </row>
    <row r="283" spans="1:27" x14ac:dyDescent="0.25">
      <c r="A283" s="426">
        <f t="shared" si="43"/>
        <v>23.25</v>
      </c>
      <c r="B283" s="427">
        <f>'OptiMaxx plus'!$T$7+A283</f>
        <v>52.25</v>
      </c>
      <c r="C283" s="428">
        <f t="shared" si="44"/>
        <v>279</v>
      </c>
      <c r="D283" s="429">
        <f>+'No Deducible 93'!AD302</f>
        <v>8124820.188240294</v>
      </c>
      <c r="E283" s="429">
        <f>+'Deducible 151'!AD302</f>
        <v>7834441.652563495</v>
      </c>
      <c r="F283" s="429">
        <f>+'Deducible 185'!AD302</f>
        <v>8124820.188240294</v>
      </c>
      <c r="H283" s="428">
        <f t="shared" si="45"/>
        <v>279</v>
      </c>
      <c r="I283" s="429">
        <f>+'No Deducible 93'!Y302</f>
        <v>7322546.912052894</v>
      </c>
      <c r="J283" s="429">
        <f>+'Deducible 151'!Y302</f>
        <v>7115315.372138211</v>
      </c>
      <c r="K283" s="429">
        <f>+'Deducible 185'!Y302</f>
        <v>7322546.912052894</v>
      </c>
      <c r="O283" s="453"/>
      <c r="P283" s="453"/>
      <c r="Q283" s="453"/>
      <c r="Z283" s="454"/>
      <c r="AA283" s="402"/>
    </row>
    <row r="284" spans="1:27" x14ac:dyDescent="0.25">
      <c r="A284" s="426">
        <f t="shared" si="43"/>
        <v>23.333333333333332</v>
      </c>
      <c r="B284" s="427">
        <f>'OptiMaxx plus'!$T$7+A284</f>
        <v>52.33333333333333</v>
      </c>
      <c r="C284" s="428">
        <f t="shared" si="44"/>
        <v>280</v>
      </c>
      <c r="D284" s="429">
        <f>+'No Deducible 93'!AD303</f>
        <v>8191083.106092633</v>
      </c>
      <c r="E284" s="429">
        <f>+'Deducible 151'!AD303</f>
        <v>7897432.678292844</v>
      </c>
      <c r="F284" s="429">
        <f>+'Deducible 185'!AD303</f>
        <v>8191083.106092633</v>
      </c>
      <c r="H284" s="428">
        <f t="shared" si="45"/>
        <v>280</v>
      </c>
      <c r="I284" s="429">
        <f>+'No Deducible 93'!Y303</f>
        <v>7383438.841835909</v>
      </c>
      <c r="J284" s="429">
        <f>+'Deducible 151'!Y303</f>
        <v>7173584.754078976</v>
      </c>
      <c r="K284" s="429">
        <f>+'Deducible 185'!Y303</f>
        <v>7383438.841835909</v>
      </c>
      <c r="O284" s="453"/>
      <c r="P284" s="453"/>
      <c r="Q284" s="453"/>
      <c r="Z284" s="454"/>
      <c r="AA284" s="402"/>
    </row>
    <row r="285" spans="1:27" x14ac:dyDescent="0.25">
      <c r="A285" s="426">
        <f t="shared" si="43"/>
        <v>23.416666666666668</v>
      </c>
      <c r="B285" s="427">
        <f>'OptiMaxx plus'!$T$7+A285</f>
        <v>52.41666666666667</v>
      </c>
      <c r="C285" s="428">
        <f t="shared" si="44"/>
        <v>281</v>
      </c>
      <c r="D285" s="429">
        <f>+'No Deducible 93'!AD304</f>
        <v>8257806.272182144</v>
      </c>
      <c r="E285" s="429">
        <f>+'Deducible 151'!AD304</f>
        <v>7960851.285053298</v>
      </c>
      <c r="F285" s="429">
        <f>+'Deducible 185'!AD304</f>
        <v>8257806.272182144</v>
      </c>
      <c r="H285" s="428">
        <f t="shared" si="45"/>
        <v>281</v>
      </c>
      <c r="I285" s="429">
        <f>+'No Deducible 93'!Y304</f>
        <v>7444754.954927417</v>
      </c>
      <c r="J285" s="429">
        <f>+'Deducible 151'!Y304</f>
        <v>7232250.652779039</v>
      </c>
      <c r="K285" s="429">
        <f>+'Deducible 185'!Y304</f>
        <v>7444754.954927417</v>
      </c>
      <c r="O285" s="453"/>
      <c r="P285" s="453"/>
      <c r="Q285" s="453"/>
      <c r="Z285" s="454"/>
      <c r="AA285" s="402"/>
    </row>
    <row r="286" spans="1:27" x14ac:dyDescent="0.25">
      <c r="A286" s="426">
        <f t="shared" si="43"/>
        <v>23.5</v>
      </c>
      <c r="B286" s="427">
        <f>'OptiMaxx plus'!$T$7+A286</f>
        <v>52.5</v>
      </c>
      <c r="C286" s="428">
        <f t="shared" si="44"/>
        <v>282</v>
      </c>
      <c r="D286" s="429">
        <f>+'No Deducible 93'!AD305</f>
        <v>8317623.823088048</v>
      </c>
      <c r="E286" s="429">
        <f>+'Deducible 151'!AD305</f>
        <v>8017458.2719574</v>
      </c>
      <c r="F286" s="429">
        <f>+'Deducible 185'!AD305</f>
        <v>8317623.823088048</v>
      </c>
      <c r="H286" s="428">
        <f t="shared" si="45"/>
        <v>282</v>
      </c>
      <c r="I286" s="429">
        <f>+'No Deducible 93'!Y305</f>
        <v>7506498.206258885</v>
      </c>
      <c r="J286" s="429">
        <f>+'Deducible 151'!Y305</f>
        <v>7291315.7664915</v>
      </c>
      <c r="K286" s="429">
        <f>+'Deducible 185'!Y305</f>
        <v>7506498.206258885</v>
      </c>
      <c r="O286" s="453"/>
      <c r="P286" s="453"/>
      <c r="Q286" s="453"/>
      <c r="Z286" s="454"/>
      <c r="AA286" s="402"/>
    </row>
    <row r="287" spans="1:27" x14ac:dyDescent="0.25">
      <c r="A287" s="426">
        <f t="shared" si="43"/>
        <v>23.583333333333332</v>
      </c>
      <c r="B287" s="427">
        <f>'OptiMaxx plus'!$T$7+A287</f>
        <v>52.58333333333333</v>
      </c>
      <c r="C287" s="428">
        <f t="shared" si="44"/>
        <v>283</v>
      </c>
      <c r="D287" s="429">
        <f>+'No Deducible 93'!AD306</f>
        <v>8385227.765863639</v>
      </c>
      <c r="E287" s="429">
        <f>+'Deducible 151'!AD306</f>
        <v>8081693.0657929825</v>
      </c>
      <c r="F287" s="429">
        <f>+'Deducible 185'!AD306</f>
        <v>8385227.765863639</v>
      </c>
      <c r="H287" s="428">
        <f t="shared" si="45"/>
        <v>283</v>
      </c>
      <c r="I287" s="429">
        <f>+'No Deducible 93'!Y306</f>
        <v>7568671.571346317</v>
      </c>
      <c r="J287" s="429">
        <f>+'Deducible 151'!Y306</f>
        <v>7350782.811830773</v>
      </c>
      <c r="K287" s="429">
        <f>+'Deducible 185'!Y306</f>
        <v>7568671.571346317</v>
      </c>
      <c r="O287" s="453"/>
      <c r="P287" s="453"/>
      <c r="Q287" s="453"/>
      <c r="Z287" s="454"/>
      <c r="AA287" s="402"/>
    </row>
    <row r="288" spans="1:27" x14ac:dyDescent="0.25">
      <c r="A288" s="426">
        <f t="shared" si="43"/>
        <v>23.666666666666668</v>
      </c>
      <c r="B288" s="427">
        <f>'OptiMaxx plus'!$T$7+A288</f>
        <v>52.66666666666667</v>
      </c>
      <c r="C288" s="428">
        <f t="shared" si="44"/>
        <v>284</v>
      </c>
      <c r="D288" s="429">
        <f>+'No Deducible 93'!AD307</f>
        <v>8453301.285799777</v>
      </c>
      <c r="E288" s="429">
        <f>+'Deducible 151'!AD307</f>
        <v>8146363.894197561</v>
      </c>
      <c r="F288" s="429">
        <f>+'Deducible 185'!AD307</f>
        <v>8453301.285799777</v>
      </c>
      <c r="H288" s="428">
        <f t="shared" si="45"/>
        <v>284</v>
      </c>
      <c r="I288" s="429">
        <f>+'No Deducible 93'!Y307</f>
        <v>7631278.046433665</v>
      </c>
      <c r="J288" s="429">
        <f>+'Deducible 151'!Y307</f>
        <v>7410654.523897539</v>
      </c>
      <c r="K288" s="429">
        <f>+'Deducible 185'!Y307</f>
        <v>7631278.046433665</v>
      </c>
      <c r="O288" s="453"/>
      <c r="P288" s="453"/>
      <c r="Q288" s="453"/>
      <c r="Z288" s="454"/>
      <c r="AA288" s="402"/>
    </row>
    <row r="289" spans="1:27" x14ac:dyDescent="0.25">
      <c r="A289" s="426">
        <f t="shared" si="43"/>
        <v>23.75</v>
      </c>
      <c r="B289" s="427">
        <f>'OptiMaxx plus'!$T$7+A289</f>
        <v>52.75</v>
      </c>
      <c r="C289" s="428">
        <f t="shared" si="44"/>
        <v>285</v>
      </c>
      <c r="D289" s="429">
        <f>+'No Deducible 93'!AD308</f>
        <v>8514397.268625941</v>
      </c>
      <c r="E289" s="429">
        <f>+'Deducible 151'!AD308</f>
        <v>8204160.863795275</v>
      </c>
      <c r="F289" s="429">
        <f>+'Deducible 185'!AD308</f>
        <v>8514397.268625941</v>
      </c>
      <c r="H289" s="428">
        <f t="shared" si="45"/>
        <v>285</v>
      </c>
      <c r="I289" s="429">
        <f>+'No Deducible 93'!Y308</f>
        <v>7694320.648637205</v>
      </c>
      <c r="J289" s="429">
        <f>+'Deducible 151'!Y308</f>
        <v>7470933.656404535</v>
      </c>
      <c r="K289" s="429">
        <f>+'Deducible 185'!Y308</f>
        <v>7694320.648637205</v>
      </c>
      <c r="O289" s="453"/>
      <c r="P289" s="453"/>
      <c r="Q289" s="453"/>
      <c r="Z289" s="454"/>
      <c r="AA289" s="402"/>
    </row>
    <row r="290" spans="1:27" x14ac:dyDescent="0.25">
      <c r="A290" s="426">
        <f t="shared" si="43"/>
        <v>23.833333333333332</v>
      </c>
      <c r="B290" s="427">
        <f>'OptiMaxx plus'!$T$7+A290</f>
        <v>52.83333333333333</v>
      </c>
      <c r="C290" s="428">
        <f t="shared" si="44"/>
        <v>286</v>
      </c>
      <c r="D290" s="429">
        <f>+'No Deducible 93'!AD309</f>
        <v>8583369.8708727</v>
      </c>
      <c r="E290" s="429">
        <f>+'Deducible 151'!AD309</f>
        <v>8269664.492733509</v>
      </c>
      <c r="F290" s="429">
        <f>+'Deducible 185'!AD309</f>
        <v>8583369.8708727</v>
      </c>
      <c r="H290" s="428">
        <f t="shared" si="45"/>
        <v>286</v>
      </c>
      <c r="I290" s="429">
        <f>+'No Deducible 93'!Y309</f>
        <v>7757802.416090954</v>
      </c>
      <c r="J290" s="429">
        <f>+'Deducible 151'!Y309</f>
        <v>7531622.981803217</v>
      </c>
      <c r="K290" s="429">
        <f>+'Deducible 185'!Y309</f>
        <v>7757802.416090954</v>
      </c>
      <c r="O290" s="453"/>
      <c r="P290" s="453"/>
      <c r="Q290" s="453"/>
      <c r="Z290" s="454"/>
      <c r="AA290" s="402"/>
    </row>
    <row r="291" spans="1:27" x14ac:dyDescent="0.25">
      <c r="A291" s="426">
        <f t="shared" si="43"/>
        <v>23.916666666666668</v>
      </c>
      <c r="B291" s="427">
        <f>'OptiMaxx plus'!$T$7+A291</f>
        <v>52.91666666666667</v>
      </c>
      <c r="C291" s="428">
        <f t="shared" si="44"/>
        <v>287</v>
      </c>
      <c r="D291" s="429">
        <f>+'No Deducible 93'!AD310</f>
        <v>8652821.571587384</v>
      </c>
      <c r="E291" s="429">
        <f>+'Deducible 151'!AD310</f>
        <v>8335612.780259813</v>
      </c>
      <c r="F291" s="429">
        <f>+'Deducible 185'!AD310</f>
        <v>8652821.571587384</v>
      </c>
      <c r="H291" s="428">
        <f t="shared" si="45"/>
        <v>287</v>
      </c>
      <c r="I291" s="429">
        <f>+'No Deducible 93'!Y310</f>
        <v>7821726.408093072</v>
      </c>
      <c r="J291" s="429">
        <f>+'Deducible 151'!Y310</f>
        <v>7592725.291411266</v>
      </c>
      <c r="K291" s="429">
        <f>+'Deducible 185'!Y310</f>
        <v>7821726.408093072</v>
      </c>
      <c r="O291" s="453"/>
      <c r="P291" s="453"/>
      <c r="Q291" s="453"/>
      <c r="Z291" s="454"/>
      <c r="AA291" s="402"/>
    </row>
    <row r="292" spans="1:27" x14ac:dyDescent="0.25">
      <c r="A292" s="426">
        <f t="shared" si="43"/>
        <v>24</v>
      </c>
      <c r="B292" s="427">
        <f>'OptiMaxx plus'!$T$7+A292</f>
        <v>53</v>
      </c>
      <c r="C292" s="428">
        <f t="shared" si="44"/>
        <v>288</v>
      </c>
      <c r="D292" s="429">
        <f>+'No Deducible 93'!AD311</f>
        <v>8715223.100644492</v>
      </c>
      <c r="E292" s="429">
        <f>+'Deducible 151'!AD311</f>
        <v>8394624.450277643</v>
      </c>
      <c r="F292" s="429">
        <f>+'Deducible 185'!AD311</f>
        <v>8715223.100644492</v>
      </c>
      <c r="H292" s="428">
        <f t="shared" si="45"/>
        <v>288</v>
      </c>
      <c r="I292" s="429">
        <f>+'No Deducible 93'!Y311</f>
        <v>7886095.705253298</v>
      </c>
      <c r="J292" s="429">
        <f>+'Deducible 151'!Y311</f>
        <v>7654243.395540973</v>
      </c>
      <c r="K292" s="429">
        <f>+'Deducible 185'!Y311</f>
        <v>7886095.705253298</v>
      </c>
      <c r="O292" s="453"/>
      <c r="P292" s="453"/>
      <c r="Q292" s="453"/>
      <c r="Z292" s="454"/>
      <c r="AA292" s="402"/>
    </row>
    <row r="293" spans="1:27" x14ac:dyDescent="0.25">
      <c r="A293" s="426">
        <f t="shared" si="43"/>
        <v>24.083333333333332</v>
      </c>
      <c r="B293" s="427">
        <f>'OptiMaxx plus'!$T$7+A293</f>
        <v>53.08333333333333</v>
      </c>
      <c r="C293" s="428">
        <f t="shared" si="44"/>
        <v>289</v>
      </c>
      <c r="D293" s="429">
        <f>+'No Deducible 93'!AD312</f>
        <v>8785585.059505053</v>
      </c>
      <c r="E293" s="429">
        <f>+'Deducible 151'!AD312</f>
        <v>8461413.78734691</v>
      </c>
      <c r="F293" s="429">
        <f>+'Deducible 185'!AD312</f>
        <v>8785585.059505053</v>
      </c>
      <c r="H293" s="428">
        <f t="shared" si="45"/>
        <v>289</v>
      </c>
      <c r="I293" s="429">
        <f>+'No Deducible 93'!Y312</f>
        <v>7950905.897188441</v>
      </c>
      <c r="J293" s="429">
        <f>+'Deducible 151'!Y312</f>
        <v>7716171.419291803</v>
      </c>
      <c r="K293" s="429">
        <f>+'Deducible 185'!Y312</f>
        <v>7950905.897188441</v>
      </c>
      <c r="O293" s="453"/>
      <c r="P293" s="453"/>
      <c r="Q293" s="453"/>
      <c r="Z293" s="454"/>
      <c r="AA293" s="402"/>
    </row>
    <row r="294" spans="1:27" x14ac:dyDescent="0.25">
      <c r="A294" s="426">
        <f t="shared" si="43"/>
        <v>24.166666666666668</v>
      </c>
      <c r="B294" s="427">
        <f>'OptiMaxx plus'!$T$7+A294</f>
        <v>53.16666666666667</v>
      </c>
      <c r="C294" s="428">
        <f t="shared" si="44"/>
        <v>290</v>
      </c>
      <c r="D294" s="429">
        <f>+'No Deducible 93'!AD313</f>
        <v>8856435.782196641</v>
      </c>
      <c r="E294" s="429">
        <f>+'Deducible 151'!AD313</f>
        <v>8528656.52174452</v>
      </c>
      <c r="F294" s="429">
        <f>+'Deducible 185'!AD313</f>
        <v>8856435.782196641</v>
      </c>
      <c r="H294" s="428">
        <f t="shared" si="45"/>
        <v>290</v>
      </c>
      <c r="I294" s="429">
        <f>+'No Deducible 93'!Y313</f>
        <v>8016167.56769779</v>
      </c>
      <c r="J294" s="429">
        <f>+'Deducible 151'!Y313</f>
        <v>7778520.856458556</v>
      </c>
      <c r="K294" s="429">
        <f>+'Deducible 185'!Y313</f>
        <v>8016167.56769779</v>
      </c>
      <c r="O294" s="453"/>
      <c r="P294" s="453"/>
      <c r="Q294" s="453"/>
      <c r="Z294" s="454"/>
      <c r="AA294" s="402"/>
    </row>
    <row r="295" spans="1:27" x14ac:dyDescent="0.25">
      <c r="A295" s="426">
        <f t="shared" si="43"/>
        <v>24.25</v>
      </c>
      <c r="B295" s="427">
        <f>'OptiMaxx plus'!$T$7+A295</f>
        <v>53.25</v>
      </c>
      <c r="C295" s="428">
        <f t="shared" si="44"/>
        <v>291</v>
      </c>
      <c r="D295" s="429">
        <f>+'No Deducible 93'!AD314</f>
        <v>8920162.927202055</v>
      </c>
      <c r="E295" s="429">
        <f>+'Deducible 151'!AD314</f>
        <v>8588899.29728291</v>
      </c>
      <c r="F295" s="429">
        <f>+'Deducible 185'!AD314</f>
        <v>8920162.927202055</v>
      </c>
      <c r="H295" s="428">
        <f t="shared" si="45"/>
        <v>291</v>
      </c>
      <c r="I295" s="429">
        <f>+'No Deducible 93'!Y314</f>
        <v>8081883.861856173</v>
      </c>
      <c r="J295" s="429">
        <f>+'Deducible 151'!Y314</f>
        <v>7841294.574713352</v>
      </c>
      <c r="K295" s="429">
        <f>+'Deducible 185'!Y314</f>
        <v>8081883.861856173</v>
      </c>
      <c r="O295" s="453"/>
      <c r="P295" s="453"/>
      <c r="Q295" s="453"/>
      <c r="Z295" s="454"/>
      <c r="AA295" s="402"/>
    </row>
    <row r="296" spans="1:27" x14ac:dyDescent="0.25">
      <c r="A296" s="426">
        <f t="shared" si="43"/>
        <v>24.333333333333332</v>
      </c>
      <c r="B296" s="427">
        <f>'OptiMaxx plus'!$T$7+A296</f>
        <v>53.33333333333333</v>
      </c>
      <c r="C296" s="428">
        <f t="shared" si="44"/>
        <v>292</v>
      </c>
      <c r="D296" s="429">
        <f>+'No Deducible 93'!AD315</f>
        <v>8991950.393706197</v>
      </c>
      <c r="E296" s="429">
        <f>+'Deducible 151'!AD315</f>
        <v>8657008.966088152</v>
      </c>
      <c r="F296" s="429">
        <f>+'Deducible 185'!AD315</f>
        <v>8991950.393706197</v>
      </c>
      <c r="H296" s="428">
        <f t="shared" si="45"/>
        <v>292</v>
      </c>
      <c r="I296" s="429">
        <f>+'No Deducible 93'!Y315</f>
        <v>8148057.946647525</v>
      </c>
      <c r="J296" s="429">
        <f>+'Deducible 151'!Y315</f>
        <v>7904495.461242505</v>
      </c>
      <c r="K296" s="429">
        <f>+'Deducible 185'!Y315</f>
        <v>8148057.946647525</v>
      </c>
      <c r="O296" s="453"/>
      <c r="P296" s="453"/>
      <c r="Q296" s="453"/>
      <c r="Z296" s="454"/>
      <c r="AA296" s="402"/>
    </row>
    <row r="297" spans="1:27" x14ac:dyDescent="0.25">
      <c r="A297" s="426">
        <f t="shared" si="43"/>
        <v>24.416666666666668</v>
      </c>
      <c r="B297" s="427">
        <f>'OptiMaxx plus'!$T$7+A297</f>
        <v>53.41666666666667</v>
      </c>
      <c r="C297" s="428">
        <f t="shared" si="44"/>
        <v>293</v>
      </c>
      <c r="D297" s="429">
        <f>+'No Deducible 93'!AD316</f>
        <v>9064236.54111335</v>
      </c>
      <c r="E297" s="429">
        <f>+'Deducible 151'!AD316</f>
        <v>8725581.006473003</v>
      </c>
      <c r="F297" s="429">
        <f>+'Deducible 185'!AD316</f>
        <v>9064236.54111335</v>
      </c>
      <c r="H297" s="428">
        <f t="shared" si="45"/>
        <v>293</v>
      </c>
      <c r="I297" s="429">
        <f>+'No Deducible 93'!Y316</f>
        <v>8214693.011117521</v>
      </c>
      <c r="J297" s="429">
        <f>+'Deducible 151'!Y316</f>
        <v>7968126.422879316</v>
      </c>
      <c r="K297" s="429">
        <f>+'Deducible 185'!Y316</f>
        <v>8214693.011117521</v>
      </c>
      <c r="O297" s="453"/>
      <c r="P297" s="453"/>
      <c r="Q297" s="453"/>
      <c r="Z297" s="454"/>
      <c r="AA297" s="402"/>
    </row>
    <row r="298" spans="1:27" x14ac:dyDescent="0.25">
      <c r="A298" s="426">
        <f t="shared" si="43"/>
        <v>24.5</v>
      </c>
      <c r="B298" s="427">
        <f>'OptiMaxx plus'!$T$7+A298</f>
        <v>53.5</v>
      </c>
      <c r="C298" s="428">
        <f t="shared" si="44"/>
        <v>294</v>
      </c>
      <c r="D298" s="429">
        <f>+'No Deducible 93'!AD317</f>
        <v>9129325.031417409</v>
      </c>
      <c r="E298" s="429">
        <f>+'Deducible 151'!AD317</f>
        <v>8787089.27878581</v>
      </c>
      <c r="F298" s="429">
        <f>+'Deducible 185'!AD317</f>
        <v>9129325.031417409</v>
      </c>
      <c r="H298" s="428">
        <f t="shared" si="45"/>
        <v>294</v>
      </c>
      <c r="I298" s="429">
        <f>+'No Deducible 93'!Y317</f>
        <v>8281792.266527258</v>
      </c>
      <c r="J298" s="429">
        <f>+'Deducible 151'!Y317</f>
        <v>8032190.386237767</v>
      </c>
      <c r="K298" s="429">
        <f>+'Deducible 185'!Y317</f>
        <v>8281792.266527258</v>
      </c>
      <c r="O298" s="453"/>
      <c r="P298" s="453"/>
      <c r="Q298" s="453"/>
      <c r="Z298" s="454"/>
      <c r="AA298" s="402"/>
    </row>
    <row r="299" spans="1:27" x14ac:dyDescent="0.25">
      <c r="A299" s="426">
        <f t="shared" si="43"/>
        <v>24.583333333333332</v>
      </c>
      <c r="B299" s="427">
        <f>'OptiMaxx plus'!$T$7+A299</f>
        <v>53.58333333333333</v>
      </c>
      <c r="C299" s="428">
        <f t="shared" si="44"/>
        <v>295</v>
      </c>
      <c r="D299" s="429">
        <f>+'No Deducible 93'!AD318</f>
        <v>9202567.398267535</v>
      </c>
      <c r="E299" s="429">
        <f>+'Deducible 151'!AD318</f>
        <v>8856545.905294228</v>
      </c>
      <c r="F299" s="429">
        <f>+'Deducible 185'!AD318</f>
        <v>9202567.398267535</v>
      </c>
      <c r="H299" s="428">
        <f t="shared" si="45"/>
        <v>295</v>
      </c>
      <c r="I299" s="429">
        <f>+'No Deducible 93'!Y318</f>
        <v>8349358.946508012</v>
      </c>
      <c r="J299" s="429">
        <f>+'Deducible 151'!Y318</f>
        <v>8096690.297847127</v>
      </c>
      <c r="K299" s="429">
        <f>+'Deducible 185'!Y318</f>
        <v>8349358.946508012</v>
      </c>
      <c r="O299" s="453"/>
      <c r="P299" s="453"/>
      <c r="Q299" s="453"/>
      <c r="Z299" s="454"/>
      <c r="AA299" s="402"/>
    </row>
    <row r="300" spans="1:27" x14ac:dyDescent="0.25">
      <c r="A300" s="426">
        <f t="shared" si="43"/>
        <v>24.666666666666668</v>
      </c>
      <c r="B300" s="427">
        <f>'OptiMaxx plus'!$T$7+A300</f>
        <v>53.66666666666667</v>
      </c>
      <c r="C300" s="428">
        <f t="shared" si="44"/>
        <v>296</v>
      </c>
      <c r="D300" s="429">
        <f>+'No Deducible 93'!AD319</f>
        <v>9276318.567720719</v>
      </c>
      <c r="E300" s="429">
        <f>+'Deducible 151'!AD319</f>
        <v>8926474.058720533</v>
      </c>
      <c r="F300" s="429">
        <f>+'Deducible 185'!AD319</f>
        <v>9276318.567720719</v>
      </c>
      <c r="H300" s="428">
        <f t="shared" si="45"/>
        <v>296</v>
      </c>
      <c r="I300" s="429">
        <f>+'No Deducible 93'!Y319</f>
        <v>8417396.307217073</v>
      </c>
      <c r="J300" s="429">
        <f>+'Deducible 151'!Y319</f>
        <v>8161629.124287476</v>
      </c>
      <c r="K300" s="429">
        <f>+'Deducible 185'!Y319</f>
        <v>8417396.307217073</v>
      </c>
      <c r="O300" s="453"/>
      <c r="P300" s="453"/>
      <c r="Q300" s="453"/>
      <c r="Z300" s="454"/>
      <c r="AA300" s="402"/>
    </row>
    <row r="301" spans="1:27" x14ac:dyDescent="0.25">
      <c r="A301" s="426">
        <f t="shared" si="43"/>
        <v>24.75</v>
      </c>
      <c r="B301" s="427">
        <f>'OptiMaxx plus'!$T$7+A301</f>
        <v>53.75</v>
      </c>
      <c r="C301" s="428">
        <f t="shared" si="44"/>
        <v>297</v>
      </c>
      <c r="D301" s="429">
        <f>+'No Deducible 93'!AD320</f>
        <v>9342797.269429397</v>
      </c>
      <c r="E301" s="429">
        <f>+'Deducible 151'!AD320</f>
        <v>8989274.105314096</v>
      </c>
      <c r="F301" s="429">
        <f>+'Deducible 185'!AD320</f>
        <v>9342797.269429397</v>
      </c>
      <c r="H301" s="428">
        <f t="shared" si="45"/>
        <v>297</v>
      </c>
      <c r="I301" s="429">
        <f>+'No Deducible 93'!Y320</f>
        <v>8485907.627494661</v>
      </c>
      <c r="J301" s="429">
        <f>+'Deducible 151'!Y320</f>
        <v>8227009.852326144</v>
      </c>
      <c r="K301" s="429">
        <f>+'Deducible 185'!Y320</f>
        <v>8485907.627494661</v>
      </c>
      <c r="O301" s="453"/>
      <c r="P301" s="453"/>
      <c r="Q301" s="453"/>
      <c r="Z301" s="454"/>
      <c r="AA301" s="402"/>
    </row>
    <row r="302" spans="1:27" x14ac:dyDescent="0.25">
      <c r="A302" s="426">
        <f t="shared" si="43"/>
        <v>24.833333333333332</v>
      </c>
      <c r="B302" s="427">
        <f>'OptiMaxx plus'!$T$7+A302</f>
        <v>53.83333333333333</v>
      </c>
      <c r="C302" s="428">
        <f t="shared" si="44"/>
        <v>298</v>
      </c>
      <c r="D302" s="429">
        <f>+'No Deducible 93'!AD321</f>
        <v>9417524.541153941</v>
      </c>
      <c r="E302" s="429">
        <f>+'Deducible 151'!AD321</f>
        <v>9060104.857760794</v>
      </c>
      <c r="F302" s="429">
        <f>+'Deducible 185'!AD321</f>
        <v>9417524.541153941</v>
      </c>
      <c r="H302" s="428">
        <f t="shared" si="45"/>
        <v>298</v>
      </c>
      <c r="I302" s="429">
        <f>+'No Deducible 93'!Y321</f>
        <v>8554896.209021946</v>
      </c>
      <c r="J302" s="429">
        <f>+'Deducible 151'!Y321</f>
        <v>8292835.489055089</v>
      </c>
      <c r="K302" s="429">
        <f>+'Deducible 185'!Y321</f>
        <v>8554896.209021946</v>
      </c>
      <c r="O302" s="453"/>
      <c r="P302" s="453"/>
      <c r="Q302" s="453"/>
      <c r="Z302" s="454"/>
      <c r="AA302" s="402"/>
    </row>
    <row r="303" spans="1:27" x14ac:dyDescent="0.25">
      <c r="A303" s="426">
        <f t="shared" si="43"/>
        <v>24.916666666666668</v>
      </c>
      <c r="B303" s="427">
        <f>'OptiMaxx plus'!$T$7+A303</f>
        <v>53.91666666666667</v>
      </c>
      <c r="C303" s="428">
        <f t="shared" si="44"/>
        <v>299</v>
      </c>
      <c r="D303" s="429">
        <f>+'No Deducible 93'!AD322</f>
        <v>9492770.946070518</v>
      </c>
      <c r="E303" s="429">
        <f>+'Deducible 151'!AD322</f>
        <v>9131416.477239775</v>
      </c>
      <c r="F303" s="429">
        <f>+'Deducible 185'!AD322</f>
        <v>9492770.946070518</v>
      </c>
      <c r="H303" s="428">
        <f t="shared" si="45"/>
        <v>299</v>
      </c>
      <c r="I303" s="429">
        <f>+'No Deducible 93'!Y322</f>
        <v>8624365.376480157</v>
      </c>
      <c r="J303" s="429">
        <f>+'Deducible 151'!Y322</f>
        <v>8359109.062029196</v>
      </c>
      <c r="K303" s="429">
        <f>+'Deducible 185'!Y322</f>
        <v>8624365.376480157</v>
      </c>
      <c r="O303" s="453"/>
      <c r="P303" s="453"/>
      <c r="Q303" s="453"/>
      <c r="Z303" s="454"/>
      <c r="AA303" s="402"/>
    </row>
    <row r="304" spans="1:27" x14ac:dyDescent="0.25">
      <c r="A304" s="426">
        <f t="shared" si="43"/>
        <v>25</v>
      </c>
      <c r="B304" s="427">
        <f>'OptiMaxx plus'!$T$7+A304</f>
        <v>54</v>
      </c>
      <c r="C304" s="428">
        <f t="shared" si="44"/>
        <v>300</v>
      </c>
      <c r="D304" s="429">
        <f>+'No Deducible 93'!AD323</f>
        <v>9560669.335121633</v>
      </c>
      <c r="E304" s="429">
        <f>+'Deducible 151'!AD323</f>
        <v>9195535.118332863</v>
      </c>
      <c r="F304" s="429">
        <f>+'Deducible 185'!AD323</f>
        <v>9560669.335121633</v>
      </c>
      <c r="H304" s="428">
        <f t="shared" si="45"/>
        <v>300</v>
      </c>
      <c r="I304" s="429">
        <f>+'No Deducible 93'!Y323</f>
        <v>8694318.477710802</v>
      </c>
      <c r="J304" s="429">
        <f>+'Deducible 151'!Y323</f>
        <v>8425833.619405532</v>
      </c>
      <c r="K304" s="429">
        <f>+'Deducible 185'!Y323</f>
        <v>8694318.477710802</v>
      </c>
      <c r="O304" s="453"/>
      <c r="P304" s="453"/>
      <c r="Q304" s="453"/>
      <c r="Z304" s="454"/>
      <c r="AA304" s="402"/>
    </row>
    <row r="305" spans="1:27" x14ac:dyDescent="0.25">
      <c r="A305" s="426">
        <f t="shared" si="43"/>
        <v>25.083333333333332</v>
      </c>
      <c r="B305" s="427">
        <f>'OptiMaxx plus'!$T$7+A305</f>
        <v>54.08333333333333</v>
      </c>
      <c r="C305" s="428">
        <f t="shared" si="44"/>
        <v>301</v>
      </c>
      <c r="D305" s="429">
        <f>+'No Deducible 93'!AD324</f>
        <v>9636904.327924136</v>
      </c>
      <c r="E305" s="429">
        <f>+'Deducible 151'!AD324</f>
        <v>9267758.665807562</v>
      </c>
      <c r="F305" s="429">
        <f>+'Deducible 185'!AD324</f>
        <v>9636904.327924136</v>
      </c>
      <c r="H305" s="428">
        <f t="shared" si="45"/>
        <v>301</v>
      </c>
      <c r="I305" s="429">
        <f>+'No Deducible 93'!Y324</f>
        <v>8764751.07092592</v>
      </c>
      <c r="J305" s="429">
        <f>+'Deducible 151'!Y324</f>
        <v>8493003.177573375</v>
      </c>
      <c r="K305" s="429">
        <f>+'Deducible 185'!Y324</f>
        <v>8764751.07092592</v>
      </c>
      <c r="O305" s="453"/>
      <c r="P305" s="453"/>
      <c r="Q305" s="453"/>
      <c r="Z305" s="454"/>
      <c r="AA305" s="402"/>
    </row>
    <row r="306" spans="1:27" x14ac:dyDescent="0.25">
      <c r="A306" s="426">
        <f t="shared" si="43"/>
        <v>25.166666666666668</v>
      </c>
      <c r="B306" s="427">
        <f>'OptiMaxx plus'!$T$7+A306</f>
        <v>54.16666666666667</v>
      </c>
      <c r="C306" s="428">
        <f t="shared" si="44"/>
        <v>302</v>
      </c>
      <c r="D306" s="429">
        <f>+'No Deducible 93'!AD325</f>
        <v>9713668.9433203</v>
      </c>
      <c r="E306" s="429">
        <f>+'Deducible 151'!AD325</f>
        <v>9340472.547368355</v>
      </c>
      <c r="F306" s="429">
        <f>+'Deducible 185'!AD325</f>
        <v>9713668.9433203</v>
      </c>
      <c r="H306" s="428">
        <f t="shared" si="45"/>
        <v>302</v>
      </c>
      <c r="I306" s="429">
        <f>+'No Deducible 93'!Y325</f>
        <v>8835674.309297502</v>
      </c>
      <c r="J306" s="429">
        <f>+'Deducible 151'!Y325</f>
        <v>8560629.817224514</v>
      </c>
      <c r="K306" s="429">
        <f>+'Deducible 185'!Y325</f>
        <v>8835674.309297502</v>
      </c>
      <c r="O306" s="453"/>
      <c r="P306" s="453"/>
      <c r="Q306" s="453"/>
      <c r="Z306" s="454"/>
      <c r="AA306" s="402"/>
    </row>
    <row r="307" spans="1:27" x14ac:dyDescent="0.25">
      <c r="A307" s="426">
        <f t="shared" si="43"/>
        <v>25.25</v>
      </c>
      <c r="B307" s="427">
        <f>'OptiMaxx plus'!$T$7+A307</f>
        <v>54.25</v>
      </c>
      <c r="C307" s="428">
        <f t="shared" si="44"/>
        <v>303</v>
      </c>
      <c r="D307" s="429">
        <f>+'No Deducible 93'!AD326</f>
        <v>9783009.196160119</v>
      </c>
      <c r="E307" s="429">
        <f>+'Deducible 151'!AD326</f>
        <v>9405927.980940474</v>
      </c>
      <c r="F307" s="429">
        <f>+'Deducible 185'!AD326</f>
        <v>9783009.196160119</v>
      </c>
      <c r="H307" s="428">
        <f t="shared" si="45"/>
        <v>303</v>
      </c>
      <c r="I307" s="429">
        <f>+'No Deducible 93'!Y326</f>
        <v>8907091.610741299</v>
      </c>
      <c r="J307" s="429">
        <f>+'Deducible 151'!Y326</f>
        <v>8628716.648748357</v>
      </c>
      <c r="K307" s="429">
        <f>+'Deducible 185'!Y326</f>
        <v>8907091.610741299</v>
      </c>
      <c r="O307" s="453"/>
      <c r="P307" s="453"/>
      <c r="Q307" s="453"/>
      <c r="Z307" s="454"/>
      <c r="AA307" s="402"/>
    </row>
    <row r="308" spans="1:27" x14ac:dyDescent="0.25">
      <c r="A308" s="426">
        <f t="shared" si="43"/>
        <v>25.333333333333332</v>
      </c>
      <c r="B308" s="427">
        <f>'OptiMaxx plus'!$T$7+A308</f>
        <v>54.33333333333333</v>
      </c>
      <c r="C308" s="428">
        <f t="shared" si="44"/>
        <v>304</v>
      </c>
      <c r="D308" s="429">
        <f>+'No Deducible 93'!AD327</f>
        <v>9860790.825422209</v>
      </c>
      <c r="E308" s="429">
        <f>+'Deducible 151'!AD327</f>
        <v>9479581.476178052</v>
      </c>
      <c r="F308" s="429">
        <f>+'Deducible 185'!AD327</f>
        <v>9860790.825422209</v>
      </c>
      <c r="H308" s="428">
        <f t="shared" si="45"/>
        <v>304</v>
      </c>
      <c r="I308" s="429">
        <f>+'No Deducible 93'!Y327</f>
        <v>8979006.416982828</v>
      </c>
      <c r="J308" s="429">
        <f>+'Deducible 151'!Y327</f>
        <v>8697266.803700173</v>
      </c>
      <c r="K308" s="429">
        <f>+'Deducible 185'!Y327</f>
        <v>8979006.416982828</v>
      </c>
      <c r="O308" s="453"/>
      <c r="P308" s="453"/>
      <c r="Q308" s="453"/>
      <c r="Z308" s="454"/>
      <c r="AA308" s="402"/>
    </row>
    <row r="309" spans="1:27" x14ac:dyDescent="0.25">
      <c r="A309" s="426">
        <f t="shared" si="43"/>
        <v>25.416666666666668</v>
      </c>
      <c r="B309" s="427">
        <f>'OptiMaxx plus'!$T$7+A309</f>
        <v>54.41666666666667</v>
      </c>
      <c r="C309" s="428">
        <f t="shared" si="44"/>
        <v>305</v>
      </c>
      <c r="D309" s="429">
        <f>+'No Deducible 93'!AD328</f>
        <v>9939112.837640554</v>
      </c>
      <c r="E309" s="429">
        <f>+'Deducible 151'!AD328</f>
        <v>9553735.025273155</v>
      </c>
      <c r="F309" s="429">
        <f>+'Deducible 185'!AD328</f>
        <v>9939112.837640554</v>
      </c>
      <c r="H309" s="428">
        <f t="shared" si="45"/>
        <v>305</v>
      </c>
      <c r="I309" s="429">
        <f>+'No Deducible 93'!Y328</f>
        <v>9051422.193723237</v>
      </c>
      <c r="J309" s="429">
        <f>+'Deducible 151'!Y328</f>
        <v>8766283.434945121</v>
      </c>
      <c r="K309" s="429">
        <f>+'Deducible 185'!Y328</f>
        <v>9051422.193723237</v>
      </c>
      <c r="O309" s="453"/>
      <c r="P309" s="453"/>
      <c r="Q309" s="453"/>
      <c r="Z309" s="454"/>
      <c r="AA309" s="402"/>
    </row>
    <row r="310" spans="1:27" x14ac:dyDescent="0.25">
      <c r="A310" s="426">
        <f t="shared" si="43"/>
        <v>25.5</v>
      </c>
      <c r="B310" s="427">
        <f>'OptiMaxx plus'!$T$7+A310</f>
        <v>54.5</v>
      </c>
      <c r="C310" s="428">
        <f t="shared" si="44"/>
        <v>306</v>
      </c>
      <c r="D310" s="429">
        <f>+'No Deducible 93'!AD329</f>
        <v>10009933.444185076</v>
      </c>
      <c r="E310" s="429">
        <f>+'Deducible 151'!AD329</f>
        <v>9620564.178265715</v>
      </c>
      <c r="F310" s="429">
        <f>+'Deducible 185'!AD329</f>
        <v>10009933.444185076</v>
      </c>
      <c r="H310" s="428">
        <f t="shared" si="45"/>
        <v>306</v>
      </c>
      <c r="I310" s="429">
        <f>+'No Deducible 93'!Y329</f>
        <v>9124342.43080633</v>
      </c>
      <c r="J310" s="429">
        <f>+'Deducible 151'!Y329</f>
        <v>8835769.716803266</v>
      </c>
      <c r="K310" s="429">
        <f>+'Deducible 185'!Y329</f>
        <v>9124342.43080633</v>
      </c>
      <c r="O310" s="453"/>
      <c r="P310" s="453"/>
      <c r="Q310" s="453"/>
      <c r="Z310" s="454"/>
      <c r="AA310" s="402"/>
    </row>
    <row r="311" spans="1:27" x14ac:dyDescent="0.25">
      <c r="A311" s="426">
        <f t="shared" si="43"/>
        <v>25.583333333333332</v>
      </c>
      <c r="B311" s="427">
        <f>'OptiMaxx plus'!$T$7+A311</f>
        <v>54.58333333333333</v>
      </c>
      <c r="C311" s="428">
        <f t="shared" si="44"/>
        <v>307</v>
      </c>
      <c r="D311" s="429">
        <f>+'No Deducible 93'!AD330</f>
        <v>10089293.624333967</v>
      </c>
      <c r="E311" s="429">
        <f>+'Deducible 151'!AD330</f>
        <v>9695676.47997703</v>
      </c>
      <c r="F311" s="429">
        <f>+'Deducible 185'!AD330</f>
        <v>10089293.624333967</v>
      </c>
      <c r="H311" s="428">
        <f t="shared" si="45"/>
        <v>307</v>
      </c>
      <c r="I311" s="429">
        <f>+'No Deducible 93'!Y330</f>
        <v>9197770.642386738</v>
      </c>
      <c r="J311" s="429">
        <f>+'Deducible 151'!Y330</f>
        <v>8905728.845195564</v>
      </c>
      <c r="K311" s="429">
        <f>+'Deducible 185'!Y330</f>
        <v>9197770.642386738</v>
      </c>
      <c r="O311" s="453"/>
      <c r="P311" s="453"/>
      <c r="Q311" s="453"/>
      <c r="Z311" s="454"/>
      <c r="AA311" s="402"/>
    </row>
    <row r="312" spans="1:27" x14ac:dyDescent="0.25">
      <c r="A312" s="426">
        <f t="shared" si="43"/>
        <v>25.666666666666668</v>
      </c>
      <c r="B312" s="427">
        <f>'OptiMaxx plus'!$T$7+A312</f>
        <v>54.66666666666667</v>
      </c>
      <c r="C312" s="428">
        <f t="shared" si="44"/>
        <v>308</v>
      </c>
      <c r="D312" s="429">
        <f>+'No Deducible 93'!AD331</f>
        <v>10169205.169991639</v>
      </c>
      <c r="E312" s="429">
        <f>+'Deducible 151'!AD331</f>
        <v>9771298.751594026</v>
      </c>
      <c r="F312" s="429">
        <f>+'Deducible 185'!AD331</f>
        <v>10169205.169991639</v>
      </c>
      <c r="H312" s="428">
        <f t="shared" si="45"/>
        <v>308</v>
      </c>
      <c r="I312" s="429">
        <f>+'No Deducible 93'!Y331</f>
        <v>9271710.367099281</v>
      </c>
      <c r="J312" s="429">
        <f>+'Deducible 151'!Y331</f>
        <v>8976164.03779087</v>
      </c>
      <c r="K312" s="429">
        <f>+'Deducible 185'!Y331</f>
        <v>9271710.367099281</v>
      </c>
      <c r="O312" s="453"/>
      <c r="P312" s="453"/>
      <c r="Q312" s="453"/>
      <c r="Z312" s="454"/>
      <c r="AA312" s="402"/>
    </row>
    <row r="313" spans="1:27" x14ac:dyDescent="0.25">
      <c r="A313" s="426">
        <f t="shared" si="43"/>
        <v>25.75</v>
      </c>
      <c r="B313" s="427">
        <f>'OptiMaxx plus'!$T$7+A313</f>
        <v>54.75</v>
      </c>
      <c r="C313" s="428">
        <f t="shared" si="44"/>
        <v>309</v>
      </c>
      <c r="D313" s="429">
        <f>+'No Deducible 93'!AD332</f>
        <v>10241537.510411995</v>
      </c>
      <c r="E313" s="429">
        <f>+'Deducible 151'!AD332</f>
        <v>9839530.136493558</v>
      </c>
      <c r="F313" s="429">
        <f>+'Deducible 185'!AD332</f>
        <v>10241537.510411995</v>
      </c>
      <c r="H313" s="428">
        <f t="shared" si="45"/>
        <v>309</v>
      </c>
      <c r="I313" s="429">
        <f>+'No Deducible 93'!Y332</f>
        <v>9346165.168229496</v>
      </c>
      <c r="J313" s="429">
        <f>+'Deducible 151'!Y332</f>
        <v>9047078.534153923</v>
      </c>
      <c r="K313" s="429">
        <f>+'Deducible 185'!Y332</f>
        <v>9346165.168229496</v>
      </c>
      <c r="O313" s="453"/>
      <c r="P313" s="453"/>
      <c r="Q313" s="453"/>
      <c r="Z313" s="454"/>
      <c r="AA313" s="402"/>
    </row>
    <row r="314" spans="1:27" x14ac:dyDescent="0.25">
      <c r="A314" s="426">
        <f t="shared" si="43"/>
        <v>25.833333333333332</v>
      </c>
      <c r="B314" s="427">
        <f>'OptiMaxx plus'!$T$7+A314</f>
        <v>54.83333333333333</v>
      </c>
      <c r="C314" s="428">
        <f t="shared" si="44"/>
        <v>310</v>
      </c>
      <c r="D314" s="429">
        <f>+'No Deducible 93'!AD333</f>
        <v>10322508.82046265</v>
      </c>
      <c r="E314" s="429">
        <f>+'Deducible 151'!AD333</f>
        <v>9916130.69135074</v>
      </c>
      <c r="F314" s="429">
        <f>+'Deducible 185'!AD333</f>
        <v>10322508.82046265</v>
      </c>
      <c r="H314" s="428">
        <f t="shared" si="45"/>
        <v>310</v>
      </c>
      <c r="I314" s="429">
        <f>+'No Deducible 93'!Y333</f>
        <v>9421138.63388536</v>
      </c>
      <c r="J314" s="429">
        <f>+'Deducible 151'!Y333</f>
        <v>9118475.595894342</v>
      </c>
      <c r="K314" s="429">
        <f>+'Deducible 185'!Y333</f>
        <v>9421138.63388536</v>
      </c>
      <c r="O314" s="453"/>
      <c r="P314" s="453"/>
      <c r="Q314" s="453"/>
      <c r="Z314" s="454"/>
      <c r="AA314" s="402"/>
    </row>
    <row r="315" spans="1:27" x14ac:dyDescent="0.25">
      <c r="A315" s="426">
        <f t="shared" si="43"/>
        <v>25.916666666666668</v>
      </c>
      <c r="B315" s="427">
        <f>'OptiMaxx plus'!$T$7+A315</f>
        <v>54.91666666666667</v>
      </c>
      <c r="C315" s="428">
        <f t="shared" si="44"/>
        <v>311</v>
      </c>
      <c r="D315" s="429">
        <f>+'No Deducible 93'!AD334</f>
        <v>10404042.705392906</v>
      </c>
      <c r="E315" s="429">
        <f>+'Deducible 151'!AD334</f>
        <v>9993251.332438493</v>
      </c>
      <c r="F315" s="429">
        <f>+'Deducible 185'!AD334</f>
        <v>10404042.705392906</v>
      </c>
      <c r="H315" s="428">
        <f t="shared" si="45"/>
        <v>311</v>
      </c>
      <c r="I315" s="429">
        <f>+'No Deducible 93'!Y334</f>
        <v>9496634.377170205</v>
      </c>
      <c r="J315" s="429">
        <f>+'Deducible 151'!Y334</f>
        <v>9190358.506816642</v>
      </c>
      <c r="K315" s="429">
        <f>+'Deducible 185'!Y334</f>
        <v>9496634.377170205</v>
      </c>
      <c r="O315" s="453"/>
      <c r="P315" s="453"/>
      <c r="Q315" s="453"/>
      <c r="Z315" s="454"/>
      <c r="AA315" s="402"/>
    </row>
    <row r="316" spans="1:27" x14ac:dyDescent="0.25">
      <c r="A316" s="426">
        <f t="shared" si="43"/>
        <v>26</v>
      </c>
      <c r="B316" s="427">
        <f>'OptiMaxx plus'!$T$7+A316</f>
        <v>55</v>
      </c>
      <c r="C316" s="428">
        <f t="shared" si="44"/>
        <v>312</v>
      </c>
      <c r="D316" s="429">
        <f>+'No Deducible 93'!AD335</f>
        <v>10477918.822704589</v>
      </c>
      <c r="E316" s="429">
        <f>+'Deducible 151'!AD335</f>
        <v>10062914.050485035</v>
      </c>
      <c r="F316" s="429">
        <f>+'Deducible 185'!AD335</f>
        <v>10477918.822704589</v>
      </c>
      <c r="H316" s="428">
        <f t="shared" si="45"/>
        <v>312</v>
      </c>
      <c r="I316" s="429">
        <f>+'No Deducible 93'!Y335</f>
        <v>9572656.036356844</v>
      </c>
      <c r="J316" s="429">
        <f>+'Deducible 151'!Y335</f>
        <v>9262730.573071273</v>
      </c>
      <c r="K316" s="429">
        <f>+'Deducible 185'!Y335</f>
        <v>9572656.036356844</v>
      </c>
      <c r="O316" s="453"/>
      <c r="P316" s="453"/>
      <c r="Q316" s="453"/>
      <c r="Z316" s="454"/>
      <c r="AA316" s="402"/>
    </row>
    <row r="317" spans="1:27" x14ac:dyDescent="0.25">
      <c r="A317" s="426">
        <f t="shared" si="43"/>
        <v>26.083333333333332</v>
      </c>
      <c r="B317" s="427">
        <f>'OptiMaxx plus'!$T$7+A317</f>
        <v>55.08333333333333</v>
      </c>
      <c r="C317" s="428">
        <f t="shared" si="44"/>
        <v>313</v>
      </c>
      <c r="D317" s="429">
        <f>+'No Deducible 93'!AD336</f>
        <v>10560526.394697638</v>
      </c>
      <c r="E317" s="429">
        <f>+'Deducible 151'!AD336</f>
        <v>10141023.49054503</v>
      </c>
      <c r="F317" s="429">
        <f>+'Deducible 185'!AD336</f>
        <v>10560526.394697638</v>
      </c>
      <c r="H317" s="428">
        <f t="shared" si="45"/>
        <v>313</v>
      </c>
      <c r="I317" s="429">
        <f>+'No Deducible 93'!Y336</f>
        <v>9649199.149593767</v>
      </c>
      <c r="J317" s="429">
        <f>+'Deducible 151'!Y336</f>
        <v>9335585.708696099</v>
      </c>
      <c r="K317" s="429">
        <f>+'Deducible 185'!Y336</f>
        <v>9649199.149593767</v>
      </c>
      <c r="O317" s="453"/>
      <c r="P317" s="453"/>
      <c r="Q317" s="453"/>
      <c r="Z317" s="454"/>
      <c r="AA317" s="402"/>
    </row>
    <row r="318" spans="1:27" x14ac:dyDescent="0.25">
      <c r="A318" s="426">
        <f t="shared" si="43"/>
        <v>26.166666666666668</v>
      </c>
      <c r="B318" s="427">
        <f>'OptiMaxx plus'!$T$7+A318</f>
        <v>55.16666666666667</v>
      </c>
      <c r="C318" s="428">
        <f t="shared" si="44"/>
        <v>314</v>
      </c>
      <c r="D318" s="429">
        <f>+'No Deducible 93'!AD337</f>
        <v>10643707.925881274</v>
      </c>
      <c r="E318" s="429">
        <f>+'Deducible 151'!AD337</f>
        <v>10219663.273453744</v>
      </c>
      <c r="F318" s="429">
        <f>+'Deducible 185'!AD337</f>
        <v>10643707.925881274</v>
      </c>
      <c r="H318" s="428">
        <f t="shared" si="45"/>
        <v>314</v>
      </c>
      <c r="I318" s="429">
        <f>+'No Deducible 93'!Y337</f>
        <v>9726275.474885734</v>
      </c>
      <c r="J318" s="429">
        <f>+'Deducible 151'!Y337</f>
        <v>9408936.615535824</v>
      </c>
      <c r="K318" s="429">
        <f>+'Deducible 185'!Y337</f>
        <v>9726275.474885734</v>
      </c>
      <c r="O318" s="453"/>
      <c r="P318" s="453"/>
      <c r="Q318" s="453"/>
      <c r="Z318" s="454"/>
      <c r="AA318" s="402"/>
    </row>
    <row r="319" spans="1:27" x14ac:dyDescent="0.25">
      <c r="A319" s="426">
        <f t="shared" si="43"/>
        <v>26.25</v>
      </c>
      <c r="B319" s="427">
        <f>'OptiMaxx plus'!$T$7+A319</f>
        <v>55.25</v>
      </c>
      <c r="C319" s="428">
        <f t="shared" si="44"/>
        <v>315</v>
      </c>
      <c r="D319" s="429">
        <f>+'No Deducible 93'!AD338</f>
        <v>10719152.300850242</v>
      </c>
      <c r="E319" s="429">
        <f>+'Deducible 151'!AD338</f>
        <v>10290777.48359122</v>
      </c>
      <c r="F319" s="429">
        <f>+'Deducible 185'!AD338</f>
        <v>10719152.300850242</v>
      </c>
      <c r="H319" s="428">
        <f t="shared" si="45"/>
        <v>315</v>
      </c>
      <c r="I319" s="429">
        <f>+'No Deducible 93'!Y338</f>
        <v>9803888.72667659</v>
      </c>
      <c r="J319" s="429">
        <f>+'Deducible 151'!Y338</f>
        <v>9482786.667259242</v>
      </c>
      <c r="K319" s="429">
        <f>+'Deducible 185'!Y338</f>
        <v>9803888.72667659</v>
      </c>
      <c r="O319" s="453"/>
      <c r="P319" s="453"/>
      <c r="Q319" s="453"/>
      <c r="Z319" s="454"/>
      <c r="AA319" s="402"/>
    </row>
    <row r="320" spans="1:27" x14ac:dyDescent="0.25">
      <c r="A320" s="426">
        <f t="shared" si="43"/>
        <v>26.333333333333332</v>
      </c>
      <c r="B320" s="427">
        <f>'OptiMaxx plus'!$T$7+A320</f>
        <v>55.33333333333333</v>
      </c>
      <c r="C320" s="428">
        <f t="shared" si="44"/>
        <v>316</v>
      </c>
      <c r="D320" s="429">
        <f>+'No Deducible 93'!AD339</f>
        <v>10803438.039462438</v>
      </c>
      <c r="E320" s="429">
        <f>+'Deducible 151'!AD339</f>
        <v>10370435.68890147</v>
      </c>
      <c r="F320" s="429">
        <f>+'Deducible 185'!AD339</f>
        <v>10803438.039462438</v>
      </c>
      <c r="H320" s="428">
        <f t="shared" si="45"/>
        <v>316</v>
      </c>
      <c r="I320" s="429">
        <f>+'No Deducible 93'!Y339</f>
        <v>9882042.645285612</v>
      </c>
      <c r="J320" s="429">
        <f>+'Deducible 151'!Y339</f>
        <v>9557139.260492595</v>
      </c>
      <c r="K320" s="429">
        <f>+'Deducible 185'!Y339</f>
        <v>9882042.645285612</v>
      </c>
      <c r="O320" s="453"/>
      <c r="P320" s="453"/>
      <c r="Q320" s="453"/>
      <c r="Z320" s="454"/>
      <c r="AA320" s="402"/>
    </row>
    <row r="321" spans="1:27" x14ac:dyDescent="0.25">
      <c r="A321" s="426">
        <f t="shared" si="43"/>
        <v>26.416666666666668</v>
      </c>
      <c r="B321" s="427">
        <f>'OptiMaxx plus'!$T$7+A321</f>
        <v>55.41666666666667</v>
      </c>
      <c r="C321" s="428">
        <f t="shared" si="44"/>
        <v>317</v>
      </c>
      <c r="D321" s="429">
        <f>+'No Deducible 93'!AD340</f>
        <v>10888309.413356079</v>
      </c>
      <c r="E321" s="429">
        <f>+'Deducible 151'!AD340</f>
        <v>10450634.764951298</v>
      </c>
      <c r="F321" s="429">
        <f>+'Deducible 185'!AD340</f>
        <v>10888309.413356079</v>
      </c>
      <c r="H321" s="428">
        <f t="shared" si="45"/>
        <v>317</v>
      </c>
      <c r="I321" s="429">
        <f>+'No Deducible 93'!Y340</f>
        <v>9960740.99708776</v>
      </c>
      <c r="J321" s="429">
        <f>+'Deducible 151'!Y340</f>
        <v>9631997.814975789</v>
      </c>
      <c r="K321" s="429">
        <f>+'Deducible 185'!Y340</f>
        <v>9960740.99708776</v>
      </c>
      <c r="O321" s="453"/>
      <c r="P321" s="453"/>
      <c r="Q321" s="453"/>
      <c r="Z321" s="454"/>
      <c r="AA321" s="402"/>
    </row>
    <row r="322" spans="1:27" x14ac:dyDescent="0.25">
      <c r="A322" s="426">
        <f t="shared" si="43"/>
        <v>26.5</v>
      </c>
      <c r="B322" s="427">
        <f>'OptiMaxx plus'!$T$7+A322</f>
        <v>55.5</v>
      </c>
      <c r="C322" s="428">
        <f t="shared" si="44"/>
        <v>318</v>
      </c>
      <c r="D322" s="429">
        <f>+'No Deducible 93'!AD341</f>
        <v>10965363.522593552</v>
      </c>
      <c r="E322" s="429">
        <f>+'Deducible 151'!AD341</f>
        <v>10523240.129587112</v>
      </c>
      <c r="F322" s="429">
        <f>+'Deducible 185'!AD341</f>
        <v>10965363.522593552</v>
      </c>
      <c r="H322" s="428">
        <f t="shared" si="45"/>
        <v>318</v>
      </c>
      <c r="I322" s="429">
        <f>+'No Deducible 93'!Y341</f>
        <v>10039987.574695189</v>
      </c>
      <c r="J322" s="429">
        <f>+'Deducible 151'!Y341</f>
        <v>9707365.77371969</v>
      </c>
      <c r="K322" s="429">
        <f>+'Deducible 185'!Y341</f>
        <v>10039987.574695189</v>
      </c>
      <c r="O322" s="453"/>
      <c r="P322" s="453"/>
      <c r="Q322" s="453"/>
      <c r="Z322" s="454"/>
      <c r="AA322" s="402"/>
    </row>
    <row r="323" spans="1:27" x14ac:dyDescent="0.25">
      <c r="A323" s="426">
        <f t="shared" si="43"/>
        <v>26.583333333333332</v>
      </c>
      <c r="B323" s="427">
        <f>'OptiMaxx plus'!$T$7+A323</f>
        <v>55.58333333333333</v>
      </c>
      <c r="C323" s="428">
        <f t="shared" si="44"/>
        <v>319</v>
      </c>
      <c r="D323" s="429">
        <f>+'No Deducible 93'!AD342</f>
        <v>11051362.081620153</v>
      </c>
      <c r="E323" s="429">
        <f>+'Deducible 151'!AD342</f>
        <v>10604478.37992345</v>
      </c>
      <c r="F323" s="429">
        <f>+'Deducible 185'!AD342</f>
        <v>11051362.081620153</v>
      </c>
      <c r="H323" s="428">
        <f t="shared" si="45"/>
        <v>319</v>
      </c>
      <c r="I323" s="429">
        <f>+'No Deducible 93'!Y342</f>
        <v>10119786.197140023</v>
      </c>
      <c r="J323" s="429">
        <f>+'Deducible 151'!Y342</f>
        <v>9783246.603164475</v>
      </c>
      <c r="K323" s="429">
        <f>+'Deducible 185'!Y342</f>
        <v>10119786.197140023</v>
      </c>
      <c r="O323" s="453"/>
      <c r="P323" s="453"/>
      <c r="Q323" s="453"/>
      <c r="Z323" s="454"/>
      <c r="AA323" s="402"/>
    </row>
    <row r="324" spans="1:27" x14ac:dyDescent="0.25">
      <c r="A324" s="426">
        <f t="shared" si="43"/>
        <v>26.666666666666668</v>
      </c>
      <c r="B324" s="427">
        <f>'OptiMaxx plus'!$T$7+A324</f>
        <v>55.66666666666667</v>
      </c>
      <c r="C324" s="428">
        <f t="shared" si="44"/>
        <v>320</v>
      </c>
      <c r="D324" s="429">
        <f>+'No Deducible 93'!AD343</f>
        <v>11137958.193286793</v>
      </c>
      <c r="E324" s="429">
        <f>+'Deducible 151'!AD343</f>
        <v>10686268.241638016</v>
      </c>
      <c r="F324" s="429">
        <f>+'Deducible 185'!AD343</f>
        <v>11137958.193286793</v>
      </c>
      <c r="H324" s="428">
        <f t="shared" si="45"/>
        <v>320</v>
      </c>
      <c r="I324" s="429">
        <f>+'No Deducible 93'!Y343</f>
        <v>10200140.7100584</v>
      </c>
      <c r="J324" s="429">
        <f>+'Deducible 151'!Y343</f>
        <v>9859643.793339066</v>
      </c>
      <c r="K324" s="429">
        <f>+'Deducible 185'!Y343</f>
        <v>10200140.7100584</v>
      </c>
      <c r="O324" s="453"/>
      <c r="P324" s="453"/>
      <c r="Q324" s="453"/>
      <c r="Z324" s="454"/>
      <c r="AA324" s="402"/>
    </row>
    <row r="325" spans="1:27" x14ac:dyDescent="0.25">
      <c r="A325" s="426">
        <f t="shared" si="43"/>
        <v>26.75</v>
      </c>
      <c r="B325" s="427">
        <f>'OptiMaxx plus'!$T$7+A325</f>
        <v>55.75</v>
      </c>
      <c r="C325" s="428">
        <f t="shared" si="44"/>
        <v>321</v>
      </c>
      <c r="D325" s="429">
        <f>+'No Deducible 93'!AD344</f>
        <v>11216656.149734125</v>
      </c>
      <c r="E325" s="429">
        <f>+'Deducible 151'!AD344</f>
        <v>10760395.69801051</v>
      </c>
      <c r="F325" s="429">
        <f>+'Deducible 185'!AD344</f>
        <v>11216656.149734125</v>
      </c>
      <c r="H325" s="428">
        <f t="shared" si="45"/>
        <v>321</v>
      </c>
      <c r="I325" s="429">
        <f>+'No Deducible 93'!Y344</f>
        <v>10281054.985875797</v>
      </c>
      <c r="J325" s="429">
        <f>+'Deducible 151'!Y344</f>
        <v>9936560.85802165</v>
      </c>
      <c r="K325" s="429">
        <f>+'Deducible 185'!Y344</f>
        <v>10281054.985875797</v>
      </c>
      <c r="O325" s="453"/>
      <c r="P325" s="453"/>
      <c r="Q325" s="453"/>
      <c r="Z325" s="454"/>
      <c r="AA325" s="402"/>
    </row>
    <row r="326" spans="1:27" x14ac:dyDescent="0.25">
      <c r="A326" s="426">
        <f t="shared" ref="A326:A389" si="46">+C326/12</f>
        <v>26.833333333333332</v>
      </c>
      <c r="B326" s="427">
        <f>'OptiMaxx plus'!$T$7+A326</f>
        <v>55.83333333333333</v>
      </c>
      <c r="C326" s="428">
        <f t="shared" si="44"/>
        <v>322</v>
      </c>
      <c r="D326" s="429">
        <f>+'No Deducible 93'!AD345</f>
        <v>11304402.904885946</v>
      </c>
      <c r="E326" s="429">
        <f>+'Deducible 151'!AD345</f>
        <v>10843245.91066629</v>
      </c>
      <c r="F326" s="429">
        <f>+'Deducible 185'!AD345</f>
        <v>11304402.904885946</v>
      </c>
      <c r="H326" s="428">
        <f t="shared" si="45"/>
        <v>322</v>
      </c>
      <c r="I326" s="429">
        <f>+'No Deducible 93'!Y345</f>
        <v>10362532.923993649</v>
      </c>
      <c r="J326" s="429">
        <f>+'Deducible 151'!Y345</f>
        <v>10014001.33490129</v>
      </c>
      <c r="K326" s="429">
        <f>+'Deducible 185'!Y345</f>
        <v>10362532.923993649</v>
      </c>
      <c r="O326" s="453"/>
      <c r="P326" s="453"/>
      <c r="Q326" s="453"/>
      <c r="Z326" s="454"/>
      <c r="AA326" s="402"/>
    </row>
    <row r="327" spans="1:27" x14ac:dyDescent="0.25">
      <c r="A327" s="426">
        <f t="shared" si="46"/>
        <v>26.916666666666668</v>
      </c>
      <c r="B327" s="427">
        <f>'OptiMaxx plus'!$T$7+A327</f>
        <v>55.91666666666667</v>
      </c>
      <c r="C327" s="428">
        <f t="shared" ref="C327:C390" si="47">+C326+1</f>
        <v>323</v>
      </c>
      <c r="D327" s="429">
        <f>+'No Deducible 93'!AD346</f>
        <v>11392759.376331808</v>
      </c>
      <c r="E327" s="429">
        <f>+'Deducible 151'!AD346</f>
        <v>10926658.692423947</v>
      </c>
      <c r="F327" s="429">
        <f>+'Deducible 185'!AD346</f>
        <v>11392759.376331808</v>
      </c>
      <c r="H327" s="428">
        <f t="shared" ref="H327:H390" si="48">+H326+1</f>
        <v>323</v>
      </c>
      <c r="I327" s="429">
        <f>+'No Deducible 93'!Y346</f>
        <v>10444578.450977273</v>
      </c>
      <c r="J327" s="429">
        <f>+'Deducible 151'!Y346</f>
        <v>10091968.785740634</v>
      </c>
      <c r="K327" s="429">
        <f>+'Deducible 185'!Y346</f>
        <v>10444578.450977273</v>
      </c>
      <c r="O327" s="453"/>
      <c r="P327" s="453"/>
      <c r="Q327" s="453"/>
      <c r="Z327" s="454"/>
      <c r="AA327" s="402"/>
    </row>
    <row r="328" spans="1:27" x14ac:dyDescent="0.25">
      <c r="A328" s="426">
        <f t="shared" si="46"/>
        <v>27</v>
      </c>
      <c r="B328" s="427">
        <f>'OptiMaxx plus'!$T$7+A328</f>
        <v>56</v>
      </c>
      <c r="C328" s="428">
        <f t="shared" si="47"/>
        <v>324</v>
      </c>
      <c r="D328" s="429">
        <f>+'No Deducible 93'!AD347</f>
        <v>11473136.013394522</v>
      </c>
      <c r="E328" s="429">
        <f>+'Deducible 151'!AD347</f>
        <v>11002339.816470703</v>
      </c>
      <c r="F328" s="429">
        <f>+'Deducible 185'!AD347</f>
        <v>11473136.013394522</v>
      </c>
      <c r="H328" s="428">
        <f t="shared" si="48"/>
        <v>324</v>
      </c>
      <c r="I328" s="429">
        <f>+'No Deducible 93'!Y347</f>
        <v>10527195.52074509</v>
      </c>
      <c r="J328" s="429">
        <f>+'Deducible 151'!Y347</f>
        <v>10170466.796539735</v>
      </c>
      <c r="K328" s="429">
        <f>+'Deducible 185'!Y347</f>
        <v>10527195.52074509</v>
      </c>
      <c r="O328" s="453"/>
      <c r="P328" s="453"/>
      <c r="Q328" s="453"/>
      <c r="Z328" s="454"/>
      <c r="AA328" s="402"/>
    </row>
    <row r="329" spans="1:27" x14ac:dyDescent="0.25">
      <c r="A329" s="426">
        <f t="shared" si="46"/>
        <v>27.083333333333332</v>
      </c>
      <c r="B329" s="427">
        <f>'OptiMaxx plus'!$T$7+A329</f>
        <v>56.08333333333333</v>
      </c>
      <c r="C329" s="428">
        <f t="shared" si="47"/>
        <v>325</v>
      </c>
      <c r="D329" s="429">
        <f>+'No Deducible 93'!AD348</f>
        <v>11562658.626919871</v>
      </c>
      <c r="E329" s="429">
        <f>+'Deducible 151'!AD348</f>
        <v>11086824.768112486</v>
      </c>
      <c r="F329" s="429">
        <f>+'Deducible 185'!AD348</f>
        <v>11562658.626919871</v>
      </c>
      <c r="H329" s="428">
        <f t="shared" si="48"/>
        <v>325</v>
      </c>
      <c r="I329" s="429">
        <f>+'No Deducible 93'!Y348</f>
        <v>10610379.66427127</v>
      </c>
      <c r="J329" s="429">
        <f>+'Deducible 151'!Y348</f>
        <v>10249489.18650599</v>
      </c>
      <c r="K329" s="429">
        <f>+'Deducible 185'!Y348</f>
        <v>10610379.66427127</v>
      </c>
      <c r="O329" s="453"/>
      <c r="P329" s="453"/>
      <c r="Q329" s="453"/>
      <c r="Z329" s="454"/>
      <c r="AA329" s="402"/>
    </row>
    <row r="330" spans="1:27" x14ac:dyDescent="0.25">
      <c r="A330" s="426">
        <f t="shared" si="46"/>
        <v>27.166666666666668</v>
      </c>
      <c r="B330" s="427">
        <f>'OptiMaxx plus'!$T$7+A330</f>
        <v>56.16666666666667</v>
      </c>
      <c r="C330" s="428">
        <f t="shared" si="47"/>
        <v>326</v>
      </c>
      <c r="D330" s="429">
        <f>+'No Deducible 93'!AD349</f>
        <v>11652803.312954104</v>
      </c>
      <c r="E330" s="429">
        <f>+'Deducible 151'!AD349</f>
        <v>11171883.401462788</v>
      </c>
      <c r="F330" s="429">
        <f>+'Deducible 185'!AD349</f>
        <v>11652803.312954104</v>
      </c>
      <c r="H330" s="428">
        <f t="shared" si="48"/>
        <v>326</v>
      </c>
      <c r="I330" s="429">
        <f>+'No Deducible 93'!Y349</f>
        <v>10694143.28237382</v>
      </c>
      <c r="J330" s="429">
        <f>+'Deducible 151'!Y349</f>
        <v>10329049.315177169</v>
      </c>
      <c r="K330" s="429">
        <f>+'Deducible 185'!Y349</f>
        <v>10694143.28237382</v>
      </c>
      <c r="O330" s="453"/>
      <c r="P330" s="453"/>
      <c r="Q330" s="453"/>
      <c r="Z330" s="454"/>
      <c r="AA330" s="402"/>
    </row>
    <row r="331" spans="1:27" x14ac:dyDescent="0.25">
      <c r="A331" s="426">
        <f t="shared" si="46"/>
        <v>27.25</v>
      </c>
      <c r="B331" s="427">
        <f>'OptiMaxx plus'!$T$7+A331</f>
        <v>56.25</v>
      </c>
      <c r="C331" s="428">
        <f t="shared" si="47"/>
        <v>327</v>
      </c>
      <c r="D331" s="429">
        <f>+'No Deducible 93'!AD350</f>
        <v>11734885.63105899</v>
      </c>
      <c r="E331" s="429">
        <f>+'Deducible 151'!AD350</f>
        <v>11249140.496071562</v>
      </c>
      <c r="F331" s="429">
        <f>+'Deducible 185'!AD350</f>
        <v>11734885.63105899</v>
      </c>
      <c r="H331" s="428">
        <f t="shared" si="48"/>
        <v>327</v>
      </c>
      <c r="I331" s="429">
        <f>+'No Deducible 93'!Y350</f>
        <v>10778490.411768995</v>
      </c>
      <c r="J331" s="429">
        <f>+'Deducible 151'!Y350</f>
        <v>10409150.841806233</v>
      </c>
      <c r="K331" s="429">
        <f>+'Deducible 185'!Y350</f>
        <v>10778490.411768995</v>
      </c>
      <c r="O331" s="453"/>
      <c r="P331" s="453"/>
      <c r="Q331" s="453"/>
      <c r="Z331" s="454"/>
      <c r="AA331" s="402"/>
    </row>
    <row r="332" spans="1:27" x14ac:dyDescent="0.25">
      <c r="A332" s="426">
        <f t="shared" si="46"/>
        <v>27.333333333333332</v>
      </c>
      <c r="B332" s="427">
        <f>'OptiMaxx plus'!$T$7+A332</f>
        <v>56.33333333333333</v>
      </c>
      <c r="C332" s="428">
        <f t="shared" si="47"/>
        <v>328</v>
      </c>
      <c r="D332" s="429">
        <f>+'No Deducible 93'!AD351</f>
        <v>11826229.240798693</v>
      </c>
      <c r="E332" s="429">
        <f>+'Deducible 151'!AD351</f>
        <v>11335303.008395202</v>
      </c>
      <c r="F332" s="429">
        <f>+'Deducible 185'!AD351</f>
        <v>11826229.240798693</v>
      </c>
      <c r="H332" s="428">
        <f t="shared" si="48"/>
        <v>328</v>
      </c>
      <c r="I332" s="429">
        <f>+'No Deducible 93'!Y351</f>
        <v>10863425.117293492</v>
      </c>
      <c r="J332" s="429">
        <f>+'Deducible 151'!Y351</f>
        <v>10489797.450546963</v>
      </c>
      <c r="K332" s="429">
        <f>+'Deducible 185'!Y351</f>
        <v>10863425.117293492</v>
      </c>
      <c r="O332" s="453"/>
      <c r="P332" s="453"/>
      <c r="Q332" s="453"/>
      <c r="Z332" s="454"/>
      <c r="AA332" s="402"/>
    </row>
    <row r="333" spans="1:27" x14ac:dyDescent="0.25">
      <c r="A333" s="426">
        <f t="shared" si="46"/>
        <v>27.416666666666668</v>
      </c>
      <c r="B333" s="427">
        <f>'OptiMaxx plus'!$T$7+A333</f>
        <v>56.41666666666667</v>
      </c>
      <c r="C333" s="428">
        <f t="shared" si="47"/>
        <v>329</v>
      </c>
      <c r="D333" s="429">
        <f>+'No Deducible 93'!AD352</f>
        <v>11918207.593559526</v>
      </c>
      <c r="E333" s="429">
        <f>+'Deducible 151'!AD352</f>
        <v>11422050.60632019</v>
      </c>
      <c r="F333" s="429">
        <f>+'Deducible 185'!AD352</f>
        <v>11918207.593559526</v>
      </c>
      <c r="H333" s="428">
        <f t="shared" si="48"/>
        <v>329</v>
      </c>
      <c r="I333" s="429">
        <f>+'No Deducible 93'!Y352</f>
        <v>10948951.492100336</v>
      </c>
      <c r="J333" s="429">
        <f>+'Deducible 151'!Y352</f>
        <v>10570992.850623405</v>
      </c>
      <c r="K333" s="429">
        <f>+'Deducible 185'!Y352</f>
        <v>10948951.492100336</v>
      </c>
      <c r="O333" s="453"/>
      <c r="P333" s="453"/>
      <c r="Q333" s="453"/>
      <c r="Z333" s="454"/>
      <c r="AA333" s="402"/>
    </row>
    <row r="334" spans="1:27" x14ac:dyDescent="0.25">
      <c r="A334" s="426">
        <f t="shared" si="46"/>
        <v>27.5</v>
      </c>
      <c r="B334" s="427">
        <f>'OptiMaxx plus'!$T$7+A334</f>
        <v>56.5</v>
      </c>
      <c r="C334" s="428">
        <f t="shared" si="47"/>
        <v>330</v>
      </c>
      <c r="D334" s="429">
        <f>+'No Deducible 93'!AD353</f>
        <v>12002040.301241772</v>
      </c>
      <c r="E334" s="429">
        <f>+'Deducible 151'!AD353</f>
        <v>11500926.285472557</v>
      </c>
      <c r="F334" s="429">
        <f>+'Deducible 185'!AD353</f>
        <v>12002040.301241772</v>
      </c>
      <c r="H334" s="428">
        <f t="shared" si="48"/>
        <v>330</v>
      </c>
      <c r="I334" s="429">
        <f>+'No Deducible 93'!Y353</f>
        <v>11035073.657856135</v>
      </c>
      <c r="J334" s="429">
        <f>+'Deducible 151'!Y353</f>
        <v>10652740.77650046</v>
      </c>
      <c r="K334" s="429">
        <f>+'Deducible 185'!Y353</f>
        <v>11035073.657856135</v>
      </c>
      <c r="O334" s="453"/>
      <c r="P334" s="453"/>
      <c r="Q334" s="453"/>
      <c r="Z334" s="454"/>
      <c r="AA334" s="402"/>
    </row>
    <row r="335" spans="1:27" x14ac:dyDescent="0.25">
      <c r="A335" s="426">
        <f t="shared" si="46"/>
        <v>27.583333333333332</v>
      </c>
      <c r="B335" s="427">
        <f>'OptiMaxx plus'!$T$7+A335</f>
        <v>56.58333333333333</v>
      </c>
      <c r="C335" s="428">
        <f t="shared" si="47"/>
        <v>331</v>
      </c>
      <c r="D335" s="429">
        <f>+'No Deducible 93'!AD354</f>
        <v>12095242.536844855</v>
      </c>
      <c r="E335" s="429">
        <f>+'Deducible 151'!AD354</f>
        <v>11588800.263568059</v>
      </c>
      <c r="F335" s="429">
        <f>+'Deducible 185'!AD354</f>
        <v>12095242.536844855</v>
      </c>
      <c r="H335" s="428">
        <f t="shared" si="48"/>
        <v>331</v>
      </c>
      <c r="I335" s="429">
        <f>+'No Deducible 93'!Y354</f>
        <v>11121795.764939712</v>
      </c>
      <c r="J335" s="429">
        <f>+'Deducible 151'!Y354</f>
        <v>10735044.988055663</v>
      </c>
      <c r="K335" s="429">
        <f>+'Deducible 185'!Y354</f>
        <v>11121795.764939712</v>
      </c>
      <c r="O335" s="453"/>
      <c r="P335" s="453"/>
      <c r="Q335" s="453"/>
      <c r="Z335" s="454"/>
      <c r="AA335" s="402"/>
    </row>
    <row r="336" spans="1:27" x14ac:dyDescent="0.25">
      <c r="A336" s="426">
        <f t="shared" si="46"/>
        <v>27.666666666666668</v>
      </c>
      <c r="B336" s="427">
        <f>'OptiMaxx plus'!$T$7+A336</f>
        <v>56.66666666666667</v>
      </c>
      <c r="C336" s="428">
        <f t="shared" si="47"/>
        <v>332</v>
      </c>
      <c r="D336" s="429">
        <f>+'No Deducible 93'!AD355</f>
        <v>12189092.447974056</v>
      </c>
      <c r="E336" s="429">
        <f>+'Deducible 151'!AD355</f>
        <v>11677270.961766321</v>
      </c>
      <c r="F336" s="429">
        <f>+'Deducible 185'!AD355</f>
        <v>12189092.447974056</v>
      </c>
      <c r="H336" s="428">
        <f t="shared" si="48"/>
        <v>332</v>
      </c>
      <c r="I336" s="429">
        <f>+'No Deducible 93'!Y355</f>
        <v>11209121.992642121</v>
      </c>
      <c r="J336" s="429">
        <f>+'Deducible 151'!Y355</f>
        <v>10817909.270752097</v>
      </c>
      <c r="K336" s="429">
        <f>+'Deducible 185'!Y355</f>
        <v>11209121.992642121</v>
      </c>
      <c r="O336" s="453"/>
      <c r="P336" s="453"/>
      <c r="Q336" s="453"/>
      <c r="Z336" s="454"/>
      <c r="AA336" s="402"/>
    </row>
    <row r="337" spans="1:27" x14ac:dyDescent="0.25">
      <c r="A337" s="426">
        <f t="shared" si="46"/>
        <v>27.75</v>
      </c>
      <c r="B337" s="427">
        <f>'OptiMaxx plus'!$T$7+A337</f>
        <v>56.75</v>
      </c>
      <c r="C337" s="428">
        <f t="shared" si="47"/>
        <v>333</v>
      </c>
      <c r="D337" s="429">
        <f>+'No Deducible 93'!AD356</f>
        <v>12274712.628664097</v>
      </c>
      <c r="E337" s="429">
        <f>+'Deducible 151'!AD356</f>
        <v>11757798.793324893</v>
      </c>
      <c r="F337" s="429">
        <f>+'Deducible 185'!AD356</f>
        <v>12274712.628664097</v>
      </c>
      <c r="H337" s="428">
        <f t="shared" si="48"/>
        <v>333</v>
      </c>
      <c r="I337" s="429">
        <f>+'No Deducible 93'!Y356</f>
        <v>11297056.54936805</v>
      </c>
      <c r="J337" s="429">
        <f>+'Deducible 151'!Y356</f>
        <v>10901337.43581251</v>
      </c>
      <c r="K337" s="429">
        <f>+'Deducible 185'!Y356</f>
        <v>11297056.54936805</v>
      </c>
      <c r="O337" s="453"/>
      <c r="P337" s="453"/>
      <c r="Q337" s="453"/>
      <c r="Z337" s="454"/>
      <c r="AA337" s="402"/>
    </row>
    <row r="338" spans="1:27" x14ac:dyDescent="0.25">
      <c r="A338" s="426">
        <f t="shared" si="46"/>
        <v>27.833333333333332</v>
      </c>
      <c r="B338" s="427">
        <f>'OptiMaxx plus'!$T$7+A338</f>
        <v>56.83333333333333</v>
      </c>
      <c r="C338" s="428">
        <f t="shared" si="47"/>
        <v>334</v>
      </c>
      <c r="D338" s="429">
        <f>+'No Deducible 93'!AD357</f>
        <v>12369811.903984886</v>
      </c>
      <c r="E338" s="429">
        <f>+'Deducible 151'!AD357</f>
        <v>11847418.833545959</v>
      </c>
      <c r="F338" s="429">
        <f>+'Deducible 185'!AD357</f>
        <v>12369811.903984886</v>
      </c>
      <c r="H338" s="428">
        <f t="shared" si="48"/>
        <v>334</v>
      </c>
      <c r="I338" s="429">
        <f>+'No Deducible 93'!Y357</f>
        <v>11385603.672838636</v>
      </c>
      <c r="J338" s="429">
        <f>+'Deducible 151'!Y357</f>
        <v>10985333.320394602</v>
      </c>
      <c r="K338" s="429">
        <f>+'Deducible 185'!Y357</f>
        <v>11385603.672838636</v>
      </c>
      <c r="O338" s="453"/>
      <c r="P338" s="453"/>
      <c r="Q338" s="453"/>
      <c r="Z338" s="454"/>
      <c r="AA338" s="402"/>
    </row>
    <row r="339" spans="1:27" x14ac:dyDescent="0.25">
      <c r="A339" s="426">
        <f t="shared" si="46"/>
        <v>27.916666666666668</v>
      </c>
      <c r="B339" s="427">
        <f>'OptiMaxx plus'!$T$7+A339</f>
        <v>56.91666666666667</v>
      </c>
      <c r="C339" s="428">
        <f t="shared" si="47"/>
        <v>335</v>
      </c>
      <c r="D339" s="429">
        <f>+'No Deducible 93'!AD358</f>
        <v>12465572.054791084</v>
      </c>
      <c r="E339" s="429">
        <f>+'Deducible 151'!AD358</f>
        <v>11937647.463682717</v>
      </c>
      <c r="F339" s="429">
        <f>+'Deducible 185'!AD358</f>
        <v>12465572.054791084</v>
      </c>
      <c r="H339" s="428">
        <f t="shared" si="48"/>
        <v>335</v>
      </c>
      <c r="I339" s="429">
        <f>+'No Deducible 93'!Y358</f>
        <v>11474767.630295685</v>
      </c>
      <c r="J339" s="429">
        <f>+'Deducible 151'!Y358</f>
        <v>11069900.78776751</v>
      </c>
      <c r="K339" s="429">
        <f>+'Deducible 185'!Y358</f>
        <v>11474767.630295685</v>
      </c>
      <c r="O339" s="453"/>
      <c r="P339" s="453"/>
      <c r="Q339" s="453"/>
      <c r="Z339" s="454"/>
      <c r="AA339" s="402"/>
    </row>
    <row r="340" spans="1:27" x14ac:dyDescent="0.25">
      <c r="A340" s="426">
        <f t="shared" si="46"/>
        <v>28</v>
      </c>
      <c r="B340" s="427">
        <f>'OptiMaxx plus'!$T$7+A340</f>
        <v>57</v>
      </c>
      <c r="C340" s="428">
        <f t="shared" si="47"/>
        <v>336</v>
      </c>
      <c r="D340" s="429">
        <f>+'No Deducible 93'!AD359</f>
        <v>12553017.575010981</v>
      </c>
      <c r="E340" s="429">
        <f>+'Deducible 151'!AD359</f>
        <v>12019861.708390849</v>
      </c>
      <c r="F340" s="429">
        <f>+'Deducible 185'!AD359</f>
        <v>12553017.575010981</v>
      </c>
      <c r="H340" s="428">
        <f t="shared" si="48"/>
        <v>336</v>
      </c>
      <c r="I340" s="429">
        <f>+'No Deducible 93'!Y359</f>
        <v>11564552.718707316</v>
      </c>
      <c r="J340" s="429">
        <f>+'Deducible 151'!Y359</f>
        <v>11155043.727489498</v>
      </c>
      <c r="K340" s="429">
        <f>+'Deducible 185'!Y359</f>
        <v>11564552.718707316</v>
      </c>
      <c r="O340" s="453"/>
      <c r="P340" s="453"/>
      <c r="Q340" s="453"/>
      <c r="Z340" s="454"/>
      <c r="AA340" s="402"/>
    </row>
    <row r="341" spans="1:27" x14ac:dyDescent="0.25">
      <c r="A341" s="426">
        <f t="shared" si="46"/>
        <v>28.083333333333332</v>
      </c>
      <c r="B341" s="427">
        <f>'OptiMaxx plus'!$T$7+A341</f>
        <v>57.08333333333333</v>
      </c>
      <c r="C341" s="428">
        <f t="shared" si="47"/>
        <v>337</v>
      </c>
      <c r="D341" s="429">
        <f>+'No Deducible 93'!AD360</f>
        <v>12650044.316018607</v>
      </c>
      <c r="E341" s="429">
        <f>+'Deducible 151'!AD360</f>
        <v>12111252.929665385</v>
      </c>
      <c r="F341" s="429">
        <f>+'Deducible 185'!AD360</f>
        <v>12650044.316018607</v>
      </c>
      <c r="H341" s="428">
        <f t="shared" si="48"/>
        <v>337</v>
      </c>
      <c r="I341" s="429">
        <f>+'No Deducible 93'!Y360</f>
        <v>11654954.476467626</v>
      </c>
      <c r="J341" s="429">
        <f>+'Deducible 151'!Y360</f>
        <v>11240755.872744048</v>
      </c>
      <c r="K341" s="429">
        <f>+'Deducible 185'!Y360</f>
        <v>11654954.476467626</v>
      </c>
      <c r="O341" s="453"/>
      <c r="P341" s="453"/>
      <c r="Q341" s="453"/>
      <c r="Z341" s="454"/>
      <c r="AA341" s="402"/>
    </row>
    <row r="342" spans="1:27" x14ac:dyDescent="0.25">
      <c r="A342" s="426">
        <f t="shared" si="46"/>
        <v>28.166666666666668</v>
      </c>
      <c r="B342" s="427">
        <f>'OptiMaxx plus'!$T$7+A342</f>
        <v>57.16666666666667</v>
      </c>
      <c r="C342" s="428">
        <f t="shared" si="47"/>
        <v>338</v>
      </c>
      <c r="D342" s="429">
        <f>+'No Deducible 93'!AD361</f>
        <v>12747745.344278935</v>
      </c>
      <c r="E342" s="429">
        <f>+'Deducible 151'!AD361</f>
        <v>12203264.781486126</v>
      </c>
      <c r="F342" s="429">
        <f>+'Deducible 185'!AD361</f>
        <v>12747745.344278935</v>
      </c>
      <c r="H342" s="428">
        <f t="shared" si="48"/>
        <v>338</v>
      </c>
      <c r="I342" s="429">
        <f>+'No Deducible 93'!Y361</f>
        <v>11745985.987905268</v>
      </c>
      <c r="J342" s="429">
        <f>+'Deducible 151'!Y361</f>
        <v>11327051.279755235</v>
      </c>
      <c r="K342" s="429">
        <f>+'Deducible 185'!Y361</f>
        <v>11745985.987905268</v>
      </c>
      <c r="O342" s="453"/>
      <c r="P342" s="453"/>
      <c r="Q342" s="453"/>
      <c r="Z342" s="454"/>
      <c r="AA342" s="402"/>
    </row>
    <row r="343" spans="1:27" x14ac:dyDescent="0.25">
      <c r="A343" s="426">
        <f t="shared" si="46"/>
        <v>28.25</v>
      </c>
      <c r="B343" s="427">
        <f>'OptiMaxx plus'!$T$7+A343</f>
        <v>57.25</v>
      </c>
      <c r="C343" s="428">
        <f t="shared" si="47"/>
        <v>339</v>
      </c>
      <c r="D343" s="429">
        <f>+'No Deducible 93'!AD362</f>
        <v>12837045.958773378</v>
      </c>
      <c r="E343" s="429">
        <f>+'Deducible 151'!AD362</f>
        <v>12287190.085337393</v>
      </c>
      <c r="F343" s="429">
        <f>+'Deducible 185'!AD362</f>
        <v>12837045.958773378</v>
      </c>
      <c r="H343" s="428">
        <f t="shared" si="48"/>
        <v>339</v>
      </c>
      <c r="I343" s="429">
        <f>+'No Deducible 93'!Y362</f>
        <v>11837651.639989074</v>
      </c>
      <c r="J343" s="429">
        <f>+'Deducible 151'!Y362</f>
        <v>11413933.917555397</v>
      </c>
      <c r="K343" s="429">
        <f>+'Deducible 185'!Y362</f>
        <v>11837651.639989074</v>
      </c>
      <c r="O343" s="453"/>
      <c r="P343" s="453"/>
      <c r="Q343" s="453"/>
      <c r="Z343" s="454"/>
      <c r="AA343" s="402"/>
    </row>
    <row r="344" spans="1:27" x14ac:dyDescent="0.25">
      <c r="A344" s="426">
        <f t="shared" si="46"/>
        <v>28.333333333333332</v>
      </c>
      <c r="B344" s="427">
        <f>'OptiMaxx plus'!$T$7+A344</f>
        <v>57.33333333333333</v>
      </c>
      <c r="C344" s="428">
        <f t="shared" si="47"/>
        <v>340</v>
      </c>
      <c r="D344" s="429">
        <f>+'No Deducible 93'!AD363</f>
        <v>12936048.800886447</v>
      </c>
      <c r="E344" s="429">
        <f>+'Deducible 151'!AD363</f>
        <v>12380398.482842349</v>
      </c>
      <c r="F344" s="429">
        <f>+'Deducible 185'!AD363</f>
        <v>12936048.800886447</v>
      </c>
      <c r="H344" s="428">
        <f t="shared" si="48"/>
        <v>340</v>
      </c>
      <c r="I344" s="429">
        <f>+'No Deducible 93'!Y363</f>
        <v>11929955.850248238</v>
      </c>
      <c r="J344" s="429">
        <f>+'Deducible 151'!Y363</f>
        <v>11501407.782185715</v>
      </c>
      <c r="K344" s="429">
        <f>+'Deducible 185'!Y363</f>
        <v>11929955.850248238</v>
      </c>
      <c r="O344" s="453"/>
      <c r="P344" s="453"/>
      <c r="Q344" s="453"/>
      <c r="Z344" s="454"/>
      <c r="AA344" s="402"/>
    </row>
    <row r="345" spans="1:27" x14ac:dyDescent="0.25">
      <c r="A345" s="426">
        <f t="shared" si="46"/>
        <v>28.416666666666668</v>
      </c>
      <c r="B345" s="427">
        <f>'OptiMaxx plus'!$T$7+A345</f>
        <v>57.41666666666667</v>
      </c>
      <c r="C345" s="428">
        <f t="shared" si="47"/>
        <v>341</v>
      </c>
      <c r="D345" s="429">
        <f>+'No Deducible 93'!AD364</f>
        <v>13035739.680676183</v>
      </c>
      <c r="E345" s="429">
        <f>+'Deducible 151'!AD364</f>
        <v>12474239.864401098</v>
      </c>
      <c r="F345" s="429">
        <f>+'Deducible 185'!AD364</f>
        <v>13035739.680676183</v>
      </c>
      <c r="H345" s="428">
        <f t="shared" si="48"/>
        <v>341</v>
      </c>
      <c r="I345" s="429">
        <f>+'No Deducible 93'!Y364</f>
        <v>12022903.066985194</v>
      </c>
      <c r="J345" s="429">
        <f>+'Deducible 151'!Y364</f>
        <v>11589476.89687998</v>
      </c>
      <c r="K345" s="429">
        <f>+'Deducible 185'!Y364</f>
        <v>12022903.066985194</v>
      </c>
      <c r="O345" s="453"/>
      <c r="P345" s="453"/>
      <c r="Q345" s="453"/>
      <c r="Z345" s="454"/>
      <c r="AA345" s="402"/>
    </row>
    <row r="346" spans="1:27" x14ac:dyDescent="0.25">
      <c r="A346" s="426">
        <f t="shared" si="46"/>
        <v>28.5</v>
      </c>
      <c r="B346" s="427">
        <f>'OptiMaxx plus'!$T$7+A346</f>
        <v>57.5</v>
      </c>
      <c r="C346" s="428">
        <f t="shared" si="47"/>
        <v>342</v>
      </c>
      <c r="D346" s="429">
        <f>+'No Deducible 93'!AD365</f>
        <v>13126943.595869726</v>
      </c>
      <c r="E346" s="429">
        <f>+'Deducible 151'!AD365</f>
        <v>12559922.02674934</v>
      </c>
      <c r="F346" s="429">
        <f>+'Deducible 185'!AD365</f>
        <v>13126943.595869726</v>
      </c>
      <c r="H346" s="428">
        <f t="shared" si="48"/>
        <v>342</v>
      </c>
      <c r="I346" s="429">
        <f>+'No Deducible 93'!Y365</f>
        <v>12116497.769489989</v>
      </c>
      <c r="J346" s="429">
        <f>+'Deducible 151'!Y365</f>
        <v>11678145.312249655</v>
      </c>
      <c r="K346" s="429">
        <f>+'Deducible 185'!Y365</f>
        <v>12116497.769489989</v>
      </c>
      <c r="O346" s="453"/>
      <c r="P346" s="453"/>
      <c r="Q346" s="453"/>
      <c r="Z346" s="454"/>
      <c r="AA346" s="402"/>
    </row>
    <row r="347" spans="1:27" x14ac:dyDescent="0.25">
      <c r="A347" s="426">
        <f t="shared" si="46"/>
        <v>28.583333333333332</v>
      </c>
      <c r="B347" s="427">
        <f>'OptiMaxx plus'!$T$7+A347</f>
        <v>57.58333333333333</v>
      </c>
      <c r="C347" s="428">
        <f t="shared" si="47"/>
        <v>343</v>
      </c>
      <c r="D347" s="429">
        <f>+'No Deducible 93'!AD366</f>
        <v>13227963.40155315</v>
      </c>
      <c r="E347" s="429">
        <f>+'Deducible 151'!AD366</f>
        <v>12654984.35241482</v>
      </c>
      <c r="F347" s="429">
        <f>+'Deducible 185'!AD366</f>
        <v>13227963.40155315</v>
      </c>
      <c r="H347" s="428">
        <f t="shared" si="48"/>
        <v>343</v>
      </c>
      <c r="I347" s="429">
        <f>+'No Deducible 93'!Y366</f>
        <v>12210744.468256155</v>
      </c>
      <c r="J347" s="429">
        <f>+'Deducible 151'!Y366</f>
        <v>11767417.106470168</v>
      </c>
      <c r="K347" s="429">
        <f>+'Deducible 185'!Y366</f>
        <v>12210744.468256155</v>
      </c>
      <c r="O347" s="453"/>
      <c r="P347" s="453"/>
      <c r="Q347" s="453"/>
      <c r="Z347" s="454"/>
      <c r="AA347" s="402"/>
    </row>
    <row r="348" spans="1:27" x14ac:dyDescent="0.25">
      <c r="A348" s="426">
        <f t="shared" si="46"/>
        <v>28.666666666666668</v>
      </c>
      <c r="B348" s="427">
        <f>'OptiMaxx plus'!$T$7+A348</f>
        <v>57.66666666666667</v>
      </c>
      <c r="C348" s="428">
        <f t="shared" si="47"/>
        <v>344</v>
      </c>
      <c r="D348" s="429">
        <f>+'No Deducible 93'!AD367</f>
        <v>13329685.279844806</v>
      </c>
      <c r="E348" s="429">
        <f>+'Deducible 151'!AD367</f>
        <v>12750692.265618395</v>
      </c>
      <c r="F348" s="429">
        <f>+'Deducible 185'!AD367</f>
        <v>13329685.279844806</v>
      </c>
      <c r="H348" s="428">
        <f t="shared" si="48"/>
        <v>344</v>
      </c>
      <c r="I348" s="429">
        <f>+'No Deducible 93'!Y367</f>
        <v>12305647.705198066</v>
      </c>
      <c r="J348" s="429">
        <f>+'Deducible 151'!Y367</f>
        <v>11857296.385468483</v>
      </c>
      <c r="K348" s="429">
        <f>+'Deducible 185'!Y367</f>
        <v>12305647.705198066</v>
      </c>
      <c r="O348" s="453"/>
      <c r="P348" s="453"/>
      <c r="Q348" s="453"/>
      <c r="Z348" s="454"/>
      <c r="AA348" s="402"/>
    </row>
    <row r="349" spans="1:27" x14ac:dyDescent="0.25">
      <c r="A349" s="426">
        <f t="shared" si="46"/>
        <v>28.75</v>
      </c>
      <c r="B349" s="427">
        <f>'OptiMaxx plus'!$T$7+A349</f>
        <v>57.75</v>
      </c>
      <c r="C349" s="428">
        <f t="shared" si="47"/>
        <v>345</v>
      </c>
      <c r="D349" s="429">
        <f>+'No Deducible 93'!AD368</f>
        <v>13422832.808042098</v>
      </c>
      <c r="E349" s="429">
        <f>+'Deducible 151'!AD368</f>
        <v>12838167.708289353</v>
      </c>
      <c r="F349" s="429">
        <f>+'Deducible 185'!AD368</f>
        <v>13422832.808042098</v>
      </c>
      <c r="H349" s="428">
        <f t="shared" si="48"/>
        <v>345</v>
      </c>
      <c r="I349" s="429">
        <f>+'No Deducible 93'!Y368</f>
        <v>12401212.053869827</v>
      </c>
      <c r="J349" s="429">
        <f>+'Deducible 151'!Y368</f>
        <v>11947787.283111952</v>
      </c>
      <c r="K349" s="429">
        <f>+'Deducible 185'!Y368</f>
        <v>12401212.053869827</v>
      </c>
      <c r="O349" s="453"/>
      <c r="P349" s="453"/>
      <c r="Q349" s="453"/>
      <c r="Z349" s="454"/>
      <c r="AA349" s="402"/>
    </row>
    <row r="350" spans="1:27" x14ac:dyDescent="0.25">
      <c r="A350" s="426">
        <f t="shared" si="46"/>
        <v>28.833333333333332</v>
      </c>
      <c r="B350" s="427">
        <f>'OptiMaxx plus'!$T$7+A350</f>
        <v>57.83333333333333</v>
      </c>
      <c r="C350" s="428">
        <f t="shared" si="47"/>
        <v>346</v>
      </c>
      <c r="D350" s="429">
        <f>+'No Deducible 93'!AD369</f>
        <v>13525911.291648041</v>
      </c>
      <c r="E350" s="429">
        <f>+'Deducible 151'!AD369</f>
        <v>12935121.463600092</v>
      </c>
      <c r="F350" s="429">
        <f>+'Deducible 185'!AD369</f>
        <v>13525911.291648041</v>
      </c>
      <c r="H350" s="428">
        <f t="shared" si="48"/>
        <v>346</v>
      </c>
      <c r="I350" s="429">
        <f>+'No Deducible 93'!Y369</f>
        <v>12497442.119685685</v>
      </c>
      <c r="J350" s="429">
        <f>+'Deducible 151'!Y369</f>
        <v>12038893.961398436</v>
      </c>
      <c r="K350" s="429">
        <f>+'Deducible 185'!Y369</f>
        <v>12497442.119685685</v>
      </c>
      <c r="O350" s="453"/>
      <c r="P350" s="453"/>
      <c r="Q350" s="453"/>
      <c r="Z350" s="454"/>
      <c r="AA350" s="402"/>
    </row>
    <row r="351" spans="1:27" x14ac:dyDescent="0.25">
      <c r="A351" s="426">
        <f t="shared" si="46"/>
        <v>28.916666666666668</v>
      </c>
      <c r="B351" s="427">
        <f>'OptiMaxx plus'!$T$7+A351</f>
        <v>57.91666666666667</v>
      </c>
      <c r="C351" s="428">
        <f t="shared" si="47"/>
        <v>347</v>
      </c>
      <c r="D351" s="429">
        <f>+'No Deducible 93'!AD370</f>
        <v>13629706.173234362</v>
      </c>
      <c r="E351" s="429">
        <f>+'Deducible 151'!AD370</f>
        <v>13032733.665009454</v>
      </c>
      <c r="F351" s="429">
        <f>+'Deducible 185'!AD370</f>
        <v>13629706.173234362</v>
      </c>
      <c r="H351" s="428">
        <f t="shared" si="48"/>
        <v>347</v>
      </c>
      <c r="I351" s="429">
        <f>+'No Deducible 93'!Y370</f>
        <v>12594342.540141968</v>
      </c>
      <c r="J351" s="429">
        <f>+'Deducible 151'!Y370</f>
        <v>12130620.610647736</v>
      </c>
      <c r="K351" s="429">
        <f>+'Deducible 185'!Y370</f>
        <v>12594342.540141968</v>
      </c>
      <c r="O351" s="453"/>
      <c r="P351" s="453"/>
      <c r="Q351" s="453"/>
      <c r="Z351" s="454"/>
      <c r="AA351" s="402"/>
    </row>
    <row r="352" spans="1:27" x14ac:dyDescent="0.25">
      <c r="A352" s="426">
        <f t="shared" si="46"/>
        <v>29</v>
      </c>
      <c r="B352" s="427">
        <f>'OptiMaxx plus'!$T$7+A352</f>
        <v>58</v>
      </c>
      <c r="C352" s="428">
        <f t="shared" si="47"/>
        <v>348</v>
      </c>
      <c r="D352" s="429">
        <f>+'No Deducible 93'!AD371</f>
        <v>13724838.477901898</v>
      </c>
      <c r="E352" s="429">
        <f>+'Deducible 151'!AD371</f>
        <v>13122039.561486043</v>
      </c>
      <c r="F352" s="429">
        <f>+'Deducible 185'!AD371</f>
        <v>13724838.477901898</v>
      </c>
      <c r="H352" s="428">
        <f t="shared" si="48"/>
        <v>348</v>
      </c>
      <c r="I352" s="429">
        <f>+'No Deducible 93'!Y371</f>
        <v>12691917.985040573</v>
      </c>
      <c r="J352" s="429">
        <f>+'Deducible 151'!Y371</f>
        <v>12222971.449694322</v>
      </c>
      <c r="K352" s="429">
        <f>+'Deducible 185'!Y371</f>
        <v>12691917.985040573</v>
      </c>
      <c r="O352" s="453"/>
      <c r="P352" s="453"/>
      <c r="Q352" s="453"/>
      <c r="Z352" s="454"/>
      <c r="AA352" s="402"/>
    </row>
    <row r="353" spans="1:27" x14ac:dyDescent="0.25">
      <c r="A353" s="426">
        <f t="shared" si="46"/>
        <v>29.083333333333332</v>
      </c>
      <c r="B353" s="427">
        <f>'OptiMaxx plus'!$T$7+A353</f>
        <v>58.08333333333333</v>
      </c>
      <c r="C353" s="428">
        <f t="shared" si="47"/>
        <v>349</v>
      </c>
      <c r="D353" s="429">
        <f>+'No Deducible 93'!AD372</f>
        <v>13830009.083459351</v>
      </c>
      <c r="E353" s="429">
        <f>+'Deducible 151'!AD372</f>
        <v>13220912.422674106</v>
      </c>
      <c r="F353" s="429">
        <f>+'Deducible 185'!AD372</f>
        <v>13830009.083459351</v>
      </c>
      <c r="H353" s="428">
        <f t="shared" si="48"/>
        <v>349</v>
      </c>
      <c r="I353" s="429">
        <f>+'No Deducible 93'!Y372</f>
        <v>12790164.016666299</v>
      </c>
      <c r="J353" s="429">
        <f>+'Deducible 151'!Y372</f>
        <v>12315940.135924868</v>
      </c>
      <c r="K353" s="429">
        <f>+'Deducible 185'!Y372</f>
        <v>12790164.016666299</v>
      </c>
      <c r="O353" s="453"/>
      <c r="P353" s="453"/>
      <c r="Q353" s="453"/>
      <c r="Z353" s="454"/>
      <c r="AA353" s="402"/>
    </row>
    <row r="354" spans="1:27" x14ac:dyDescent="0.25">
      <c r="A354" s="426">
        <f t="shared" si="46"/>
        <v>29.166666666666668</v>
      </c>
      <c r="B354" s="427">
        <f>'OptiMaxx plus'!$T$7+A354</f>
        <v>58.16666666666667</v>
      </c>
      <c r="C354" s="428">
        <f t="shared" si="47"/>
        <v>350</v>
      </c>
      <c r="D354" s="429">
        <f>+'No Deducible 93'!AD373</f>
        <v>13935910.64519605</v>
      </c>
      <c r="E354" s="429">
        <f>+'Deducible 151'!AD373</f>
        <v>13320456.776736675</v>
      </c>
      <c r="F354" s="429">
        <f>+'Deducible 185'!AD373</f>
        <v>13935910.64519605</v>
      </c>
      <c r="H354" s="428">
        <f t="shared" si="48"/>
        <v>350</v>
      </c>
      <c r="I354" s="429">
        <f>+'No Deducible 93'!Y373</f>
        <v>12889094.44648551</v>
      </c>
      <c r="J354" s="429">
        <f>+'Deducible 151'!Y373</f>
        <v>12409541.463878263</v>
      </c>
      <c r="K354" s="429">
        <f>+'Deducible 185'!Y373</f>
        <v>12889094.44648551</v>
      </c>
      <c r="O354" s="453"/>
      <c r="P354" s="453"/>
      <c r="Q354" s="453"/>
      <c r="Z354" s="454"/>
      <c r="AA354" s="402"/>
    </row>
    <row r="355" spans="1:27" x14ac:dyDescent="0.25">
      <c r="A355" s="426">
        <f t="shared" si="46"/>
        <v>29.25</v>
      </c>
      <c r="B355" s="427">
        <f>'OptiMaxx plus'!$T$7+A355</f>
        <v>58.25</v>
      </c>
      <c r="C355" s="428">
        <f t="shared" si="47"/>
        <v>351</v>
      </c>
      <c r="D355" s="429">
        <f>+'No Deducible 93'!AD374</f>
        <v>14033060.49107188</v>
      </c>
      <c r="E355" s="429">
        <f>+'Deducible 151'!AD374</f>
        <v>13411620.332861664</v>
      </c>
      <c r="F355" s="429">
        <f>+'Deducible 185'!AD374</f>
        <v>14033060.49107188</v>
      </c>
      <c r="H355" s="428">
        <f t="shared" si="48"/>
        <v>351</v>
      </c>
      <c r="I355" s="429">
        <f>+'No Deducible 93'!Y374</f>
        <v>12988714.042129833</v>
      </c>
      <c r="J355" s="429">
        <f>+'Deducible 151'!Y374</f>
        <v>12503779.738612108</v>
      </c>
      <c r="K355" s="429">
        <f>+'Deducible 185'!Y374</f>
        <v>12988714.042129833</v>
      </c>
      <c r="O355" s="453"/>
      <c r="P355" s="453"/>
      <c r="Q355" s="453"/>
      <c r="Z355" s="454"/>
      <c r="AA355" s="402"/>
    </row>
    <row r="356" spans="1:27" x14ac:dyDescent="0.25">
      <c r="A356" s="426">
        <f t="shared" si="46"/>
        <v>29.333333333333332</v>
      </c>
      <c r="B356" s="427">
        <f>'OptiMaxx plus'!$T$7+A356</f>
        <v>58.33333333333333</v>
      </c>
      <c r="C356" s="428">
        <f t="shared" si="47"/>
        <v>352</v>
      </c>
      <c r="D356" s="429">
        <f>+'No Deducible 93'!AD375</f>
        <v>14140375.638294438</v>
      </c>
      <c r="E356" s="429">
        <f>+'Deducible 151'!AD375</f>
        <v>13512461.719371026</v>
      </c>
      <c r="F356" s="429">
        <f>+'Deducible 185'!AD375</f>
        <v>14140375.638294438</v>
      </c>
      <c r="H356" s="428">
        <f t="shared" si="48"/>
        <v>352</v>
      </c>
      <c r="I356" s="429">
        <f>+'No Deducible 93'!Y375</f>
        <v>13089027.604443004</v>
      </c>
      <c r="J356" s="429">
        <f>+'Deducible 151'!Y375</f>
        <v>12598659.294479454</v>
      </c>
      <c r="K356" s="429">
        <f>+'Deducible 185'!Y375</f>
        <v>13089027.604443004</v>
      </c>
      <c r="O356" s="453"/>
      <c r="P356" s="453"/>
      <c r="Q356" s="453"/>
      <c r="Z356" s="454"/>
      <c r="AA356" s="402"/>
    </row>
    <row r="357" spans="1:27" x14ac:dyDescent="0.25">
      <c r="A357" s="426">
        <f t="shared" si="46"/>
        <v>29.416666666666668</v>
      </c>
      <c r="B357" s="427">
        <f>'OptiMaxx plus'!$T$7+A357</f>
        <v>58.41666666666667</v>
      </c>
      <c r="C357" s="428">
        <f t="shared" si="47"/>
        <v>353</v>
      </c>
      <c r="D357" s="429">
        <f>+'No Deducible 93'!AD376</f>
        <v>14248436.664908169</v>
      </c>
      <c r="E357" s="429">
        <f>+'Deducible 151'!AD376</f>
        <v>13613987.981705159</v>
      </c>
      <c r="F357" s="429">
        <f>+'Deducible 185'!AD376</f>
        <v>14248436.664908169</v>
      </c>
      <c r="H357" s="428">
        <f t="shared" si="48"/>
        <v>353</v>
      </c>
      <c r="I357" s="429">
        <f>+'No Deducible 93'!Y376</f>
        <v>13190039.967712238</v>
      </c>
      <c r="J357" s="429">
        <f>+'Deducible 151'!Y376</f>
        <v>12694184.495328143</v>
      </c>
      <c r="K357" s="429">
        <f>+'Deducible 185'!Y376</f>
        <v>13190039.967712238</v>
      </c>
      <c r="O357" s="453"/>
      <c r="P357" s="453"/>
      <c r="Q357" s="453"/>
      <c r="Z357" s="454"/>
      <c r="AA357" s="402"/>
    </row>
    <row r="358" spans="1:27" x14ac:dyDescent="0.25">
      <c r="A358" s="426">
        <f t="shared" si="46"/>
        <v>29.5</v>
      </c>
      <c r="B358" s="427">
        <f>'OptiMaxx plus'!$T$7+A358</f>
        <v>58.5</v>
      </c>
      <c r="C358" s="428">
        <f t="shared" si="47"/>
        <v>354</v>
      </c>
      <c r="D358" s="429">
        <f>+'No Deducible 93'!AD377</f>
        <v>14347656.04478717</v>
      </c>
      <c r="E358" s="429">
        <f>+'Deducible 151'!AD377</f>
        <v>13707058.435167154</v>
      </c>
      <c r="F358" s="429">
        <f>+'Deducible 185'!AD377</f>
        <v>14347656.04478717</v>
      </c>
      <c r="H358" s="428">
        <f t="shared" si="48"/>
        <v>354</v>
      </c>
      <c r="I358" s="429">
        <f>+'No Deducible 93'!Y377</f>
        <v>13291755.9999012</v>
      </c>
      <c r="J358" s="429">
        <f>+'Deducible 151'!Y377</f>
        <v>12790359.734701531</v>
      </c>
      <c r="K358" s="429">
        <f>+'Deducible 185'!Y377</f>
        <v>13291755.9999012</v>
      </c>
      <c r="O358" s="453"/>
      <c r="P358" s="453"/>
      <c r="Q358" s="453"/>
      <c r="Z358" s="454"/>
      <c r="AA358" s="402"/>
    </row>
    <row r="359" spans="1:27" x14ac:dyDescent="0.25">
      <c r="A359" s="426">
        <f t="shared" si="46"/>
        <v>29.583333333333332</v>
      </c>
      <c r="B359" s="427">
        <f>'OptiMaxx plus'!$T$7+A359</f>
        <v>58.58333333333333</v>
      </c>
      <c r="C359" s="428">
        <f t="shared" si="47"/>
        <v>355</v>
      </c>
      <c r="D359" s="429">
        <f>+'No Deducible 93'!AD378</f>
        <v>14457160.108169913</v>
      </c>
      <c r="E359" s="429">
        <f>+'Deducible 151'!AD378</f>
        <v>13809908.186033938</v>
      </c>
      <c r="F359" s="429">
        <f>+'Deducible 185'!AD378</f>
        <v>14457160.108169913</v>
      </c>
      <c r="H359" s="428">
        <f t="shared" si="48"/>
        <v>355</v>
      </c>
      <c r="I359" s="429">
        <f>+'No Deducible 93'!Y378</f>
        <v>13394180.602884592</v>
      </c>
      <c r="J359" s="429">
        <f>+'Deducible 151'!Y378</f>
        <v>12887189.43604055</v>
      </c>
      <c r="K359" s="429">
        <f>+'Deducible 185'!Y378</f>
        <v>13394180.602884592</v>
      </c>
      <c r="O359" s="453"/>
      <c r="P359" s="453"/>
      <c r="Q359" s="453"/>
      <c r="Z359" s="454"/>
      <c r="AA359" s="402"/>
    </row>
    <row r="360" spans="1:27" x14ac:dyDescent="0.25">
      <c r="A360" s="426">
        <f t="shared" si="46"/>
        <v>29.666666666666668</v>
      </c>
      <c r="B360" s="427">
        <f>'OptiMaxx plus'!$T$7+A360</f>
        <v>58.66666666666667</v>
      </c>
      <c r="C360" s="428">
        <f t="shared" si="47"/>
        <v>356</v>
      </c>
      <c r="D360" s="429">
        <f>+'No Deducible 93'!AD379</f>
        <v>14567425.283123055</v>
      </c>
      <c r="E360" s="429">
        <f>+'Deducible 151'!AD379</f>
        <v>13913456.466655396</v>
      </c>
      <c r="F360" s="429">
        <f>+'Deducible 185'!AD379</f>
        <v>14567425.283123055</v>
      </c>
      <c r="H360" s="428">
        <f t="shared" si="48"/>
        <v>356</v>
      </c>
      <c r="I360" s="429">
        <f>+'No Deducible 93'!Y379</f>
        <v>13497318.712684397</v>
      </c>
      <c r="J360" s="429">
        <f>+'Deducible 151'!Y379</f>
        <v>12984678.052887164</v>
      </c>
      <c r="K360" s="429">
        <f>+'Deducible 185'!Y379</f>
        <v>13497318.712684397</v>
      </c>
      <c r="O360" s="453"/>
      <c r="P360" s="453"/>
      <c r="Q360" s="453"/>
      <c r="Z360" s="454"/>
      <c r="AA360" s="402"/>
    </row>
    <row r="361" spans="1:27" x14ac:dyDescent="0.25">
      <c r="A361" s="426">
        <f t="shared" si="46"/>
        <v>29.75</v>
      </c>
      <c r="B361" s="427">
        <f>'OptiMaxx plus'!$T$7+A361</f>
        <v>58.75</v>
      </c>
      <c r="C361" s="428">
        <f t="shared" si="47"/>
        <v>357</v>
      </c>
      <c r="D361" s="429">
        <f>+'No Deducible 93'!AD380</f>
        <v>14668758.019031517</v>
      </c>
      <c r="E361" s="429">
        <f>+'Deducible 151'!AD380</f>
        <v>14008473.335529873</v>
      </c>
      <c r="F361" s="429">
        <f>+'Deducible 185'!AD380</f>
        <v>14668758.019031517</v>
      </c>
      <c r="H361" s="428">
        <f t="shared" si="48"/>
        <v>357</v>
      </c>
      <c r="I361" s="429">
        <f>+'No Deducible 93'!Y380</f>
        <v>13601175.299707746</v>
      </c>
      <c r="J361" s="429">
        <f>+'Deducible 151'!Y380</f>
        <v>13082830.069089202</v>
      </c>
      <c r="K361" s="429">
        <f>+'Deducible 185'!Y380</f>
        <v>13601175.299707746</v>
      </c>
      <c r="O361" s="453"/>
      <c r="P361" s="453"/>
      <c r="Q361" s="453"/>
      <c r="Z361" s="454"/>
      <c r="AA361" s="402"/>
    </row>
    <row r="362" spans="1:27" x14ac:dyDescent="0.25">
      <c r="A362" s="426">
        <f t="shared" si="46"/>
        <v>29.833333333333332</v>
      </c>
      <c r="B362" s="427">
        <f>'OptiMaxx plus'!$T$7+A362</f>
        <v>58.83333333333333</v>
      </c>
      <c r="C362" s="428">
        <f t="shared" si="47"/>
        <v>358</v>
      </c>
      <c r="D362" s="429">
        <f>+'No Deducible 93'!AD381</f>
        <v>14780496.298498493</v>
      </c>
      <c r="E362" s="429">
        <f>+'Deducible 151'!AD381</f>
        <v>14113372.102565315</v>
      </c>
      <c r="F362" s="429">
        <f>+'Deducible 185'!AD381</f>
        <v>14780496.298498493</v>
      </c>
      <c r="H362" s="428">
        <f t="shared" si="48"/>
        <v>358</v>
      </c>
      <c r="I362" s="429">
        <f>+'No Deducible 93'!Y381</f>
        <v>13705755.368986454</v>
      </c>
      <c r="J362" s="429">
        <f>+'Deducible 151'!Y381</f>
        <v>13181649.999006586</v>
      </c>
      <c r="K362" s="429">
        <f>+'Deducible 185'!Y381</f>
        <v>13705755.368986454</v>
      </c>
      <c r="O362" s="453"/>
      <c r="P362" s="453"/>
      <c r="Q362" s="453"/>
      <c r="Z362" s="454"/>
      <c r="AA362" s="402"/>
    </row>
    <row r="363" spans="1:27" x14ac:dyDescent="0.25">
      <c r="A363" s="426">
        <f t="shared" si="46"/>
        <v>29.916666666666668</v>
      </c>
      <c r="B363" s="427">
        <f>'OptiMaxx plus'!$T$7+A363</f>
        <v>58.91666666666667</v>
      </c>
      <c r="C363" s="428">
        <f t="shared" si="47"/>
        <v>359</v>
      </c>
      <c r="D363" s="429">
        <f>+'No Deducible 93'!AD382</f>
        <v>14893011.237127608</v>
      </c>
      <c r="E363" s="429">
        <f>+'Deducible 151'!AD382</f>
        <v>14218983.329794647</v>
      </c>
      <c r="F363" s="429">
        <f>+'Deducible 185'!AD382</f>
        <v>14893011.237127608</v>
      </c>
      <c r="H363" s="428">
        <f t="shared" si="48"/>
        <v>359</v>
      </c>
      <c r="I363" s="429">
        <f>+'No Deducible 93'!Y382</f>
        <v>13811063.960418217</v>
      </c>
      <c r="J363" s="429">
        <f>+'Deducible 151'!Y382</f>
        <v>13281142.387718963</v>
      </c>
      <c r="K363" s="429">
        <f>+'Deducible 185'!Y382</f>
        <v>13811063.960418217</v>
      </c>
      <c r="O363" s="453"/>
      <c r="P363" s="453"/>
      <c r="Q363" s="453"/>
      <c r="Z363" s="454"/>
      <c r="AA363" s="402"/>
    </row>
    <row r="364" spans="1:27" x14ac:dyDescent="0.25">
      <c r="A364" s="426">
        <f t="shared" si="46"/>
        <v>30</v>
      </c>
      <c r="B364" s="427">
        <f>'OptiMaxx plus'!$T$7+A364</f>
        <v>59</v>
      </c>
      <c r="C364" s="428">
        <f t="shared" si="47"/>
        <v>360</v>
      </c>
      <c r="D364" s="429">
        <f>+'No Deducible 93'!AD383</f>
        <v>14996502.076239616</v>
      </c>
      <c r="E364" s="429">
        <f>+'Deducible 151'!AD383</f>
        <v>14315986.947575254</v>
      </c>
      <c r="F364" s="429">
        <f>+'Deducible 185'!AD383</f>
        <v>14996502.076239616</v>
      </c>
      <c r="H364" s="428">
        <f t="shared" si="48"/>
        <v>360</v>
      </c>
      <c r="I364" s="429">
        <f>+'No Deducible 93'!Y383</f>
        <v>13917106.1490095</v>
      </c>
      <c r="J364" s="429">
        <f>+'Deducible 151'!Y383</f>
        <v>13381311.81123475</v>
      </c>
      <c r="K364" s="429">
        <f>+'Deducible 185'!Y383</f>
        <v>13917106.1490095</v>
      </c>
      <c r="O364" s="453"/>
      <c r="P364" s="453"/>
      <c r="Q364" s="453"/>
      <c r="Z364" s="454"/>
      <c r="AA364" s="402"/>
    </row>
    <row r="365" spans="1:27" x14ac:dyDescent="0.25">
      <c r="A365" s="426">
        <f t="shared" si="46"/>
        <v>30.083333333333332</v>
      </c>
      <c r="B365" s="427">
        <f>'OptiMaxx plus'!$T$7+A365</f>
        <v>59.08333333333333</v>
      </c>
      <c r="C365" s="428">
        <f t="shared" si="47"/>
        <v>361</v>
      </c>
      <c r="D365" s="429">
        <f>+'No Deducible 93'!AD384</f>
        <v>15110511.310874972</v>
      </c>
      <c r="E365" s="429">
        <f>+'Deducible 151'!AD384</f>
        <v>14422965.198249303</v>
      </c>
      <c r="F365" s="429">
        <f>+'Deducible 185'!AD384</f>
        <v>15110511.310874972</v>
      </c>
      <c r="H365" s="428">
        <f t="shared" si="48"/>
        <v>361</v>
      </c>
      <c r="I365" s="429">
        <f>+'No Deducible 93'!Y384</f>
        <v>14023877.539470477</v>
      </c>
      <c r="J365" s="429">
        <f>+'Deducible 151'!Y384</f>
        <v>13482151.862938834</v>
      </c>
      <c r="K365" s="429">
        <f>+'Deducible 185'!Y384</f>
        <v>14023877.539470477</v>
      </c>
      <c r="O365" s="453"/>
      <c r="P365" s="453"/>
      <c r="Q365" s="453"/>
      <c r="Z365" s="454"/>
      <c r="AA365" s="402"/>
    </row>
    <row r="366" spans="1:27" x14ac:dyDescent="0.25">
      <c r="A366" s="426">
        <f t="shared" si="46"/>
        <v>30.166666666666668</v>
      </c>
      <c r="B366" s="427">
        <f>'OptiMaxx plus'!$T$7+A366</f>
        <v>59.16666666666667</v>
      </c>
      <c r="C366" s="428">
        <f t="shared" si="47"/>
        <v>362</v>
      </c>
      <c r="D366" s="429">
        <f>+'No Deducible 93'!AD385</f>
        <v>15225313.008039035</v>
      </c>
      <c r="E366" s="429">
        <f>+'Deducible 151'!AD385</f>
        <v>14530670.046761304</v>
      </c>
      <c r="F366" s="429">
        <f>+'Deducible 185'!AD385</f>
        <v>15225313.008039035</v>
      </c>
      <c r="H366" s="428">
        <f t="shared" si="48"/>
        <v>362</v>
      </c>
      <c r="I366" s="429">
        <f>+'No Deducible 93'!Y385</f>
        <v>14131392.717192257</v>
      </c>
      <c r="J366" s="429">
        <f>+'Deducible 151'!Y385</f>
        <v>13583678.120145319</v>
      </c>
      <c r="K366" s="429">
        <f>+'Deducible 185'!Y385</f>
        <v>14131392.717192257</v>
      </c>
      <c r="O366" s="453"/>
      <c r="P366" s="453"/>
      <c r="Q366" s="453"/>
      <c r="Z366" s="454"/>
      <c r="AA366" s="402"/>
    </row>
    <row r="367" spans="1:27" x14ac:dyDescent="0.25">
      <c r="A367" s="426">
        <f t="shared" si="46"/>
        <v>30.25</v>
      </c>
      <c r="B367" s="427">
        <f>'OptiMaxx plus'!$T$7+A367</f>
        <v>59.25</v>
      </c>
      <c r="C367" s="428">
        <f t="shared" si="47"/>
        <v>363</v>
      </c>
      <c r="D367" s="429">
        <f>+'No Deducible 93'!AD386</f>
        <v>15330998.003631216</v>
      </c>
      <c r="E367" s="429">
        <f>+'Deducible 151'!AD386</f>
        <v>14629690.41498318</v>
      </c>
      <c r="F367" s="429">
        <f>+'Deducible 185'!AD386</f>
        <v>15330998.003631216</v>
      </c>
      <c r="H367" s="428">
        <f t="shared" si="48"/>
        <v>363</v>
      </c>
      <c r="I367" s="429">
        <f>+'No Deducible 93'!Y386</f>
        <v>14239656.863520583</v>
      </c>
      <c r="J367" s="429">
        <f>+'Deducible 151'!Y386</f>
        <v>13685895.252407456</v>
      </c>
      <c r="K367" s="429">
        <f>+'Deducible 185'!Y386</f>
        <v>14239656.863520583</v>
      </c>
      <c r="O367" s="453"/>
      <c r="P367" s="453"/>
      <c r="Q367" s="453"/>
      <c r="Z367" s="454"/>
      <c r="AA367" s="402"/>
    </row>
    <row r="368" spans="1:27" x14ac:dyDescent="0.25">
      <c r="A368" s="426">
        <f t="shared" si="46"/>
        <v>30.333333333333332</v>
      </c>
      <c r="B368" s="427">
        <f>'OptiMaxx plus'!$T$7+A368</f>
        <v>59.33333333333333</v>
      </c>
      <c r="C368" s="428">
        <f t="shared" si="47"/>
        <v>364</v>
      </c>
      <c r="D368" s="429">
        <f>+'No Deducible 93'!AD387</f>
        <v>15447334.708374776</v>
      </c>
      <c r="E368" s="429">
        <f>+'Deducible 151'!AD387</f>
        <v>14738801.264324911</v>
      </c>
      <c r="F368" s="429">
        <f>+'Deducible 185'!AD387</f>
        <v>15447334.708374776</v>
      </c>
      <c r="H368" s="428">
        <f t="shared" si="48"/>
        <v>364</v>
      </c>
      <c r="I368" s="429">
        <f>+'No Deducible 93'!Y387</f>
        <v>14348675.19589531</v>
      </c>
      <c r="J368" s="429">
        <f>+'Deducible 151'!Y387</f>
        <v>13788807.961054295</v>
      </c>
      <c r="K368" s="429">
        <f>+'Deducible 185'!Y387</f>
        <v>14348675.19589531</v>
      </c>
      <c r="O368" s="453"/>
      <c r="P368" s="453"/>
      <c r="Q368" s="453"/>
      <c r="Z368" s="454"/>
      <c r="AA368" s="402"/>
    </row>
    <row r="369" spans="1:27" x14ac:dyDescent="0.25">
      <c r="A369" s="426">
        <f t="shared" si="46"/>
        <v>30.416666666666668</v>
      </c>
      <c r="B369" s="427">
        <f>'OptiMaxx plus'!$T$7+A369</f>
        <v>59.41666666666667</v>
      </c>
      <c r="C369" s="428">
        <f t="shared" si="47"/>
        <v>365</v>
      </c>
      <c r="D369" s="429">
        <f>+'No Deducible 93'!AD388</f>
        <v>15564480.072548842</v>
      </c>
      <c r="E369" s="429">
        <f>+'Deducible 151'!AD388</f>
        <v>14848653.210466467</v>
      </c>
      <c r="F369" s="429">
        <f>+'Deducible 185'!AD388</f>
        <v>15564480.072548842</v>
      </c>
      <c r="H369" s="428">
        <f t="shared" si="48"/>
        <v>365</v>
      </c>
      <c r="I369" s="429">
        <f>+'No Deducible 93'!Y388</f>
        <v>14458452.968101854</v>
      </c>
      <c r="J369" s="429">
        <f>+'Deducible 151'!Y388</f>
        <v>13892420.979406921</v>
      </c>
      <c r="K369" s="429">
        <f>+'Deducible 185'!Y388</f>
        <v>14458452.968101854</v>
      </c>
      <c r="O369" s="453"/>
      <c r="P369" s="453"/>
      <c r="Q369" s="453"/>
      <c r="Z369" s="454"/>
      <c r="AA369" s="402"/>
    </row>
    <row r="370" spans="1:27" x14ac:dyDescent="0.25">
      <c r="A370" s="426">
        <f t="shared" si="46"/>
        <v>30.5</v>
      </c>
      <c r="B370" s="427">
        <f>'OptiMaxx plus'!$T$7+A370</f>
        <v>59.5</v>
      </c>
      <c r="C370" s="428">
        <f t="shared" si="47"/>
        <v>366</v>
      </c>
      <c r="D370" s="429">
        <f>+'No Deducible 93'!AD389</f>
        <v>15672415.316715403</v>
      </c>
      <c r="E370" s="429">
        <f>+'Deducible 151'!AD389</f>
        <v>14949743.278878447</v>
      </c>
      <c r="F370" s="429">
        <f>+'Deducible 185'!AD389</f>
        <v>15672415.316715403</v>
      </c>
      <c r="H370" s="428">
        <f t="shared" si="48"/>
        <v>366</v>
      </c>
      <c r="I370" s="429">
        <f>+'No Deducible 93'!Y389</f>
        <v>14568995.470524365</v>
      </c>
      <c r="J370" s="429">
        <f>+'Deducible 151'!Y389</f>
        <v>13996739.072996145</v>
      </c>
      <c r="K370" s="429">
        <f>+'Deducible 185'!Y389</f>
        <v>14568995.470524365</v>
      </c>
      <c r="O370" s="453"/>
      <c r="P370" s="453"/>
      <c r="Q370" s="453"/>
      <c r="Z370" s="454"/>
      <c r="AA370" s="402"/>
    </row>
    <row r="371" spans="1:27" x14ac:dyDescent="0.25">
      <c r="A371" s="426">
        <f t="shared" si="46"/>
        <v>30.583333333333332</v>
      </c>
      <c r="B371" s="427">
        <f>'OptiMaxx plus'!$T$7+A371</f>
        <v>59.58333333333333</v>
      </c>
      <c r="C371" s="428">
        <f t="shared" si="47"/>
        <v>367</v>
      </c>
      <c r="D371" s="429">
        <f>+'No Deducible 93'!AD390</f>
        <v>15791127.6814887</v>
      </c>
      <c r="E371" s="429">
        <f>+'Deducible 151'!AD390</f>
        <v>15061029.913623076</v>
      </c>
      <c r="F371" s="429">
        <f>+'Deducible 185'!AD390</f>
        <v>15791127.6814887</v>
      </c>
      <c r="H371" s="428">
        <f t="shared" si="48"/>
        <v>367</v>
      </c>
      <c r="I371" s="429">
        <f>+'No Deducible 93'!Y390</f>
        <v>14680308.030400695</v>
      </c>
      <c r="J371" s="429">
        <f>+'Deducible 151'!Y390</f>
        <v>14101767.039781693</v>
      </c>
      <c r="K371" s="429">
        <f>+'Deducible 185'!Y390</f>
        <v>14680308.030400695</v>
      </c>
      <c r="O371" s="453"/>
      <c r="P371" s="453"/>
      <c r="Q371" s="453"/>
      <c r="Z371" s="454"/>
      <c r="AA371" s="402"/>
    </row>
    <row r="372" spans="1:27" x14ac:dyDescent="0.25">
      <c r="A372" s="426">
        <f t="shared" si="46"/>
        <v>30.666666666666668</v>
      </c>
      <c r="B372" s="427">
        <f>'OptiMaxx plus'!$T$7+A372</f>
        <v>59.66666666666667</v>
      </c>
      <c r="C372" s="428">
        <f t="shared" si="47"/>
        <v>368</v>
      </c>
      <c r="D372" s="429">
        <f>+'No Deducible 93'!AD391</f>
        <v>15910665.238134569</v>
      </c>
      <c r="E372" s="429">
        <f>+'Deducible 151'!AD391</f>
        <v>15173072.437885083</v>
      </c>
      <c r="F372" s="429">
        <f>+'Deducible 185'!AD391</f>
        <v>15910665.238134569</v>
      </c>
      <c r="H372" s="428">
        <f t="shared" si="48"/>
        <v>368</v>
      </c>
      <c r="I372" s="429">
        <f>+'No Deducible 93'!Y391</f>
        <v>14792396.01207912</v>
      </c>
      <c r="J372" s="429">
        <f>+'Deducible 151'!Y391</f>
        <v>14207509.710372882</v>
      </c>
      <c r="K372" s="429">
        <f>+'Deducible 185'!Y391</f>
        <v>14792396.01207912</v>
      </c>
      <c r="O372" s="453"/>
      <c r="P372" s="453"/>
      <c r="Q372" s="453"/>
      <c r="Z372" s="454"/>
      <c r="AA372" s="402"/>
    </row>
    <row r="373" spans="1:27" x14ac:dyDescent="0.25">
      <c r="A373" s="426">
        <f t="shared" si="46"/>
        <v>30.75</v>
      </c>
      <c r="B373" s="427">
        <f>'OptiMaxx plus'!$T$7+A373</f>
        <v>59.75</v>
      </c>
      <c r="C373" s="428">
        <f t="shared" si="47"/>
        <v>369</v>
      </c>
      <c r="D373" s="429">
        <f>+'No Deducible 93'!AD392</f>
        <v>16020898.36788531</v>
      </c>
      <c r="E373" s="429">
        <f>+'Deducible 151'!AD392</f>
        <v>15276275.083653707</v>
      </c>
      <c r="F373" s="429">
        <f>+'Deducible 185'!AD392</f>
        <v>16020898.36788531</v>
      </c>
      <c r="H373" s="428">
        <f t="shared" si="48"/>
        <v>369</v>
      </c>
      <c r="I373" s="429">
        <f>+'No Deducible 93'!Y392</f>
        <v>14905264.817276858</v>
      </c>
      <c r="J373" s="429">
        <f>+'Deducible 151'!Y392</f>
        <v>14313971.948250799</v>
      </c>
      <c r="K373" s="429">
        <f>+'Deducible 185'!Y392</f>
        <v>14905264.817276858</v>
      </c>
      <c r="O373" s="453"/>
      <c r="P373" s="453"/>
      <c r="Q373" s="453"/>
      <c r="Z373" s="454"/>
      <c r="AA373" s="402"/>
    </row>
    <row r="374" spans="1:27" x14ac:dyDescent="0.25">
      <c r="A374" s="426">
        <f t="shared" si="46"/>
        <v>30.833333333333332</v>
      </c>
      <c r="B374" s="427">
        <f>'OptiMaxx plus'!$T$7+A374</f>
        <v>59.83333333333333</v>
      </c>
      <c r="C374" s="428">
        <f t="shared" si="47"/>
        <v>370</v>
      </c>
      <c r="D374" s="429">
        <f>+'No Deducible 93'!AD393</f>
        <v>16142035.58794845</v>
      </c>
      <c r="E374" s="429">
        <f>+'Deducible 151'!AD393</f>
        <v>15389781.571879053</v>
      </c>
      <c r="F374" s="429">
        <f>+'Deducible 185'!AD393</f>
        <v>16142035.58794845</v>
      </c>
      <c r="H374" s="428">
        <f t="shared" si="48"/>
        <v>370</v>
      </c>
      <c r="I374" s="429">
        <f>+'No Deducible 93'!Y393</f>
        <v>15018919.885340383</v>
      </c>
      <c r="J374" s="429">
        <f>+'Deducible 151'!Y393</f>
        <v>14421158.649991982</v>
      </c>
      <c r="K374" s="429">
        <f>+'Deducible 185'!Y393</f>
        <v>15018919.885340383</v>
      </c>
      <c r="O374" s="453"/>
      <c r="P374" s="453"/>
      <c r="Q374" s="453"/>
      <c r="Z374" s="454"/>
      <c r="AA374" s="402"/>
    </row>
    <row r="375" spans="1:27" x14ac:dyDescent="0.25">
      <c r="A375" s="426">
        <f t="shared" si="46"/>
        <v>30.916666666666668</v>
      </c>
      <c r="B375" s="427">
        <f>'OptiMaxx plus'!$T$7+A375</f>
        <v>59.91666666666667</v>
      </c>
      <c r="C375" s="428">
        <f t="shared" si="47"/>
        <v>371</v>
      </c>
      <c r="D375" s="429">
        <f>+'No Deducible 93'!AD394</f>
        <v>16264014.874868333</v>
      </c>
      <c r="E375" s="429">
        <f>+'Deducible 151'!AD394</f>
        <v>15504059.042091265</v>
      </c>
      <c r="F375" s="429">
        <f>+'Deducible 185'!AD394</f>
        <v>16264014.874868333</v>
      </c>
      <c r="H375" s="428">
        <f t="shared" si="48"/>
        <v>371</v>
      </c>
      <c r="I375" s="429">
        <f>+'No Deducible 93'!Y394</f>
        <v>15133366.693507565</v>
      </c>
      <c r="J375" s="429">
        <f>+'Deducible 151'!Y394</f>
        <v>14529074.74549364</v>
      </c>
      <c r="K375" s="429">
        <f>+'Deducible 185'!Y394</f>
        <v>15133366.693507565</v>
      </c>
      <c r="O375" s="453"/>
      <c r="P375" s="453"/>
      <c r="Q375" s="453"/>
      <c r="Z375" s="454"/>
      <c r="AA375" s="402"/>
    </row>
    <row r="376" spans="1:27" x14ac:dyDescent="0.25">
      <c r="A376" s="426">
        <f t="shared" si="46"/>
        <v>31</v>
      </c>
      <c r="B376" s="427">
        <f>'OptiMaxx plus'!$T$7+A376</f>
        <v>60</v>
      </c>
      <c r="C376" s="428">
        <f t="shared" si="47"/>
        <v>372</v>
      </c>
      <c r="D376" s="429">
        <f>+'No Deducible 93'!AD395</f>
        <v>16376594.532776529</v>
      </c>
      <c r="E376" s="429">
        <f>+'Deducible 151'!AD395</f>
        <v>15609418.026969438</v>
      </c>
      <c r="F376" s="429">
        <f>+'Deducible 185'!AD395</f>
        <v>16376594.532776529</v>
      </c>
      <c r="H376" s="428">
        <f t="shared" si="48"/>
        <v>372</v>
      </c>
      <c r="I376" s="429">
        <f>+'No Deducible 93'!Y395</f>
        <v>15248610.757171627</v>
      </c>
      <c r="J376" s="429">
        <f>+'Deducible 151'!Y395</f>
        <v>14637725.198200388</v>
      </c>
      <c r="K376" s="429">
        <f>+'Deducible 185'!Y395</f>
        <v>15248610.757171627</v>
      </c>
      <c r="O376" s="453"/>
      <c r="P376" s="453"/>
      <c r="Q376" s="453"/>
      <c r="Z376" s="454"/>
      <c r="AA376" s="402"/>
    </row>
    <row r="377" spans="1:27" x14ac:dyDescent="0.25">
      <c r="A377" s="426">
        <f t="shared" si="46"/>
        <v>31.083333333333332</v>
      </c>
      <c r="B377" s="427">
        <f>'OptiMaxx plus'!$T$7+A377</f>
        <v>60.08333333333333</v>
      </c>
      <c r="C377" s="428">
        <f t="shared" si="47"/>
        <v>373</v>
      </c>
      <c r="D377" s="429">
        <f>+'No Deducible 93'!AD396</f>
        <v>16500196.943910655</v>
      </c>
      <c r="E377" s="429">
        <f>+'Deducible 151'!AD396</f>
        <v>15725177.881836014</v>
      </c>
      <c r="F377" s="429">
        <f>+'Deducible 185'!AD396</f>
        <v>16500196.943910655</v>
      </c>
      <c r="H377" s="428">
        <f t="shared" si="48"/>
        <v>373</v>
      </c>
      <c r="I377" s="429">
        <f>+'No Deducible 93'!Y396</f>
        <v>15364647.744271321</v>
      </c>
      <c r="J377" s="429">
        <f>+'Deducible 151'!Y396</f>
        <v>14747103.551019266</v>
      </c>
      <c r="K377" s="429">
        <f>+'Deducible 185'!Y396</f>
        <v>15364647.744271321</v>
      </c>
      <c r="O377" s="453"/>
      <c r="P377" s="453"/>
      <c r="Q377" s="453"/>
      <c r="Z377" s="454"/>
      <c r="AA377" s="402"/>
    </row>
    <row r="378" spans="1:27" x14ac:dyDescent="0.25">
      <c r="A378" s="426">
        <f t="shared" si="46"/>
        <v>31.166666666666668</v>
      </c>
      <c r="B378" s="427">
        <f>'OptiMaxx plus'!$T$7+A378</f>
        <v>60.16666666666667</v>
      </c>
      <c r="C378" s="428">
        <f t="shared" si="47"/>
        <v>374</v>
      </c>
      <c r="D378" s="429">
        <f>+'No Deducible 93'!AD397</f>
        <v>16624658.577709692</v>
      </c>
      <c r="E378" s="429">
        <f>+'Deducible 151'!AD397</f>
        <v>15841724.03908461</v>
      </c>
      <c r="F378" s="429">
        <f>+'Deducible 185'!AD397</f>
        <v>16624658.577709692</v>
      </c>
      <c r="H378" s="428">
        <f t="shared" si="48"/>
        <v>374</v>
      </c>
      <c r="I378" s="429">
        <f>+'No Deducible 93'!Y397</f>
        <v>15481493.064318767</v>
      </c>
      <c r="J378" s="429">
        <f>+'Deducible 151'!Y397</f>
        <v>14857226.211544055</v>
      </c>
      <c r="K378" s="429">
        <f>+'Deducible 185'!Y397</f>
        <v>15481493.064318767</v>
      </c>
      <c r="O378" s="453"/>
      <c r="P378" s="453"/>
      <c r="Q378" s="453"/>
      <c r="Z378" s="454"/>
      <c r="AA378" s="402"/>
    </row>
    <row r="379" spans="1:27" x14ac:dyDescent="0.25">
      <c r="A379" s="426">
        <f t="shared" si="46"/>
        <v>31.25</v>
      </c>
      <c r="B379" s="427">
        <f>'OptiMaxx plus'!$T$7+A379</f>
        <v>60.25</v>
      </c>
      <c r="C379" s="428">
        <f t="shared" si="47"/>
        <v>375</v>
      </c>
      <c r="D379" s="429">
        <f>+'No Deducible 93'!AD398</f>
        <v>16739624.409018742</v>
      </c>
      <c r="E379" s="429">
        <f>+'Deducible 151'!AD398</f>
        <v>15949272.416891137</v>
      </c>
      <c r="F379" s="429">
        <f>+'Deducible 185'!AD398</f>
        <v>16739624.409018742</v>
      </c>
      <c r="H379" s="428">
        <f t="shared" si="48"/>
        <v>375</v>
      </c>
      <c r="I379" s="429">
        <f>+'No Deducible 93'!Y398</f>
        <v>15599152.348295692</v>
      </c>
      <c r="J379" s="429">
        <f>+'Deducible 151'!Y398</f>
        <v>14968098.244707134</v>
      </c>
      <c r="K379" s="429">
        <f>+'Deducible 185'!Y398</f>
        <v>15599152.348295692</v>
      </c>
      <c r="O379" s="453"/>
      <c r="P379" s="453"/>
      <c r="Q379" s="453"/>
      <c r="Z379" s="454"/>
      <c r="AA379" s="402"/>
    </row>
    <row r="380" spans="1:27" x14ac:dyDescent="0.25">
      <c r="A380" s="426">
        <f t="shared" si="46"/>
        <v>31.333333333333332</v>
      </c>
      <c r="B380" s="427">
        <f>'OptiMaxx plus'!$T$7+A380</f>
        <v>60.33333333333333</v>
      </c>
      <c r="C380" s="428">
        <f t="shared" si="47"/>
        <v>376</v>
      </c>
      <c r="D380" s="429">
        <f>+'No Deducible 93'!AD399</f>
        <v>16865752.958610486</v>
      </c>
      <c r="E380" s="429">
        <f>+'Deducible 151'!AD399</f>
        <v>16067342.742574915</v>
      </c>
      <c r="F380" s="429">
        <f>+'Deducible 185'!AD399</f>
        <v>16865752.958610486</v>
      </c>
      <c r="H380" s="428">
        <f t="shared" si="48"/>
        <v>376</v>
      </c>
      <c r="I380" s="429">
        <f>+'No Deducible 93'!Y399</f>
        <v>15717631.266410183</v>
      </c>
      <c r="J380" s="429">
        <f>+'Deducible 151'!Y399</f>
        <v>15079724.749907196</v>
      </c>
      <c r="K380" s="429">
        <f>+'Deducible 185'!Y399</f>
        <v>15717631.266410183</v>
      </c>
      <c r="O380" s="453"/>
      <c r="P380" s="453"/>
      <c r="Q380" s="453"/>
      <c r="Z380" s="454"/>
      <c r="AA380" s="402"/>
    </row>
    <row r="381" spans="1:27" x14ac:dyDescent="0.25">
      <c r="A381" s="426">
        <f t="shared" si="46"/>
        <v>31.416666666666668</v>
      </c>
      <c r="B381" s="427">
        <f>'OptiMaxx plus'!$T$7+A381</f>
        <v>60.41666666666667</v>
      </c>
      <c r="C381" s="428">
        <f t="shared" si="47"/>
        <v>377</v>
      </c>
      <c r="D381" s="429">
        <f>+'No Deducible 93'!AD400</f>
        <v>16992758.311081603</v>
      </c>
      <c r="E381" s="429">
        <f>+'Deducible 151'!AD400</f>
        <v>16186215.079494582</v>
      </c>
      <c r="F381" s="429">
        <f>+'Deducible 185'!AD400</f>
        <v>16992758.311081603</v>
      </c>
      <c r="H381" s="428">
        <f t="shared" si="48"/>
        <v>377</v>
      </c>
      <c r="I381" s="429">
        <f>+'No Deducible 93'!Y400</f>
        <v>15836935.528369939</v>
      </c>
      <c r="J381" s="429">
        <f>+'Deducible 151'!Y400</f>
        <v>15192110.861243783</v>
      </c>
      <c r="K381" s="429">
        <f>+'Deducible 185'!Y400</f>
        <v>15836935.528369939</v>
      </c>
      <c r="O381" s="453"/>
      <c r="P381" s="453"/>
      <c r="Q381" s="453"/>
      <c r="Z381" s="454"/>
      <c r="AA381" s="402"/>
    </row>
    <row r="382" spans="1:27" x14ac:dyDescent="0.25">
      <c r="A382" s="426">
        <f t="shared" si="46"/>
        <v>31.5</v>
      </c>
      <c r="B382" s="427">
        <f>'OptiMaxx plus'!$T$7+A382</f>
        <v>60.5</v>
      </c>
      <c r="C382" s="428">
        <f t="shared" si="47"/>
        <v>378</v>
      </c>
      <c r="D382" s="429">
        <f>+'No Deducible 93'!AD401</f>
        <v>17110170.846661616</v>
      </c>
      <c r="E382" s="429">
        <f>+'Deducible 151'!AD401</f>
        <v>16296009.808259979</v>
      </c>
      <c r="F382" s="429">
        <f>+'Deducible 185'!AD401</f>
        <v>17110170.846661616</v>
      </c>
      <c r="H382" s="428">
        <f t="shared" si="48"/>
        <v>378</v>
      </c>
      <c r="I382" s="429">
        <f>+'No Deducible 93'!Y401</f>
        <v>15957070.88365743</v>
      </c>
      <c r="J382" s="429">
        <f>+'Deducible 151'!Y401</f>
        <v>15305261.74775342</v>
      </c>
      <c r="K382" s="429">
        <f>+'Deducible 185'!Y401</f>
        <v>15957070.88365743</v>
      </c>
      <c r="O382" s="453"/>
      <c r="P382" s="453"/>
      <c r="Q382" s="453"/>
      <c r="Z382" s="454"/>
      <c r="AA382" s="402"/>
    </row>
    <row r="383" spans="1:27" x14ac:dyDescent="0.25">
      <c r="A383" s="426">
        <f t="shared" si="46"/>
        <v>31.583333333333332</v>
      </c>
      <c r="B383" s="427">
        <f>'OptiMaxx plus'!$T$7+A383</f>
        <v>60.58333333333333</v>
      </c>
      <c r="C383" s="428">
        <f t="shared" si="47"/>
        <v>379</v>
      </c>
      <c r="D383" s="429">
        <f>+'No Deducible 93'!AD402</f>
        <v>17238877.869734593</v>
      </c>
      <c r="E383" s="429">
        <f>+'Deducible 151'!AD402</f>
        <v>16416437.421837194</v>
      </c>
      <c r="F383" s="429">
        <f>+'Deducible 185'!AD402</f>
        <v>17238877.869734593</v>
      </c>
      <c r="H383" s="428">
        <f t="shared" si="48"/>
        <v>379</v>
      </c>
      <c r="I383" s="429">
        <f>+'No Deducible 93'!Y402</f>
        <v>16078043.121806977</v>
      </c>
      <c r="J383" s="429">
        <f>+'Deducible 151'!Y402</f>
        <v>15419182.613647362</v>
      </c>
      <c r="K383" s="429">
        <f>+'Deducible 185'!Y402</f>
        <v>16078043.121806977</v>
      </c>
      <c r="O383" s="453"/>
      <c r="P383" s="453"/>
      <c r="Q383" s="453"/>
      <c r="Z383" s="454"/>
      <c r="AA383" s="402"/>
    </row>
    <row r="384" spans="1:27" x14ac:dyDescent="0.25">
      <c r="A384" s="426">
        <f t="shared" si="46"/>
        <v>31.666666666666668</v>
      </c>
      <c r="B384" s="427">
        <f>'OptiMaxx plus'!$T$7+A384</f>
        <v>60.66666666666667</v>
      </c>
      <c r="C384" s="428">
        <f t="shared" si="47"/>
        <v>380</v>
      </c>
      <c r="D384" s="429">
        <f>+'No Deducible 93'!AD403</f>
        <v>17368479.640311006</v>
      </c>
      <c r="E384" s="429">
        <f>+'Deducible 151'!AD403</f>
        <v>16537683.073959079</v>
      </c>
      <c r="F384" s="429">
        <f>+'Deducible 185'!AD403</f>
        <v>17368479.640311006</v>
      </c>
      <c r="H384" s="428">
        <f t="shared" si="48"/>
        <v>380</v>
      </c>
      <c r="I384" s="429">
        <f>+'No Deducible 93'!Y403</f>
        <v>16199858.072683763</v>
      </c>
      <c r="J384" s="429">
        <f>+'Deducible 151'!Y403</f>
        <v>15533878.698550947</v>
      </c>
      <c r="K384" s="429">
        <f>+'Deducible 185'!Y403</f>
        <v>16199858.072683763</v>
      </c>
      <c r="O384" s="453"/>
      <c r="P384" s="453"/>
      <c r="Q384" s="453"/>
      <c r="Z384" s="454"/>
      <c r="AA384" s="402"/>
    </row>
    <row r="385" spans="1:27" x14ac:dyDescent="0.25">
      <c r="A385" s="426">
        <f t="shared" si="46"/>
        <v>31.75</v>
      </c>
      <c r="B385" s="427">
        <f>'OptiMaxx plus'!$T$7+A385</f>
        <v>60.75</v>
      </c>
      <c r="C385" s="428">
        <f t="shared" si="47"/>
        <v>381</v>
      </c>
      <c r="D385" s="429">
        <f>+'No Deducible 93'!AD404</f>
        <v>17488390.663953274</v>
      </c>
      <c r="E385" s="429">
        <f>+'Deducible 151'!AD404</f>
        <v>16649770.675080182</v>
      </c>
      <c r="F385" s="429">
        <f>+'Deducible 185'!AD404</f>
        <v>17488390.663953274</v>
      </c>
      <c r="H385" s="428">
        <f t="shared" si="48"/>
        <v>381</v>
      </c>
      <c r="I385" s="429">
        <f>+'No Deducible 93'!Y404</f>
        <v>16322521.606764778</v>
      </c>
      <c r="J385" s="429">
        <f>+'Deducible 151'!Y404</f>
        <v>15649355.277744593</v>
      </c>
      <c r="K385" s="429">
        <f>+'Deducible 185'!Y404</f>
        <v>16322521.606764778</v>
      </c>
      <c r="O385" s="453"/>
      <c r="P385" s="453"/>
      <c r="Q385" s="453"/>
      <c r="Z385" s="454"/>
      <c r="AA385" s="402"/>
    </row>
    <row r="386" spans="1:27" x14ac:dyDescent="0.25">
      <c r="A386" s="426">
        <f t="shared" si="46"/>
        <v>31.833333333333332</v>
      </c>
      <c r="B386" s="427">
        <f>'OptiMaxx plus'!$T$7+A386</f>
        <v>60.83333333333333</v>
      </c>
      <c r="C386" s="428">
        <f t="shared" si="47"/>
        <v>382</v>
      </c>
      <c r="D386" s="429">
        <f>+'No Deducible 93'!AD405</f>
        <v>17619729.587699443</v>
      </c>
      <c r="E386" s="429">
        <f>+'Deducible 151'!AD405</f>
        <v>16772603.349337028</v>
      </c>
      <c r="F386" s="429">
        <f>+'Deducible 185'!AD405</f>
        <v>17619729.587699443</v>
      </c>
      <c r="H386" s="428">
        <f t="shared" si="48"/>
        <v>382</v>
      </c>
      <c r="I386" s="429">
        <f>+'No Deducible 93'!Y405</f>
        <v>16446039.635421736</v>
      </c>
      <c r="J386" s="429">
        <f>+'Deducible 151'!Y405</f>
        <v>15765617.662406422</v>
      </c>
      <c r="K386" s="429">
        <f>+'Deducible 185'!Y405</f>
        <v>16446039.635421736</v>
      </c>
      <c r="O386" s="453"/>
      <c r="P386" s="453"/>
      <c r="Q386" s="453"/>
      <c r="Z386" s="454"/>
      <c r="AA386" s="402"/>
    </row>
    <row r="387" spans="1:27" x14ac:dyDescent="0.25">
      <c r="A387" s="426">
        <f t="shared" si="46"/>
        <v>31.916666666666668</v>
      </c>
      <c r="B387" s="427">
        <f>'OptiMaxx plus'!$T$7+A387</f>
        <v>60.91666666666667</v>
      </c>
      <c r="C387" s="428">
        <f t="shared" si="47"/>
        <v>383</v>
      </c>
      <c r="D387" s="429">
        <f>+'No Deducible 93'!AD406</f>
        <v>17751981.575589366</v>
      </c>
      <c r="E387" s="429">
        <f>+'Deducible 151'!AD406</f>
        <v>16896270.414404485</v>
      </c>
      <c r="F387" s="429">
        <f>+'Deducible 185'!AD406</f>
        <v>17751981.575589366</v>
      </c>
      <c r="H387" s="428">
        <f t="shared" si="48"/>
        <v>383</v>
      </c>
      <c r="I387" s="429">
        <f>+'No Deducible 93'!Y406</f>
        <v>16570418.111205941</v>
      </c>
      <c r="J387" s="429">
        <f>+'Deducible 151'!Y406</f>
        <v>15882671.199856542</v>
      </c>
      <c r="K387" s="429">
        <f>+'Deducible 185'!Y406</f>
        <v>16570418.111205941</v>
      </c>
      <c r="O387" s="453"/>
      <c r="P387" s="453"/>
      <c r="Q387" s="453"/>
      <c r="Z387" s="454"/>
      <c r="AA387" s="402"/>
    </row>
    <row r="388" spans="1:27" x14ac:dyDescent="0.25">
      <c r="A388" s="426">
        <f t="shared" si="46"/>
        <v>32</v>
      </c>
      <c r="B388" s="427">
        <f>'OptiMaxx plus'!$T$7+A388</f>
        <v>61</v>
      </c>
      <c r="C388" s="428">
        <f t="shared" si="47"/>
        <v>384</v>
      </c>
      <c r="D388" s="429">
        <f>+'No Deducible 93'!AD407</f>
        <v>17874443.964052808</v>
      </c>
      <c r="E388" s="429">
        <f>+'Deducible 151'!AD407</f>
        <v>17010698.368898436</v>
      </c>
      <c r="F388" s="429">
        <f>+'Deducible 185'!AD407</f>
        <v>17874443.964052808</v>
      </c>
      <c r="H388" s="428">
        <f t="shared" si="48"/>
        <v>384</v>
      </c>
      <c r="I388" s="429">
        <f>+'No Deducible 93'!Y407</f>
        <v>16695663.028135167</v>
      </c>
      <c r="J388" s="429">
        <f>+'Deducible 151'!Y407</f>
        <v>16000521.273802986</v>
      </c>
      <c r="K388" s="429">
        <f>+'Deducible 185'!Y407</f>
        <v>16695663.028135167</v>
      </c>
      <c r="O388" s="453"/>
      <c r="P388" s="453"/>
      <c r="Q388" s="453"/>
      <c r="Z388" s="454"/>
      <c r="AA388" s="402"/>
    </row>
    <row r="389" spans="1:27" x14ac:dyDescent="0.25">
      <c r="A389" s="426">
        <f t="shared" si="46"/>
        <v>32.083333333333336</v>
      </c>
      <c r="B389" s="427">
        <f>'OptiMaxx plus'!$T$7+A389</f>
        <v>61.083333333333336</v>
      </c>
      <c r="C389" s="428">
        <f t="shared" si="47"/>
        <v>385</v>
      </c>
      <c r="D389" s="429">
        <f>+'No Deducible 93'!AD408</f>
        <v>18008459.04940265</v>
      </c>
      <c r="E389" s="429">
        <f>+'Deducible 151'!AD408</f>
        <v>17135972.939424697</v>
      </c>
      <c r="F389" s="429">
        <f>+'Deducible 185'!AD408</f>
        <v>18008459.04940265</v>
      </c>
      <c r="H389" s="428">
        <f t="shared" si="48"/>
        <v>385</v>
      </c>
      <c r="I389" s="429">
        <f>+'No Deducible 93'!Y408</f>
        <v>16821770.140671875</v>
      </c>
      <c r="J389" s="429">
        <f>+'Deducible 151'!Y408</f>
        <v>16119161.392103527</v>
      </c>
      <c r="K389" s="429">
        <f>+'Deducible 185'!Y408</f>
        <v>16821770.140671875</v>
      </c>
      <c r="O389" s="453"/>
      <c r="P389" s="453"/>
      <c r="Q389" s="453"/>
      <c r="Z389" s="454"/>
      <c r="AA389" s="402"/>
    </row>
    <row r="390" spans="1:27" x14ac:dyDescent="0.25">
      <c r="A390" s="426">
        <f t="shared" ref="A390:A453" si="49">+C390/12</f>
        <v>32.166666666666664</v>
      </c>
      <c r="B390" s="427">
        <f>'OptiMaxx plus'!$T$7+A390</f>
        <v>61.166666666666664</v>
      </c>
      <c r="C390" s="428">
        <f t="shared" si="47"/>
        <v>386</v>
      </c>
      <c r="D390" s="429">
        <f>+'No Deducible 93'!AD409</f>
        <v>18143405.823697522</v>
      </c>
      <c r="E390" s="429">
        <f>+'Deducible 151'!AD409</f>
        <v>17262098.503557008</v>
      </c>
      <c r="F390" s="429">
        <f>+'Deducible 185'!AD409</f>
        <v>18143405.823697522</v>
      </c>
      <c r="H390" s="428">
        <f t="shared" si="48"/>
        <v>386</v>
      </c>
      <c r="I390" s="429">
        <f>+'No Deducible 93'!Y409</f>
        <v>16948755.73632467</v>
      </c>
      <c r="J390" s="429">
        <f>+'Deducible 151'!Y409</f>
        <v>16238608.843409231</v>
      </c>
      <c r="K390" s="429">
        <f>+'Deducible 185'!Y409</f>
        <v>16948755.73632467</v>
      </c>
      <c r="O390" s="453"/>
      <c r="P390" s="453"/>
      <c r="Q390" s="453"/>
      <c r="Z390" s="454"/>
      <c r="AA390" s="402"/>
    </row>
    <row r="391" spans="1:27" x14ac:dyDescent="0.25">
      <c r="A391" s="426">
        <f t="shared" si="49"/>
        <v>32.25</v>
      </c>
      <c r="B391" s="427">
        <f>'OptiMaxx plus'!$T$7+A391</f>
        <v>61.25</v>
      </c>
      <c r="C391" s="428">
        <f t="shared" ref="C391:C408" si="50">+C390+1</f>
        <v>387</v>
      </c>
      <c r="D391" s="429">
        <f>+'No Deducible 93'!AD410</f>
        <v>18268463.14469267</v>
      </c>
      <c r="E391" s="429">
        <f>+'Deducible 151'!AD410</f>
        <v>17378903.196654912</v>
      </c>
      <c r="F391" s="429">
        <f>+'Deducible 185'!AD410</f>
        <v>18268463.14469267</v>
      </c>
      <c r="H391" s="428">
        <f t="shared" ref="H391:H408" si="51">+H390+1</f>
        <v>387</v>
      </c>
      <c r="I391" s="429">
        <f>+'No Deducible 93'!Y410</f>
        <v>17076625.934753027</v>
      </c>
      <c r="J391" s="429">
        <f>+'Deducible 151'!Y410</f>
        <v>16358869.121532734</v>
      </c>
      <c r="K391" s="429">
        <f>+'Deducible 185'!Y410</f>
        <v>17076625.934753027</v>
      </c>
      <c r="O391" s="453"/>
      <c r="P391" s="453"/>
      <c r="Q391" s="453"/>
      <c r="Z391" s="454"/>
      <c r="AA391" s="402"/>
    </row>
    <row r="392" spans="1:27" x14ac:dyDescent="0.25">
      <c r="A392" s="426">
        <f t="shared" si="49"/>
        <v>32.333333333333336</v>
      </c>
      <c r="B392" s="427">
        <f>'OptiMaxx plus'!$T$7+A392</f>
        <v>61.333333333333336</v>
      </c>
      <c r="C392" s="428">
        <f t="shared" si="50"/>
        <v>388</v>
      </c>
      <c r="D392" s="429">
        <f>+'No Deducible 93'!AD411</f>
        <v>18405220.13724404</v>
      </c>
      <c r="E392" s="429">
        <f>+'Deducible 151'!AD411</f>
        <v>17506681.07443455</v>
      </c>
      <c r="F392" s="429">
        <f>+'Deducible 185'!AD411</f>
        <v>18405220.13724404</v>
      </c>
      <c r="H392" s="428">
        <f t="shared" si="51"/>
        <v>388</v>
      </c>
      <c r="I392" s="429">
        <f>+'No Deducible 93'!Y411</f>
        <v>17205386.898246974</v>
      </c>
      <c r="J392" s="429">
        <f>+'Deducible 151'!Y411</f>
        <v>16479947.757671472</v>
      </c>
      <c r="K392" s="429">
        <f>+'Deducible 185'!Y411</f>
        <v>17205386.898246974</v>
      </c>
      <c r="O392" s="453"/>
      <c r="P392" s="453"/>
      <c r="Q392" s="453"/>
      <c r="Z392" s="454"/>
      <c r="AA392" s="402"/>
    </row>
    <row r="393" spans="1:27" x14ac:dyDescent="0.25">
      <c r="A393" s="426">
        <f t="shared" si="49"/>
        <v>32.416666666666664</v>
      </c>
      <c r="B393" s="427">
        <f>'OptiMaxx plus'!$T$7+A393</f>
        <v>61.416666666666664</v>
      </c>
      <c r="C393" s="428">
        <f t="shared" si="50"/>
        <v>389</v>
      </c>
      <c r="D393" s="429">
        <f>+'No Deducible 93'!AD412</f>
        <v>18542927.901366845</v>
      </c>
      <c r="E393" s="429">
        <f>+'Deducible 151'!AD412</f>
        <v>17635326.96637676</v>
      </c>
      <c r="F393" s="429">
        <f>+'Deducible 185'!AD412</f>
        <v>18542927.901366845</v>
      </c>
      <c r="H393" s="428">
        <f t="shared" si="51"/>
        <v>389</v>
      </c>
      <c r="I393" s="429">
        <f>+'No Deducible 93'!Y412</f>
        <v>17335044.832024086</v>
      </c>
      <c r="J393" s="429">
        <f>+'Deducible 151'!Y412</f>
        <v>16601850.320662063</v>
      </c>
      <c r="K393" s="429">
        <f>+'Deducible 185'!Y412</f>
        <v>17335044.832024086</v>
      </c>
      <c r="O393" s="453"/>
      <c r="P393" s="453"/>
      <c r="Q393" s="453"/>
      <c r="Z393" s="454"/>
      <c r="AA393" s="402"/>
    </row>
    <row r="394" spans="1:27" x14ac:dyDescent="0.25">
      <c r="A394" s="426">
        <f t="shared" si="49"/>
        <v>32.5</v>
      </c>
      <c r="B394" s="427">
        <f>'OptiMaxx plus'!$T$7+A394</f>
        <v>61.5</v>
      </c>
      <c r="C394" s="428">
        <f t="shared" si="50"/>
        <v>390</v>
      </c>
      <c r="D394" s="429">
        <f>+'No Deducible 93'!AD413</f>
        <v>18670645.492844682</v>
      </c>
      <c r="E394" s="429">
        <f>+'Deducible 151'!AD413</f>
        <v>17754569.684987046</v>
      </c>
      <c r="F394" s="429">
        <f>+'Deducible 185'!AD413</f>
        <v>18670645.492844682</v>
      </c>
      <c r="H394" s="428">
        <f t="shared" si="51"/>
        <v>390</v>
      </c>
      <c r="I394" s="429">
        <f>+'No Deducible 93'!Y413</f>
        <v>17465605.984528508</v>
      </c>
      <c r="J394" s="429">
        <f>+'Deducible 151'!Y413</f>
        <v>16724582.417236453</v>
      </c>
      <c r="K394" s="429">
        <f>+'Deducible 185'!Y413</f>
        <v>17465605.984528508</v>
      </c>
      <c r="O394" s="453"/>
      <c r="P394" s="453"/>
      <c r="Q394" s="453"/>
      <c r="Z394" s="454"/>
      <c r="AA394" s="402"/>
    </row>
    <row r="395" spans="1:27" x14ac:dyDescent="0.25">
      <c r="A395" s="426">
        <f t="shared" si="49"/>
        <v>32.583333333333336</v>
      </c>
      <c r="B395" s="427">
        <f>'OptiMaxx plus'!$T$7+A395</f>
        <v>61.583333333333336</v>
      </c>
      <c r="C395" s="428">
        <f t="shared" si="50"/>
        <v>391</v>
      </c>
      <c r="D395" s="429">
        <f>+'No Deducible 93'!AD414</f>
        <v>18810201.230957676</v>
      </c>
      <c r="E395" s="429">
        <f>+'Deducible 151'!AD414</f>
        <v>17884901.623995718</v>
      </c>
      <c r="F395" s="429">
        <f>+'Deducible 185'!AD414</f>
        <v>18810201.230957676</v>
      </c>
      <c r="H395" s="428">
        <f t="shared" si="51"/>
        <v>391</v>
      </c>
      <c r="I395" s="429">
        <f>+'No Deducible 93'!Y414</f>
        <v>17597076.64773209</v>
      </c>
      <c r="J395" s="429">
        <f>+'Deducible 151'!Y414</f>
        <v>16848149.692279786</v>
      </c>
      <c r="K395" s="429">
        <f>+'Deducible 185'!Y414</f>
        <v>17597076.64773209</v>
      </c>
      <c r="O395" s="453"/>
      <c r="P395" s="453"/>
      <c r="Q395" s="453"/>
      <c r="Z395" s="454"/>
      <c r="AA395" s="402"/>
    </row>
    <row r="396" spans="1:27" x14ac:dyDescent="0.25">
      <c r="A396" s="426">
        <f t="shared" si="49"/>
        <v>32.666666666666664</v>
      </c>
      <c r="B396" s="427">
        <f>'OptiMaxx plus'!$T$7+A396</f>
        <v>61.666666666666664</v>
      </c>
      <c r="C396" s="428">
        <f t="shared" si="50"/>
        <v>392</v>
      </c>
      <c r="D396" s="429">
        <f>+'No Deducible 93'!AD415</f>
        <v>18950727.21904271</v>
      </c>
      <c r="E396" s="429">
        <f>+'Deducible 151'!AD415</f>
        <v>18016118.94296352</v>
      </c>
      <c r="F396" s="429">
        <f>+'Deducible 185'!AD415</f>
        <v>18950727.21904271</v>
      </c>
      <c r="H396" s="428">
        <f t="shared" si="51"/>
        <v>392</v>
      </c>
      <c r="I396" s="429">
        <f>+'No Deducible 93'!Y415</f>
        <v>17729463.157437608</v>
      </c>
      <c r="J396" s="429">
        <f>+'Deducible 151'!Y415</f>
        <v>16972557.82909003</v>
      </c>
      <c r="K396" s="429">
        <f>+'Deducible 185'!Y415</f>
        <v>17729463.157437608</v>
      </c>
      <c r="O396" s="453"/>
      <c r="P396" s="453"/>
      <c r="Q396" s="453"/>
      <c r="Z396" s="454"/>
      <c r="AA396" s="402"/>
    </row>
    <row r="397" spans="1:27" x14ac:dyDescent="0.25">
      <c r="A397" s="426">
        <f t="shared" si="49"/>
        <v>32.75</v>
      </c>
      <c r="B397" s="427">
        <f>'OptiMaxx plus'!$T$7+A397</f>
        <v>61.75</v>
      </c>
      <c r="C397" s="428">
        <f t="shared" si="50"/>
        <v>393</v>
      </c>
      <c r="D397" s="429">
        <f>+'No Deducible 93'!AD416</f>
        <v>19081161.372216277</v>
      </c>
      <c r="E397" s="429">
        <f>+'Deducible 151'!AD416</f>
        <v>18137850.162041564</v>
      </c>
      <c r="F397" s="429">
        <f>+'Deducible 185'!AD416</f>
        <v>19081161.372216277</v>
      </c>
      <c r="H397" s="428">
        <f t="shared" si="51"/>
        <v>393</v>
      </c>
      <c r="I397" s="429">
        <f>+'No Deducible 93'!Y416</f>
        <v>17862771.893584084</v>
      </c>
      <c r="J397" s="429">
        <f>+'Deducible 151'!Y416</f>
        <v>17097812.54963937</v>
      </c>
      <c r="K397" s="429">
        <f>+'Deducible 185'!Y416</f>
        <v>17862771.893584084</v>
      </c>
      <c r="O397" s="453"/>
      <c r="P397" s="453"/>
      <c r="Q397" s="453"/>
      <c r="Z397" s="454"/>
      <c r="AA397" s="402"/>
    </row>
    <row r="398" spans="1:27" x14ac:dyDescent="0.25">
      <c r="A398" s="426">
        <f t="shared" si="49"/>
        <v>32.833333333333336</v>
      </c>
      <c r="B398" s="427">
        <f>'OptiMaxx plus'!$T$7+A398</f>
        <v>61.833333333333336</v>
      </c>
      <c r="C398" s="428">
        <f t="shared" si="50"/>
        <v>394</v>
      </c>
      <c r="D398" s="429">
        <f>+'No Deducible 93'!AD417</f>
        <v>19223573.88076943</v>
      </c>
      <c r="E398" s="429">
        <f>+'Deducible 151'!AD417</f>
        <v>18270787.95262328</v>
      </c>
      <c r="F398" s="429">
        <f>+'Deducible 185'!AD417</f>
        <v>19223573.88076943</v>
      </c>
      <c r="H398" s="428">
        <f t="shared" si="51"/>
        <v>394</v>
      </c>
      <c r="I398" s="429">
        <f>+'No Deducible 93'!Y417</f>
        <v>17997009.28055426</v>
      </c>
      <c r="J398" s="429">
        <f>+'Deducible 151'!Y417</f>
        <v>17223919.61483739</v>
      </c>
      <c r="K398" s="429">
        <f>+'Deducible 185'!Y417</f>
        <v>17997009.28055426</v>
      </c>
      <c r="O398" s="453"/>
      <c r="P398" s="453"/>
      <c r="Q398" s="453"/>
      <c r="Z398" s="454"/>
      <c r="AA398" s="402"/>
    </row>
    <row r="399" spans="1:27" x14ac:dyDescent="0.25">
      <c r="A399" s="426">
        <f t="shared" si="49"/>
        <v>32.916666666666664</v>
      </c>
      <c r="B399" s="427">
        <f>'OptiMaxx plus'!$T$7+A399</f>
        <v>61.916666666666664</v>
      </c>
      <c r="C399" s="428">
        <f t="shared" si="50"/>
        <v>395</v>
      </c>
      <c r="D399" s="429">
        <f>+'No Deducible 93'!AD418</f>
        <v>19366976.52173329</v>
      </c>
      <c r="E399" s="429">
        <f>+'Deducible 151'!AD418</f>
        <v>18404628.84125181</v>
      </c>
      <c r="F399" s="429">
        <f>+'Deducible 185'!AD418</f>
        <v>19366976.52173329</v>
      </c>
      <c r="H399" s="428">
        <f t="shared" si="51"/>
        <v>395</v>
      </c>
      <c r="I399" s="429">
        <f>+'No Deducible 93'!Y418</f>
        <v>18132181.787484203</v>
      </c>
      <c r="J399" s="429">
        <f>+'Deducible 151'!Y418</f>
        <v>17350884.82479603</v>
      </c>
      <c r="K399" s="429">
        <f>+'Deducible 185'!Y418</f>
        <v>18132181.787484203</v>
      </c>
      <c r="O399" s="453"/>
      <c r="P399" s="453"/>
      <c r="Q399" s="453"/>
      <c r="Z399" s="454"/>
      <c r="AA399" s="402"/>
    </row>
    <row r="400" spans="1:27" x14ac:dyDescent="0.25">
      <c r="A400" s="426">
        <f t="shared" si="49"/>
        <v>33</v>
      </c>
      <c r="B400" s="427">
        <f>'OptiMaxx plus'!$T$7+A400</f>
        <v>62</v>
      </c>
      <c r="C400" s="428">
        <f t="shared" si="50"/>
        <v>396</v>
      </c>
      <c r="D400" s="429">
        <f>+'No Deducible 93'!AD419</f>
        <v>19500184.715783052</v>
      </c>
      <c r="E400" s="429">
        <f>+'Deducible 151'!AD419</f>
        <v>18528900.076770302</v>
      </c>
      <c r="F400" s="429">
        <f>+'Deducible 185'!AD419</f>
        <v>19500184.715783052</v>
      </c>
      <c r="H400" s="428">
        <f t="shared" si="51"/>
        <v>396</v>
      </c>
      <c r="I400" s="429">
        <f>+'No Deducible 93'!Y419</f>
        <v>18268295.92857505</v>
      </c>
      <c r="J400" s="429">
        <f>+'Deducible 151'!Y419</f>
        <v>17478714.01909635</v>
      </c>
      <c r="K400" s="429">
        <f>+'Deducible 185'!Y419</f>
        <v>18268295.92857505</v>
      </c>
      <c r="O400" s="453"/>
      <c r="P400" s="453"/>
      <c r="Q400" s="453"/>
      <c r="Z400" s="454"/>
      <c r="AA400" s="402"/>
    </row>
    <row r="401" spans="1:27" x14ac:dyDescent="0.25">
      <c r="A401" s="426">
        <f t="shared" si="49"/>
        <v>33.083333333333336</v>
      </c>
      <c r="B401" s="427">
        <f>'OptiMaxx plus'!$T$7+A401</f>
        <v>62.083333333333336</v>
      </c>
      <c r="C401" s="428">
        <f t="shared" si="50"/>
        <v>397</v>
      </c>
      <c r="D401" s="429">
        <f>+'No Deducible 93'!AD420</f>
        <v>19645502.5384719</v>
      </c>
      <c r="E401" s="429">
        <f>+'Deducible 151'!AD420</f>
        <v>18664484.177886933</v>
      </c>
      <c r="F401" s="429">
        <f>+'Deducible 185'!AD420</f>
        <v>19645502.5384719</v>
      </c>
      <c r="H401" s="428">
        <f t="shared" si="51"/>
        <v>397</v>
      </c>
      <c r="I401" s="429">
        <f>+'No Deducible 93'!Y420</f>
        <v>18405347.570843887</v>
      </c>
      <c r="J401" s="429">
        <f>+'Deducible 151'!Y420</f>
        <v>17607400.68807189</v>
      </c>
      <c r="K401" s="429">
        <f>+'Deducible 185'!Y420</f>
        <v>18405347.570843887</v>
      </c>
      <c r="O401" s="453"/>
      <c r="P401" s="453"/>
      <c r="Q401" s="453"/>
      <c r="Z401" s="454"/>
      <c r="AA401" s="402"/>
    </row>
    <row r="402" spans="1:27" x14ac:dyDescent="0.25">
      <c r="A402" s="426">
        <f t="shared" si="49"/>
        <v>33.166666666666664</v>
      </c>
      <c r="B402" s="427">
        <f>'OptiMaxx plus'!$T$7+A402</f>
        <v>62.166666666666664</v>
      </c>
      <c r="C402" s="428">
        <f t="shared" si="50"/>
        <v>398</v>
      </c>
      <c r="D402" s="429">
        <f>+'No Deducible 93'!AD421</f>
        <v>19791830.713999037</v>
      </c>
      <c r="E402" s="429">
        <f>+'Deducible 151'!AD421</f>
        <v>18800989.37031906</v>
      </c>
      <c r="F402" s="429">
        <f>+'Deducible 185'!AD421</f>
        <v>19791830.713999037</v>
      </c>
      <c r="H402" s="428">
        <f t="shared" si="51"/>
        <v>398</v>
      </c>
      <c r="I402" s="429">
        <f>+'No Deducible 93'!Y421</f>
        <v>18543353.937642876</v>
      </c>
      <c r="J402" s="429">
        <f>+'Deducible 151'!Y421</f>
        <v>17736963.055729102</v>
      </c>
      <c r="K402" s="429">
        <f>+'Deducible 185'!Y421</f>
        <v>18543353.937642876</v>
      </c>
      <c r="O402" s="453"/>
      <c r="P402" s="453"/>
      <c r="Q402" s="453"/>
      <c r="Z402" s="454"/>
      <c r="AA402" s="402"/>
    </row>
    <row r="403" spans="1:27" x14ac:dyDescent="0.25">
      <c r="A403" s="426">
        <f t="shared" si="49"/>
        <v>33.25</v>
      </c>
      <c r="B403" s="427">
        <f>'OptiMaxx plus'!$T$7+A403</f>
        <v>62.25</v>
      </c>
      <c r="C403" s="428">
        <f t="shared" si="50"/>
        <v>399</v>
      </c>
      <c r="D403" s="429">
        <f>+'No Deducible 93'!AD422</f>
        <v>19927860.799055636</v>
      </c>
      <c r="E403" s="429">
        <f>+'Deducible 151'!AD422</f>
        <v>18927840.6425295</v>
      </c>
      <c r="F403" s="429">
        <f>+'Deducible 185'!AD422</f>
        <v>19927860.799055636</v>
      </c>
      <c r="H403" s="428">
        <f t="shared" si="51"/>
        <v>399</v>
      </c>
      <c r="I403" s="429">
        <f>+'No Deducible 93'!Y422</f>
        <v>18682321.679741856</v>
      </c>
      <c r="J403" s="429">
        <f>+'Deducible 151'!Y422</f>
        <v>17867407.08110155</v>
      </c>
      <c r="K403" s="429">
        <f>+'Deducible 185'!Y422</f>
        <v>18682321.679741856</v>
      </c>
      <c r="O403" s="453"/>
      <c r="P403" s="453"/>
      <c r="Q403" s="453"/>
      <c r="Z403" s="454"/>
      <c r="AA403" s="402"/>
    </row>
    <row r="404" spans="1:27" x14ac:dyDescent="0.25">
      <c r="A404" s="426">
        <f t="shared" si="49"/>
        <v>33.333333333333336</v>
      </c>
      <c r="B404" s="427">
        <f>'OptiMaxx plus'!$T$7+A404</f>
        <v>62.333333333333336</v>
      </c>
      <c r="C404" s="428">
        <f t="shared" si="50"/>
        <v>400</v>
      </c>
      <c r="D404" s="429">
        <f>+'No Deducible 93'!AD423</f>
        <v>20076154.876446683</v>
      </c>
      <c r="E404" s="429">
        <f>+'Deducible 151'!AD423</f>
        <v>19066137.115745008</v>
      </c>
      <c r="F404" s="429">
        <f>+'Deducible 185'!AD423</f>
        <v>20076154.876446683</v>
      </c>
      <c r="H404" s="428">
        <f t="shared" si="51"/>
        <v>400</v>
      </c>
      <c r="I404" s="429">
        <f>+'No Deducible 93'!Y423</f>
        <v>18822257.494241033</v>
      </c>
      <c r="J404" s="429">
        <f>+'Deducible 151'!Y423</f>
        <v>17998738.76377339</v>
      </c>
      <c r="K404" s="429">
        <f>+'Deducible 185'!Y423</f>
        <v>18822257.494241033</v>
      </c>
      <c r="O404" s="453"/>
      <c r="P404" s="453"/>
      <c r="Q404" s="453"/>
      <c r="Z404" s="454"/>
      <c r="AA404" s="402"/>
    </row>
    <row r="405" spans="1:27" x14ac:dyDescent="0.25">
      <c r="A405" s="426">
        <f t="shared" si="49"/>
        <v>33.416666666666664</v>
      </c>
      <c r="B405" s="427">
        <f>'OptiMaxx plus'!$T$7+A405</f>
        <v>62.416666666666664</v>
      </c>
      <c r="C405" s="428">
        <f t="shared" si="50"/>
        <v>401</v>
      </c>
      <c r="D405" s="429">
        <f>+'No Deducible 93'!AD424</f>
        <v>20225480.02111116</v>
      </c>
      <c r="E405" s="429">
        <f>+'Deducible 151'!AD424</f>
        <v>19205373.12294729</v>
      </c>
      <c r="F405" s="429">
        <f>+'Deducible 185'!AD424</f>
        <v>20225480.02111116</v>
      </c>
      <c r="H405" s="428">
        <f t="shared" si="51"/>
        <v>401</v>
      </c>
      <c r="I405" s="429">
        <f>+'No Deducible 93'!Y424</f>
        <v>18963168.12489372</v>
      </c>
      <c r="J405" s="429">
        <f>+'Deducible 151'!Y424</f>
        <v>18130964.14415527</v>
      </c>
      <c r="K405" s="429">
        <f>+'Deducible 185'!Y424</f>
        <v>18963168.12489372</v>
      </c>
      <c r="O405" s="453"/>
      <c r="P405" s="453"/>
      <c r="Q405" s="453"/>
      <c r="Z405" s="454"/>
      <c r="AA405" s="402"/>
    </row>
    <row r="406" spans="1:27" x14ac:dyDescent="0.25">
      <c r="A406" s="426">
        <f t="shared" si="49"/>
        <v>33.5</v>
      </c>
      <c r="B406" s="427">
        <f>'OptiMaxx plus'!$T$7+A406</f>
        <v>62.5</v>
      </c>
      <c r="C406" s="428">
        <f t="shared" si="50"/>
        <v>402</v>
      </c>
      <c r="D406" s="429">
        <f>+'No Deducible 93'!AD425</f>
        <v>20364402.541817904</v>
      </c>
      <c r="E406" s="429">
        <f>+'Deducible 151'!AD425</f>
        <v>19334870.39464409</v>
      </c>
      <c r="F406" s="429">
        <f>+'Deducible 185'!AD425</f>
        <v>20364402.541817904</v>
      </c>
      <c r="H406" s="428">
        <f t="shared" si="51"/>
        <v>402</v>
      </c>
      <c r="I406" s="429">
        <f>+'No Deducible 93'!Y425</f>
        <v>19105060.36243135</v>
      </c>
      <c r="J406" s="429">
        <f>+'Deducible 151'!Y425</f>
        <v>18264089.30376219</v>
      </c>
      <c r="K406" s="429">
        <f>+'Deducible 185'!Y425</f>
        <v>19105060.36243135</v>
      </c>
      <c r="O406" s="453"/>
      <c r="P406" s="453"/>
      <c r="Q406" s="453"/>
      <c r="Z406" s="454"/>
      <c r="AA406" s="402"/>
    </row>
    <row r="407" spans="1:27" x14ac:dyDescent="0.25">
      <c r="A407" s="426">
        <f t="shared" si="49"/>
        <v>33.583333333333336</v>
      </c>
      <c r="B407" s="427">
        <f>'OptiMaxx plus'!$T$7+A407</f>
        <v>62.583333333333336</v>
      </c>
      <c r="C407" s="428">
        <f t="shared" si="50"/>
        <v>403</v>
      </c>
      <c r="D407" s="429">
        <f>+'No Deducible 93'!AD426</f>
        <v>20515734.604878116</v>
      </c>
      <c r="E407" s="429">
        <f>+'Deducible 151'!AD426</f>
        <v>19475934.263334323</v>
      </c>
      <c r="F407" s="429">
        <f>+'Deducible 185'!AD426</f>
        <v>20515734.604878116</v>
      </c>
      <c r="H407" s="428">
        <f t="shared" si="51"/>
        <v>403</v>
      </c>
      <c r="I407" s="429">
        <f>+'No Deducible 93'!Y426</f>
        <v>19247941.044890713</v>
      </c>
      <c r="J407" s="429">
        <f>+'Deducible 151'!Y426</f>
        <v>18398120.36549318</v>
      </c>
      <c r="K407" s="429">
        <f>+'Deducible 185'!Y426</f>
        <v>19247941.044890713</v>
      </c>
      <c r="O407" s="453"/>
      <c r="P407" s="453"/>
      <c r="Q407" s="453"/>
      <c r="Z407" s="454"/>
      <c r="AA407" s="402"/>
    </row>
    <row r="408" spans="1:27" x14ac:dyDescent="0.25">
      <c r="A408" s="426">
        <f t="shared" si="49"/>
        <v>33.666666666666664</v>
      </c>
      <c r="B408" s="427">
        <f>'OptiMaxx plus'!$T$7+A408</f>
        <v>62.666666666666664</v>
      </c>
      <c r="C408" s="428">
        <f t="shared" si="50"/>
        <v>404</v>
      </c>
      <c r="D408" s="429">
        <f>+'No Deducible 93'!AD427</f>
        <v>20668118.879497208</v>
      </c>
      <c r="E408" s="429">
        <f>+'Deducible 151'!AD427</f>
        <v>19617956.48297022</v>
      </c>
      <c r="F408" s="429">
        <f>+'Deducible 185'!AD427</f>
        <v>20668118.879497208</v>
      </c>
      <c r="H408" s="428">
        <f t="shared" si="51"/>
        <v>404</v>
      </c>
      <c r="I408" s="429">
        <f>+'No Deducible 93'!Y427</f>
        <v>19391817.057943497</v>
      </c>
      <c r="J408" s="429">
        <f>+'Deducible 151'!Y427</f>
        <v>18533063.493912928</v>
      </c>
      <c r="K408" s="429">
        <f>+'Deducible 185'!Y427</f>
        <v>19391817.057943497</v>
      </c>
      <c r="O408" s="453"/>
      <c r="P408" s="453"/>
      <c r="Q408" s="453"/>
      <c r="Z408" s="454"/>
      <c r="AA408" s="402"/>
    </row>
    <row r="409" spans="1:6" x14ac:dyDescent="0.25">
      <c r="A409" s="426">
        <f t="shared" si="49"/>
        <v>33.75</v>
      </c>
      <c r="B409" s="427">
        <f>'OptiMaxx plus'!$T$7+A409</f>
        <v>62.75</v>
      </c>
      <c r="C409" s="428">
        <f t="shared" ref="C409:C472" si="52">+C408+1</f>
        <v>405</v>
      </c>
      <c r="D409" s="429">
        <f>+'No Deducible 93'!AD428</f>
        <v>20809995.026477773</v>
      </c>
      <c r="E409" s="429">
        <f>+'Deducible 151'!AD428</f>
        <v>19750154.518235873</v>
      </c>
      <c r="F409" s="429">
        <f>+'Deducible 185'!AD428</f>
        <v>20809995.026477773</v>
      </c>
    </row>
    <row r="410" spans="1:6" x14ac:dyDescent="0.25">
      <c r="A410" s="426">
        <f t="shared" si="49"/>
        <v>33.833333333333336</v>
      </c>
      <c r="B410" s="427">
        <f>'OptiMaxx plus'!$T$7+A410</f>
        <v>62.833333333333336</v>
      </c>
      <c r="C410" s="428">
        <f t="shared" si="52"/>
        <v>406</v>
      </c>
      <c r="D410" s="429">
        <f>+'No Deducible 93'!AD429</f>
        <v>20964428.095215295</v>
      </c>
      <c r="E410" s="429">
        <f>+'Deducible 151'!AD429</f>
        <v>19894041.929627288</v>
      </c>
      <c r="F410" s="429">
        <f>+'Deducible 185'!AD429</f>
        <v>20964428.095215295</v>
      </c>
    </row>
    <row r="411" spans="1:6" x14ac:dyDescent="0.25">
      <c r="A411" s="426">
        <f t="shared" si="49"/>
        <v>33.916666666666664</v>
      </c>
      <c r="B411" s="427">
        <f>'OptiMaxx plus'!$T$7+A411</f>
        <v>62.916666666666664</v>
      </c>
      <c r="C411" s="428">
        <f t="shared" si="52"/>
        <v>407</v>
      </c>
      <c r="D411" s="429">
        <f>+'No Deducible 93'!AD430</f>
        <v>21119934.958625413</v>
      </c>
      <c r="E411" s="429">
        <f>+'Deducible 151'!AD430</f>
        <v>20038906.890857194</v>
      </c>
      <c r="F411" s="429">
        <f>+'Deducible 185'!AD430</f>
        <v>21119934.958625413</v>
      </c>
    </row>
    <row r="412" spans="1:6" x14ac:dyDescent="0.25">
      <c r="A412" s="426">
        <f t="shared" si="49"/>
        <v>34</v>
      </c>
      <c r="B412" s="427">
        <f>'OptiMaxx plus'!$T$7+A412</f>
        <v>63</v>
      </c>
      <c r="C412" s="428">
        <f t="shared" si="52"/>
        <v>408</v>
      </c>
      <c r="D412" s="429">
        <f>+'No Deducible 93'!AD431</f>
        <v>21264827.21372645</v>
      </c>
      <c r="E412" s="429">
        <f>+'Deducible 151'!AD431</f>
        <v>20173861.58309121</v>
      </c>
      <c r="F412" s="429">
        <f>+'Deducible 185'!AD431</f>
        <v>21264827.21372645</v>
      </c>
    </row>
    <row r="413" spans="1:6" x14ac:dyDescent="0.25">
      <c r="A413" s="426">
        <f t="shared" si="49"/>
        <v>34.083333333333336</v>
      </c>
      <c r="B413" s="427">
        <f>'OptiMaxx plus'!$T$7+A413</f>
        <v>63.083333333333336</v>
      </c>
      <c r="C413" s="428">
        <f t="shared" si="52"/>
        <v>409</v>
      </c>
      <c r="D413" s="429">
        <f>+'No Deducible 93'!AD432</f>
        <v>21422414.503939163</v>
      </c>
      <c r="E413" s="429">
        <f>+'Deducible 151'!AD432</f>
        <v>20320616.946746416</v>
      </c>
      <c r="F413" s="429">
        <f>+'Deducible 185'!AD432</f>
        <v>21422414.503939163</v>
      </c>
    </row>
    <row r="414" spans="1:6" x14ac:dyDescent="0.25">
      <c r="A414" s="426">
        <f t="shared" si="49"/>
        <v>34.166666666666664</v>
      </c>
      <c r="B414" s="427">
        <f>'OptiMaxx plus'!$T$7+A414</f>
        <v>63.166666666666664</v>
      </c>
      <c r="C414" s="428">
        <f t="shared" si="52"/>
        <v>410</v>
      </c>
      <c r="D414" s="429">
        <f>+'No Deducible 93'!AD433</f>
        <v>21581097.54246698</v>
      </c>
      <c r="E414" s="429">
        <f>+'Deducible 151'!AD433</f>
        <v>20468369.361192018</v>
      </c>
      <c r="F414" s="429">
        <f>+'Deducible 185'!AD433</f>
        <v>21581097.54246698</v>
      </c>
    </row>
    <row r="415" spans="1:6" x14ac:dyDescent="0.25">
      <c r="A415" s="426">
        <f t="shared" si="49"/>
        <v>34.25</v>
      </c>
      <c r="B415" s="427">
        <f>'OptiMaxx plus'!$T$7+A415</f>
        <v>63.25</v>
      </c>
      <c r="C415" s="428">
        <f t="shared" si="52"/>
        <v>411</v>
      </c>
      <c r="D415" s="429">
        <f>+'No Deducible 93'!AD434</f>
        <v>21729058.43023328</v>
      </c>
      <c r="E415" s="429">
        <f>+'Deducible 151'!AD434</f>
        <v>20606124.69586184</v>
      </c>
      <c r="F415" s="429">
        <f>+'Deducible 185'!AD434</f>
        <v>21729058.43023328</v>
      </c>
    </row>
    <row r="416" spans="1:6" x14ac:dyDescent="0.25">
      <c r="A416" s="426">
        <f t="shared" si="49"/>
        <v>34.333333333333336</v>
      </c>
      <c r="B416" s="427">
        <f>'OptiMaxx plus'!$T$7+A416</f>
        <v>63.333333333333336</v>
      </c>
      <c r="C416" s="428">
        <f t="shared" si="52"/>
        <v>412</v>
      </c>
      <c r="D416" s="429">
        <f>+'No Deducible 93'!AD435</f>
        <v>21889876.507867392</v>
      </c>
      <c r="E416" s="429">
        <f>+'Deducible 151'!AD435</f>
        <v>20755819.095988736</v>
      </c>
      <c r="F416" s="429">
        <f>+'Deducible 185'!AD435</f>
        <v>21889876.507867392</v>
      </c>
    </row>
    <row r="417" spans="1:6" x14ac:dyDescent="0.25">
      <c r="A417" s="426">
        <f t="shared" si="49"/>
        <v>34.416666666666664</v>
      </c>
      <c r="B417" s="427">
        <f>'OptiMaxx plus'!$T$7+A417</f>
        <v>63.416666666666664</v>
      </c>
      <c r="C417" s="428">
        <f t="shared" si="52"/>
        <v>413</v>
      </c>
      <c r="D417" s="429">
        <f>+'No Deducible 93'!AD436</f>
        <v>22051812.820647202</v>
      </c>
      <c r="E417" s="429">
        <f>+'Deducible 151'!AD436</f>
        <v>20906530.531433687</v>
      </c>
      <c r="F417" s="429">
        <f>+'Deducible 185'!AD436</f>
        <v>22051812.820647202</v>
      </c>
    </row>
    <row r="418" spans="1:6" x14ac:dyDescent="0.25">
      <c r="A418" s="426">
        <f t="shared" si="49"/>
        <v>34.5</v>
      </c>
      <c r="B418" s="427">
        <f>'OptiMaxx plus'!$T$7+A418</f>
        <v>63.5</v>
      </c>
      <c r="C418" s="428">
        <f t="shared" si="52"/>
        <v>414</v>
      </c>
      <c r="D418" s="429">
        <f>+'No Deducible 93'!AD437</f>
        <v>22202918.526024517</v>
      </c>
      <c r="E418" s="429">
        <f>+'Deducible 151'!AD437</f>
        <v>21047157.522848114</v>
      </c>
      <c r="F418" s="429">
        <f>+'Deducible 185'!AD437</f>
        <v>22202918.526024517</v>
      </c>
    </row>
    <row r="419" spans="1:6" x14ac:dyDescent="0.25">
      <c r="A419" s="426">
        <f t="shared" si="49"/>
        <v>34.583333333333336</v>
      </c>
      <c r="B419" s="427">
        <f>'OptiMaxx plus'!$T$7+A419</f>
        <v>63.583333333333336</v>
      </c>
      <c r="C419" s="428">
        <f t="shared" si="52"/>
        <v>415</v>
      </c>
      <c r="D419" s="429">
        <f>+'No Deducible 93'!AD438</f>
        <v>22367034.437652577</v>
      </c>
      <c r="E419" s="429">
        <f>+'Deducible 151'!AD438</f>
        <v>21199850.612863425</v>
      </c>
      <c r="F419" s="429">
        <f>+'Deducible 185'!AD438</f>
        <v>22367034.437652577</v>
      </c>
    </row>
    <row r="420" spans="1:6" x14ac:dyDescent="0.25">
      <c r="A420" s="426">
        <f t="shared" si="49"/>
        <v>34.666666666666664</v>
      </c>
      <c r="B420" s="427">
        <f>'OptiMaxx plus'!$T$7+A420</f>
        <v>63.666666666666664</v>
      </c>
      <c r="C420" s="428">
        <f t="shared" si="52"/>
        <v>416</v>
      </c>
      <c r="D420" s="429">
        <f>+'No Deducible 93'!AD439</f>
        <v>22532291.53812974</v>
      </c>
      <c r="E420" s="429">
        <f>+'Deducible 151'!AD439</f>
        <v>21353581.128513545</v>
      </c>
      <c r="F420" s="429">
        <f>+'Deducible 185'!AD439</f>
        <v>22532291.53812974</v>
      </c>
    </row>
    <row r="421" spans="1:6" x14ac:dyDescent="0.25">
      <c r="A421" s="426">
        <f t="shared" si="49"/>
        <v>34.75</v>
      </c>
      <c r="B421" s="427">
        <f>'OptiMaxx plus'!$T$7+A421</f>
        <v>63.75</v>
      </c>
      <c r="C421" s="428">
        <f t="shared" si="52"/>
        <v>417</v>
      </c>
      <c r="D421" s="429">
        <f>+'No Deducible 93'!AD440</f>
        <v>22686608.577214267</v>
      </c>
      <c r="E421" s="429">
        <f>+'Deducible 151'!AD440</f>
        <v>21497139.19391654</v>
      </c>
      <c r="F421" s="429">
        <f>+'Deducible 185'!AD440</f>
        <v>22686608.577214267</v>
      </c>
    </row>
    <row r="422" spans="1:6" x14ac:dyDescent="0.25">
      <c r="A422" s="426">
        <f t="shared" si="49"/>
        <v>34.833333333333336</v>
      </c>
      <c r="B422" s="427">
        <f>'OptiMaxx plus'!$T$7+A422</f>
        <v>63.833333333333336</v>
      </c>
      <c r="C422" s="428">
        <f t="shared" si="52"/>
        <v>418</v>
      </c>
      <c r="D422" s="429">
        <f>+'No Deducible 93'!AD441</f>
        <v>22854090.76985423</v>
      </c>
      <c r="E422" s="429">
        <f>+'Deducible 151'!AD441</f>
        <v>21652891.845971692</v>
      </c>
      <c r="F422" s="429">
        <f>+'Deducible 185'!AD441</f>
        <v>22854090.76985423</v>
      </c>
    </row>
    <row r="423" spans="1:6" x14ac:dyDescent="0.25">
      <c r="A423" s="426">
        <f t="shared" si="49"/>
        <v>34.916666666666664</v>
      </c>
      <c r="B423" s="427">
        <f>'OptiMaxx plus'!$T$7+A423</f>
        <v>63.916666666666664</v>
      </c>
      <c r="C423" s="428">
        <f t="shared" si="52"/>
        <v>419</v>
      </c>
      <c r="D423" s="429">
        <f>+'No Deducible 93'!AD442</f>
        <v>23022737.58167346</v>
      </c>
      <c r="E423" s="429">
        <f>+'Deducible 151'!AD442</f>
        <v>21809702.728059445</v>
      </c>
      <c r="F423" s="429">
        <f>+'Deducible 185'!AD442</f>
        <v>23022737.58167346</v>
      </c>
    </row>
    <row r="424" spans="1:6" x14ac:dyDescent="0.25">
      <c r="A424" s="426">
        <f t="shared" si="49"/>
        <v>35</v>
      </c>
      <c r="B424" s="427">
        <f>'OptiMaxx plus'!$T$7+A424</f>
        <v>64</v>
      </c>
      <c r="C424" s="428">
        <f t="shared" si="52"/>
        <v>420</v>
      </c>
      <c r="D424" s="429">
        <f>+'No Deducible 93'!AD443</f>
        <v>23180333.874012906</v>
      </c>
      <c r="E424" s="429">
        <f>+'Deducible 151'!AD443</f>
        <v>21956252.509799596</v>
      </c>
      <c r="F424" s="429">
        <f>+'Deducible 185'!AD443</f>
        <v>23180333.874012906</v>
      </c>
    </row>
    <row r="425" spans="1:6" x14ac:dyDescent="0.25">
      <c r="A425" s="426">
        <f t="shared" si="49"/>
        <v>35.083333333333336</v>
      </c>
      <c r="B425" s="427">
        <f>'OptiMaxx plus'!$T$7+A425</f>
        <v>64.08333333333334</v>
      </c>
      <c r="C425" s="428">
        <f t="shared" si="52"/>
        <v>421</v>
      </c>
      <c r="D425" s="429">
        <f>+'No Deducible 93'!AD444</f>
        <v>23351240.659405287</v>
      </c>
      <c r="E425" s="429">
        <f>+'Deducible 151'!AD444</f>
        <v>22115113.43983197</v>
      </c>
      <c r="F425" s="429">
        <f>+'Deducible 185'!AD444</f>
        <v>23351240.659405287</v>
      </c>
    </row>
    <row r="426" spans="1:6" x14ac:dyDescent="0.25">
      <c r="A426" s="426">
        <f t="shared" si="49"/>
        <v>35.166666666666664</v>
      </c>
      <c r="B426" s="427">
        <f>'OptiMaxx plus'!$T$7+A426</f>
        <v>64.16666666666666</v>
      </c>
      <c r="C426" s="428">
        <f t="shared" si="52"/>
        <v>422</v>
      </c>
      <c r="D426" s="429">
        <f>+'No Deducible 93'!AD445</f>
        <v>23523335.900328062</v>
      </c>
      <c r="E426" s="429">
        <f>+'Deducible 151'!AD445</f>
        <v>22275053.735652696</v>
      </c>
      <c r="F426" s="429">
        <f>+'Deducible 185'!AD445</f>
        <v>23523335.900328062</v>
      </c>
    </row>
    <row r="427" spans="1:6" x14ac:dyDescent="0.25">
      <c r="A427" s="426">
        <f t="shared" si="49"/>
        <v>35.25</v>
      </c>
      <c r="B427" s="427">
        <f>'OptiMaxx plus'!$T$7+A427</f>
        <v>64.25</v>
      </c>
      <c r="C427" s="428">
        <f t="shared" si="52"/>
        <v>423</v>
      </c>
      <c r="D427" s="429">
        <f>+'No Deducible 93'!AD446</f>
        <v>23684269.071730927</v>
      </c>
      <c r="E427" s="429">
        <f>+'Deducible 151'!AD446</f>
        <v>22424643.543484505</v>
      </c>
      <c r="F427" s="429">
        <f>+'Deducible 185'!AD446</f>
        <v>23684269.071730927</v>
      </c>
    </row>
    <row r="428" spans="1:6" x14ac:dyDescent="0.25">
      <c r="A428" s="426">
        <f t="shared" si="49"/>
        <v>35.333333333333336</v>
      </c>
      <c r="B428" s="427">
        <f>'OptiMaxx plus'!$T$7+A428</f>
        <v>64.33333333333334</v>
      </c>
      <c r="C428" s="428">
        <f t="shared" si="52"/>
        <v>424</v>
      </c>
      <c r="D428" s="429">
        <f>+'No Deducible 93'!AD447</f>
        <v>23858683.108156875</v>
      </c>
      <c r="E428" s="429">
        <f>+'Deducible 151'!AD447</f>
        <v>22586689.261066325</v>
      </c>
      <c r="F428" s="429">
        <f>+'Deducible 185'!AD447</f>
        <v>23858683.108156875</v>
      </c>
    </row>
    <row r="429" spans="1:6" x14ac:dyDescent="0.25">
      <c r="A429" s="426">
        <f t="shared" si="49"/>
        <v>35.416666666666664</v>
      </c>
      <c r="B429" s="427">
        <f>'OptiMaxx plus'!$T$7+A429</f>
        <v>64.41666666666666</v>
      </c>
      <c r="C429" s="428">
        <f t="shared" si="52"/>
        <v>425</v>
      </c>
      <c r="D429" s="429">
        <f>+'No Deducible 93'!AD448</f>
        <v>24034310.012085583</v>
      </c>
      <c r="E429" s="429">
        <f>+'Deducible 151'!AD448</f>
        <v>22749836.000681408</v>
      </c>
      <c r="F429" s="429">
        <f>+'Deducible 185'!AD448</f>
        <v>24034310.012085583</v>
      </c>
    </row>
    <row r="430" spans="1:6" x14ac:dyDescent="0.25">
      <c r="A430" s="426">
        <f t="shared" si="49"/>
        <v>35.5</v>
      </c>
      <c r="B430" s="427">
        <f>'OptiMaxx plus'!$T$7+A430</f>
        <v>64.5</v>
      </c>
      <c r="C430" s="428">
        <f t="shared" si="52"/>
        <v>426</v>
      </c>
      <c r="D430" s="429">
        <f>+'No Deducible 93'!AD449</f>
        <v>24198662.358333934</v>
      </c>
      <c r="E430" s="429">
        <f>+'Deducible 151'!AD449</f>
        <v>22902542.307071332</v>
      </c>
      <c r="F430" s="429">
        <f>+'Deducible 185'!AD449</f>
        <v>24198662.358333934</v>
      </c>
    </row>
    <row r="431" spans="1:6" x14ac:dyDescent="0.25">
      <c r="A431" s="426">
        <f t="shared" si="49"/>
        <v>35.583333333333336</v>
      </c>
      <c r="B431" s="427">
        <f>'OptiMaxx plus'!$T$7+A431</f>
        <v>64.58333333333334</v>
      </c>
      <c r="C431" s="428">
        <f t="shared" si="52"/>
        <v>427</v>
      </c>
      <c r="D431" s="429">
        <f>+'No Deducible 93'!AD450</f>
        <v>24376656.467624575</v>
      </c>
      <c r="E431" s="429">
        <f>+'Deducible 151'!AD450</f>
        <v>23067837.486824613</v>
      </c>
      <c r="F431" s="429">
        <f>+'Deducible 185'!AD450</f>
        <v>24376656.467624575</v>
      </c>
    </row>
    <row r="432" spans="1:6" x14ac:dyDescent="0.25">
      <c r="A432" s="426">
        <f t="shared" si="49"/>
        <v>35.666666666666664</v>
      </c>
      <c r="B432" s="427">
        <f>'OptiMaxx plus'!$T$7+A432</f>
        <v>64.66666666666666</v>
      </c>
      <c r="C432" s="428">
        <f t="shared" si="52"/>
        <v>428</v>
      </c>
      <c r="D432" s="429">
        <f>+'No Deducible 93'!AD451</f>
        <v>24555888.36348739</v>
      </c>
      <c r="E432" s="429">
        <f>+'Deducible 151'!AD451</f>
        <v>23234255.784808274</v>
      </c>
      <c r="F432" s="429">
        <f>+'Deducible 185'!AD451</f>
        <v>24555888.36348739</v>
      </c>
    </row>
    <row r="433" spans="1:6" x14ac:dyDescent="0.25">
      <c r="A433" s="426">
        <f t="shared" si="49"/>
        <v>35.75</v>
      </c>
      <c r="B433" s="427">
        <f>'OptiMaxx plus'!$T$7+A433</f>
        <v>64.75</v>
      </c>
      <c r="C433" s="428">
        <f t="shared" si="52"/>
        <v>429</v>
      </c>
      <c r="D433" s="429">
        <f>+'No Deducible 93'!AD452</f>
        <v>24723732.189245693</v>
      </c>
      <c r="E433" s="429">
        <f>+'Deducible 151'!AD452</f>
        <v>23390143.05507586</v>
      </c>
      <c r="F433" s="429">
        <f>+'Deducible 185'!AD452</f>
        <v>24723732.189245693</v>
      </c>
    </row>
    <row r="434" spans="1:6" x14ac:dyDescent="0.25">
      <c r="A434" s="426">
        <f t="shared" si="49"/>
        <v>35.833333333333336</v>
      </c>
      <c r="B434" s="427">
        <f>'OptiMaxx plus'!$T$7+A434</f>
        <v>64.83333333333334</v>
      </c>
      <c r="C434" s="428">
        <f t="shared" si="52"/>
        <v>430</v>
      </c>
      <c r="D434" s="429">
        <f>+'No Deducible 93'!AD453</f>
        <v>24905380.7147337</v>
      </c>
      <c r="E434" s="429">
        <f>+'Deducible 151'!AD453</f>
        <v>23558753.693270225</v>
      </c>
      <c r="F434" s="429">
        <f>+'Deducible 185'!AD453</f>
        <v>24905380.7147337</v>
      </c>
    </row>
    <row r="435" spans="1:6" x14ac:dyDescent="0.25">
      <c r="A435" s="426">
        <f t="shared" si="49"/>
        <v>35.916666666666664</v>
      </c>
      <c r="B435" s="427">
        <f>'OptiMaxx plus'!$T$7+A435</f>
        <v>64.91666666666666</v>
      </c>
      <c r="C435" s="428">
        <f t="shared" si="52"/>
        <v>431</v>
      </c>
      <c r="D435" s="429">
        <f>+'No Deducible 93'!AD454</f>
        <v>25088292.463557556</v>
      </c>
      <c r="E435" s="429">
        <f>+'Deducible 151'!AD454</f>
        <v>23728509.9948365</v>
      </c>
      <c r="F435" s="429">
        <f>+'Deducible 185'!AD454</f>
        <v>25088292.463557556</v>
      </c>
    </row>
    <row r="436" spans="1:6" x14ac:dyDescent="0.25">
      <c r="A436" s="426">
        <f t="shared" si="49"/>
        <v>36</v>
      </c>
      <c r="B436" s="427">
        <f>'OptiMaxx plus'!$T$7+A436</f>
        <v>65</v>
      </c>
      <c r="C436" s="428">
        <f t="shared" si="52"/>
        <v>432</v>
      </c>
      <c r="D436" s="429">
        <f>+'No Deducible 93'!AD455</f>
        <v>25259701.59892304</v>
      </c>
      <c r="E436" s="429">
        <f>+'Deducible 151'!AD455</f>
        <v>23887644.023316383</v>
      </c>
      <c r="F436" s="429">
        <f>+'Deducible 185'!AD455</f>
        <v>25259701.59892304</v>
      </c>
    </row>
    <row r="437" spans="1:6" x14ac:dyDescent="0.25">
      <c r="A437" s="426">
        <f t="shared" si="49"/>
        <v>36.083333333333336</v>
      </c>
      <c r="B437" s="427">
        <f>'OptiMaxx plus'!$T$7+A437</f>
        <v>65.08333333333334</v>
      </c>
      <c r="C437" s="428">
        <f t="shared" si="52"/>
        <v>433</v>
      </c>
      <c r="D437" s="429">
        <f>+'No Deducible 93'!AD456</f>
        <v>25445068.409658868</v>
      </c>
      <c r="E437" s="429">
        <f>+'Deducible 151'!AD456</f>
        <v>24059623.529035654</v>
      </c>
      <c r="F437" s="429">
        <f>+'Deducible 185'!AD456</f>
        <v>25445068.409658868</v>
      </c>
    </row>
    <row r="438" spans="1:6" x14ac:dyDescent="0.25">
      <c r="A438" s="426">
        <f t="shared" si="49"/>
        <v>36.166666666666664</v>
      </c>
      <c r="B438" s="427">
        <f>'OptiMaxx plus'!$T$7+A438</f>
        <v>65.16666666666666</v>
      </c>
      <c r="C438" s="428">
        <f t="shared" si="52"/>
        <v>434</v>
      </c>
      <c r="D438" s="429">
        <f>+'No Deducible 93'!AD457</f>
        <v>25631724.325221043</v>
      </c>
      <c r="E438" s="429">
        <f>+'Deducible 151'!AD457</f>
        <v>24232771.60655692</v>
      </c>
      <c r="F438" s="429">
        <f>+'Deducible 185'!AD457</f>
        <v>25631724.325221043</v>
      </c>
    </row>
    <row r="439" spans="1:6" x14ac:dyDescent="0.25">
      <c r="A439" s="426">
        <f t="shared" si="49"/>
        <v>36.25</v>
      </c>
      <c r="B439" s="427">
        <f>'OptiMaxx plus'!$T$7+A439</f>
        <v>65.25</v>
      </c>
      <c r="C439" s="428">
        <f t="shared" si="52"/>
        <v>435</v>
      </c>
      <c r="D439" s="429">
        <f>+'No Deducible 93'!AD458</f>
        <v>25806761.96203118</v>
      </c>
      <c r="E439" s="429">
        <f>+'Deducible 151'!AD458</f>
        <v>24395205.41772071</v>
      </c>
      <c r="F439" s="429">
        <f>+'Deducible 185'!AD458</f>
        <v>25806761.96203118</v>
      </c>
    </row>
    <row r="440" spans="1:6" x14ac:dyDescent="0.25">
      <c r="A440" s="426">
        <f t="shared" si="49"/>
        <v>36.333333333333336</v>
      </c>
      <c r="B440" s="427">
        <f>'OptiMaxx plus'!$T$7+A440</f>
        <v>65.33333333333334</v>
      </c>
      <c r="C440" s="428">
        <f t="shared" si="52"/>
        <v>436</v>
      </c>
      <c r="D440" s="429">
        <f>+'No Deducible 93'!AD459</f>
        <v>25995936.315270618</v>
      </c>
      <c r="E440" s="429">
        <f>+'Deducible 151'!AD459</f>
        <v>24570636.16184192</v>
      </c>
      <c r="F440" s="429">
        <f>+'Deducible 185'!AD459</f>
        <v>25995936.315270618</v>
      </c>
    </row>
    <row r="441" spans="1:6" x14ac:dyDescent="0.25">
      <c r="A441" s="426">
        <f t="shared" si="49"/>
        <v>36.416666666666664</v>
      </c>
      <c r="B441" s="427">
        <f>'OptiMaxx plus'!$T$7+A441</f>
        <v>65.41666666666666</v>
      </c>
      <c r="C441" s="428">
        <f t="shared" si="52"/>
        <v>437</v>
      </c>
      <c r="D441" s="429">
        <f>+'No Deducible 93'!AD460</f>
        <v>26186426.276410315</v>
      </c>
      <c r="E441" s="429">
        <f>+'Deducible 151'!AD460</f>
        <v>24747258.94656409</v>
      </c>
      <c r="F441" s="429">
        <f>+'Deducible 185'!AD460</f>
        <v>26186426.276410315</v>
      </c>
    </row>
    <row r="442" spans="1:6" x14ac:dyDescent="0.25">
      <c r="A442" s="426">
        <f t="shared" si="49"/>
        <v>36.5</v>
      </c>
      <c r="B442" s="427">
        <f>'OptiMaxx plus'!$T$7+A442</f>
        <v>65.5</v>
      </c>
      <c r="C442" s="428">
        <f t="shared" si="52"/>
        <v>438</v>
      </c>
      <c r="D442" s="429">
        <f>+'No Deducible 93'!AD461</f>
        <v>26365181.331919163</v>
      </c>
      <c r="E442" s="429">
        <f>+'Deducible 151'!AD461</f>
        <v>24913074.911290385</v>
      </c>
      <c r="F442" s="429">
        <f>+'Deducible 185'!AD461</f>
        <v>26365181.331919163</v>
      </c>
    </row>
    <row r="443" spans="1:6" x14ac:dyDescent="0.25">
      <c r="A443" s="426">
        <f t="shared" si="49"/>
        <v>36.583333333333336</v>
      </c>
      <c r="B443" s="427">
        <f>'OptiMaxx plus'!$T$7+A443</f>
        <v>65.58333333333334</v>
      </c>
      <c r="C443" s="428">
        <f t="shared" si="52"/>
        <v>439</v>
      </c>
      <c r="D443" s="429">
        <f>+'No Deducible 93'!AD462</f>
        <v>26558242.324239157</v>
      </c>
      <c r="E443" s="429">
        <f>+'Deducible 151'!AD462</f>
        <v>25092027.013914876</v>
      </c>
      <c r="F443" s="429">
        <f>+'Deducible 185'!AD462</f>
        <v>26558242.324239157</v>
      </c>
    </row>
    <row r="444" spans="1:6" x14ac:dyDescent="0.25">
      <c r="A444" s="426">
        <f t="shared" si="49"/>
        <v>36.666666666666664</v>
      </c>
      <c r="B444" s="427">
        <f>'OptiMaxx plus'!$T$7+A444</f>
        <v>65.66666666666666</v>
      </c>
      <c r="C444" s="428">
        <f t="shared" si="52"/>
        <v>440</v>
      </c>
      <c r="D444" s="429">
        <f>+'No Deducible 93'!AD463</f>
        <v>26752645.97833388</v>
      </c>
      <c r="E444" s="429">
        <f>+'Deducible 151'!AD463</f>
        <v>25272195.10294152</v>
      </c>
      <c r="F444" s="429">
        <f>+'Deducible 185'!AD463</f>
        <v>26752645.97833388</v>
      </c>
    </row>
    <row r="445" spans="1:6" x14ac:dyDescent="0.25">
      <c r="A445" s="426">
        <f t="shared" si="49"/>
        <v>36.75</v>
      </c>
      <c r="B445" s="427">
        <f>'OptiMaxx plus'!$T$7+A445</f>
        <v>65.75</v>
      </c>
      <c r="C445" s="428">
        <f t="shared" si="52"/>
        <v>441</v>
      </c>
      <c r="D445" s="429">
        <f>+'No Deducible 93'!AD464</f>
        <v>26935197.049122013</v>
      </c>
      <c r="E445" s="429">
        <f>+'Deducible 151'!AD464</f>
        <v>25441463.163038053</v>
      </c>
      <c r="F445" s="429">
        <f>+'Deducible 185'!AD464</f>
        <v>26935197.049122013</v>
      </c>
    </row>
    <row r="446" spans="1:6" x14ac:dyDescent="0.25">
      <c r="A446" s="426">
        <f t="shared" si="49"/>
        <v>36.833333333333336</v>
      </c>
      <c r="B446" s="427">
        <f>'OptiMaxx plus'!$T$7+A446</f>
        <v>65.83333333333334</v>
      </c>
      <c r="C446" s="428">
        <f t="shared" si="52"/>
        <v>442</v>
      </c>
      <c r="D446" s="429">
        <f>+'No Deducible 93'!AD465</f>
        <v>27132225.430146463</v>
      </c>
      <c r="E446" s="429">
        <f>+'Deducible 151'!AD465</f>
        <v>25624008.177536547</v>
      </c>
      <c r="F446" s="429">
        <f>+'Deducible 185'!AD465</f>
        <v>27132225.430146463</v>
      </c>
    </row>
    <row r="447" spans="1:6" x14ac:dyDescent="0.25">
      <c r="A447" s="426">
        <f t="shared" si="49"/>
        <v>36.916666666666664</v>
      </c>
      <c r="B447" s="427">
        <f>'OptiMaxx plus'!$T$7+A447</f>
        <v>65.91666666666666</v>
      </c>
      <c r="C447" s="428">
        <f t="shared" si="52"/>
        <v>443</v>
      </c>
      <c r="D447" s="429">
        <f>+'No Deducible 93'!AD466</f>
        <v>27330624.08913416</v>
      </c>
      <c r="E447" s="429">
        <f>+'Deducible 151'!AD466</f>
        <v>25807793.610992335</v>
      </c>
      <c r="F447" s="429">
        <f>+'Deducible 185'!AD466</f>
        <v>27330624.08913416</v>
      </c>
    </row>
    <row r="448" spans="1:6" x14ac:dyDescent="0.25">
      <c r="A448" s="426">
        <f t="shared" si="49"/>
        <v>37</v>
      </c>
      <c r="B448" s="427">
        <f>'OptiMaxx plus'!$T$7+A448</f>
        <v>66</v>
      </c>
      <c r="C448" s="428">
        <f t="shared" si="52"/>
        <v>444</v>
      </c>
      <c r="D448" s="429">
        <f>+'No Deducible 93'!AD467</f>
        <v>27517051.42979629</v>
      </c>
      <c r="E448" s="429">
        <f>+'Deducible 151'!AD467</f>
        <v>25980585.150004033</v>
      </c>
      <c r="F448" s="429">
        <f>+'Deducible 185'!AD467</f>
        <v>27517051.42979629</v>
      </c>
    </row>
    <row r="449" spans="1:6" x14ac:dyDescent="0.25">
      <c r="A449" s="426">
        <f t="shared" si="49"/>
        <v>37.083333333333336</v>
      </c>
      <c r="B449" s="427">
        <f>'OptiMaxx plus'!$T$7+A449</f>
        <v>66.08333333333334</v>
      </c>
      <c r="C449" s="428">
        <f t="shared" si="52"/>
        <v>445</v>
      </c>
      <c r="D449" s="429">
        <f>+'No Deducible 93'!AD468</f>
        <v>27718117.12806769</v>
      </c>
      <c r="E449" s="429">
        <f>+'Deducible 151'!AD468</f>
        <v>26166781.59903759</v>
      </c>
      <c r="F449" s="429">
        <f>+'Deducible 185'!AD468</f>
        <v>27718117.12806769</v>
      </c>
    </row>
    <row r="450" spans="1:6" x14ac:dyDescent="0.25">
      <c r="A450" s="426">
        <f t="shared" si="49"/>
        <v>37.166666666666664</v>
      </c>
      <c r="B450" s="427">
        <f>'OptiMaxx plus'!$T$7+A450</f>
        <v>66.16666666666666</v>
      </c>
      <c r="C450" s="428">
        <f t="shared" si="52"/>
        <v>446</v>
      </c>
      <c r="D450" s="429">
        <f>+'No Deducible 93'!AD469</f>
        <v>27920581.207421545</v>
      </c>
      <c r="E450" s="429">
        <f>+'Deducible 151'!AD469</f>
        <v>26354243.297663495</v>
      </c>
      <c r="F450" s="429">
        <f>+'Deducible 185'!AD469</f>
        <v>27920581.207421545</v>
      </c>
    </row>
    <row r="451" spans="1:6" x14ac:dyDescent="0.25">
      <c r="A451" s="426">
        <f t="shared" si="49"/>
        <v>37.25</v>
      </c>
      <c r="B451" s="427">
        <f>'OptiMaxx plus'!$T$7+A451</f>
        <v>66.25</v>
      </c>
      <c r="C451" s="428">
        <f t="shared" si="52"/>
        <v>447</v>
      </c>
      <c r="D451" s="429">
        <f>+'No Deducible 93'!AD470</f>
        <v>28110954.08183253</v>
      </c>
      <c r="E451" s="429">
        <f>+'Deducible 151'!AD470</f>
        <v>26530616.479263455</v>
      </c>
      <c r="F451" s="429">
        <f>+'Deducible 185'!AD470</f>
        <v>28110954.08183253</v>
      </c>
    </row>
    <row r="452" spans="1:6" x14ac:dyDescent="0.25">
      <c r="A452" s="426">
        <f t="shared" si="49"/>
        <v>37.333333333333336</v>
      </c>
      <c r="B452" s="427">
        <f>'OptiMaxx plus'!$T$7+A452</f>
        <v>66.33333333333334</v>
      </c>
      <c r="C452" s="428">
        <f t="shared" si="52"/>
        <v>448</v>
      </c>
      <c r="D452" s="429">
        <f>+'No Deducible 93'!AD471</f>
        <v>28316153.50331709</v>
      </c>
      <c r="E452" s="429">
        <f>+'Deducible 151'!AD471</f>
        <v>26720553.066954147</v>
      </c>
      <c r="F452" s="429">
        <f>+'Deducible 185'!AD471</f>
        <v>28316153.50331709</v>
      </c>
    </row>
    <row r="453" spans="1:6" x14ac:dyDescent="0.25">
      <c r="A453" s="426">
        <f t="shared" si="49"/>
        <v>37.416666666666664</v>
      </c>
      <c r="B453" s="427">
        <f>'OptiMaxx plus'!$T$7+A453</f>
        <v>66.41666666666666</v>
      </c>
      <c r="C453" s="428">
        <f t="shared" si="52"/>
        <v>449</v>
      </c>
      <c r="D453" s="429">
        <f>+'No Deducible 93'!AD472</f>
        <v>28522780.08037819</v>
      </c>
      <c r="E453" s="429">
        <f>+'Deducible 151'!AD472</f>
        <v>26911780.338332135</v>
      </c>
      <c r="F453" s="429">
        <f>+'Deducible 185'!AD472</f>
        <v>28522780.08037819</v>
      </c>
    </row>
    <row r="454" spans="1:6" x14ac:dyDescent="0.25">
      <c r="A454" s="426">
        <f t="shared" ref="A454:A517" si="53">+C454/12</f>
        <v>37.5</v>
      </c>
      <c r="B454" s="427">
        <f>'OptiMaxx plus'!$T$7+A454</f>
        <v>66.5</v>
      </c>
      <c r="C454" s="428">
        <f t="shared" si="52"/>
        <v>450</v>
      </c>
      <c r="D454" s="429">
        <f>+'No Deducible 93'!AD473</f>
        <v>28717194.581454393</v>
      </c>
      <c r="E454" s="429">
        <f>+'Deducible 151'!AD473</f>
        <v>27091823.908491787</v>
      </c>
      <c r="F454" s="429">
        <f>+'Deducible 185'!AD473</f>
        <v>28717194.581454393</v>
      </c>
    </row>
    <row r="455" spans="1:6" x14ac:dyDescent="0.25">
      <c r="A455" s="426">
        <f t="shared" si="53"/>
        <v>37.583333333333336</v>
      </c>
      <c r="B455" s="427">
        <f>'OptiMaxx plus'!$T$7+A455</f>
        <v>66.58333333333334</v>
      </c>
      <c r="C455" s="428">
        <f t="shared" si="52"/>
        <v>451</v>
      </c>
      <c r="D455" s="429">
        <f>+'No Deducible 93'!AD474</f>
        <v>28926613.64025248</v>
      </c>
      <c r="E455" s="429">
        <f>+'Deducible 151'!AD474</f>
        <v>27285576.660608895</v>
      </c>
      <c r="F455" s="429">
        <f>+'Deducible 185'!AD474</f>
        <v>28926613.64025248</v>
      </c>
    </row>
    <row r="456" spans="1:6" x14ac:dyDescent="0.25">
      <c r="A456" s="426">
        <f t="shared" si="53"/>
        <v>37.666666666666664</v>
      </c>
      <c r="B456" s="427">
        <f>'OptiMaxx plus'!$T$7+A456</f>
        <v>66.66666666666666</v>
      </c>
      <c r="C456" s="428">
        <f t="shared" si="52"/>
        <v>452</v>
      </c>
      <c r="D456" s="429">
        <f>+'No Deducible 93'!AD475</f>
        <v>29137489.227406032</v>
      </c>
      <c r="E456" s="429">
        <f>+'Deducible 151'!AD475</f>
        <v>27480646.0476918</v>
      </c>
      <c r="F456" s="429">
        <f>+'Deducible 185'!AD475</f>
        <v>29137489.227406032</v>
      </c>
    </row>
    <row r="457" spans="1:6" x14ac:dyDescent="0.25">
      <c r="A457" s="426">
        <f t="shared" si="53"/>
        <v>37.75</v>
      </c>
      <c r="B457" s="427">
        <f>'OptiMaxx plus'!$T$7+A457</f>
        <v>66.75</v>
      </c>
      <c r="C457" s="428">
        <f t="shared" si="52"/>
        <v>453</v>
      </c>
      <c r="D457" s="429">
        <f>+'No Deducible 93'!AD476</f>
        <v>29336030.790741965</v>
      </c>
      <c r="E457" s="429">
        <f>+'Deducible 151'!AD476</f>
        <v>27664435.889459025</v>
      </c>
      <c r="F457" s="429">
        <f>+'Deducible 185'!AD476</f>
        <v>29336030.790741965</v>
      </c>
    </row>
    <row r="458" spans="1:6" x14ac:dyDescent="0.25">
      <c r="A458" s="426">
        <f t="shared" si="53"/>
        <v>37.833333333333336</v>
      </c>
      <c r="B458" s="427">
        <f>'OptiMaxx plus'!$T$7+A458</f>
        <v>66.83333333333334</v>
      </c>
      <c r="C458" s="428">
        <f t="shared" si="52"/>
        <v>454</v>
      </c>
      <c r="D458" s="429">
        <f>+'No Deducible 93'!AD477</f>
        <v>29549757.196945515</v>
      </c>
      <c r="E458" s="429">
        <f>+'Deducible 151'!AD477</f>
        <v>27862082.38610959</v>
      </c>
      <c r="F458" s="429">
        <f>+'Deducible 185'!AD477</f>
        <v>29549757.196945515</v>
      </c>
    </row>
    <row r="459" spans="1:6" x14ac:dyDescent="0.25">
      <c r="A459" s="426">
        <f t="shared" si="53"/>
        <v>37.916666666666664</v>
      </c>
      <c r="B459" s="427">
        <f>'OptiMaxx plus'!$T$7+A459</f>
        <v>66.91666666666666</v>
      </c>
      <c r="C459" s="428">
        <f t="shared" si="52"/>
        <v>455</v>
      </c>
      <c r="D459" s="429">
        <f>+'No Deducible 93'!AD478</f>
        <v>29764970.115077496</v>
      </c>
      <c r="E459" s="429">
        <f>+'Deducible 151'!AD478</f>
        <v>28061071.996763553</v>
      </c>
      <c r="F459" s="429">
        <f>+'Deducible 185'!AD478</f>
        <v>29764970.115077496</v>
      </c>
    </row>
    <row r="460" spans="1:6" x14ac:dyDescent="0.25">
      <c r="A460" s="426">
        <f t="shared" si="53"/>
        <v>38</v>
      </c>
      <c r="B460" s="427">
        <f>'OptiMaxx plus'!$T$7+A460</f>
        <v>67</v>
      </c>
      <c r="C460" s="428">
        <f t="shared" si="52"/>
        <v>456</v>
      </c>
      <c r="D460" s="429">
        <f>+'No Deducible 93'!AD479</f>
        <v>29967725.97838429</v>
      </c>
      <c r="E460" s="429">
        <f>+'Deducible 151'!AD479</f>
        <v>28248685.55720429</v>
      </c>
      <c r="F460" s="429">
        <f>+'Deducible 185'!AD479</f>
        <v>29967725.97838429</v>
      </c>
    </row>
    <row r="461" spans="1:6" x14ac:dyDescent="0.25">
      <c r="A461" s="426">
        <f t="shared" si="53"/>
        <v>38.083333333333336</v>
      </c>
      <c r="B461" s="427">
        <f>'OptiMaxx plus'!$T$7+A461</f>
        <v>67.08333333333334</v>
      </c>
      <c r="C461" s="428">
        <f t="shared" si="52"/>
        <v>457</v>
      </c>
      <c r="D461" s="429">
        <f>+'No Deducible 93'!AD480</f>
        <v>30185836.26659923</v>
      </c>
      <c r="E461" s="429">
        <f>+'Deducible 151'!AD480</f>
        <v>28450289.891605027</v>
      </c>
      <c r="F461" s="429">
        <f>+'Deducible 185'!AD480</f>
        <v>30185836.26659923</v>
      </c>
    </row>
    <row r="462" spans="1:6" x14ac:dyDescent="0.25">
      <c r="A462" s="426">
        <f t="shared" si="53"/>
        <v>38.166666666666664</v>
      </c>
      <c r="B462" s="427">
        <f>'OptiMaxx plus'!$T$7+A462</f>
        <v>67.16666666666666</v>
      </c>
      <c r="C462" s="428">
        <f t="shared" si="52"/>
        <v>458</v>
      </c>
      <c r="D462" s="429">
        <f>+'No Deducible 93'!AD481</f>
        <v>30405463.583257318</v>
      </c>
      <c r="E462" s="429">
        <f>+'Deducible 151'!AD481</f>
        <v>28653264.25502746</v>
      </c>
      <c r="F462" s="429">
        <f>+'Deducible 185'!AD481</f>
        <v>30405463.583257318</v>
      </c>
    </row>
    <row r="463" spans="1:6" x14ac:dyDescent="0.25">
      <c r="A463" s="426">
        <f t="shared" si="53"/>
        <v>38.25</v>
      </c>
      <c r="B463" s="427">
        <f>'OptiMaxx plus'!$T$7+A463</f>
        <v>67.25</v>
      </c>
      <c r="C463" s="428">
        <f t="shared" si="52"/>
        <v>459</v>
      </c>
      <c r="D463" s="429">
        <f>+'No Deducible 93'!AD482</f>
        <v>30612509.633316528</v>
      </c>
      <c r="E463" s="429">
        <f>+'Deducible 151'!AD482</f>
        <v>28844765.29848035</v>
      </c>
      <c r="F463" s="429">
        <f>+'Deducible 185'!AD482</f>
        <v>30612509.633316528</v>
      </c>
    </row>
    <row r="464" spans="1:6" x14ac:dyDescent="0.25">
      <c r="A464" s="426">
        <f t="shared" si="53"/>
        <v>38.333333333333336</v>
      </c>
      <c r="B464" s="427">
        <f>'OptiMaxx plus'!$T$7+A464</f>
        <v>67.33333333333334</v>
      </c>
      <c r="C464" s="428">
        <f t="shared" si="52"/>
        <v>460</v>
      </c>
      <c r="D464" s="429">
        <f>+'No Deducible 93'!AD483</f>
        <v>30835107.95475797</v>
      </c>
      <c r="E464" s="429">
        <f>+'Deducible 151'!AD483</f>
        <v>29050423.01895211</v>
      </c>
      <c r="F464" s="429">
        <f>+'Deducible 185'!AD483</f>
        <v>30835107.95475797</v>
      </c>
    </row>
    <row r="465" spans="1:6" x14ac:dyDescent="0.25">
      <c r="A465" s="426">
        <f t="shared" si="53"/>
        <v>38.416666666666664</v>
      </c>
      <c r="B465" s="427">
        <f>'OptiMaxx plus'!$T$7+A465</f>
        <v>67.41666666666666</v>
      </c>
      <c r="C465" s="428">
        <f t="shared" si="52"/>
        <v>461</v>
      </c>
      <c r="D465" s="429">
        <f>+'No Deducible 93'!AD484</f>
        <v>31059254.546478912</v>
      </c>
      <c r="E465" s="429">
        <f>+'Deducible 151'!AD484</f>
        <v>29257478.333491538</v>
      </c>
      <c r="F465" s="429">
        <f>+'Deducible 185'!AD484</f>
        <v>31059254.546478912</v>
      </c>
    </row>
    <row r="466" spans="1:6" x14ac:dyDescent="0.25">
      <c r="A466" s="426">
        <f t="shared" si="53"/>
        <v>38.5</v>
      </c>
      <c r="B466" s="427">
        <f>'OptiMaxx plus'!$T$7+A466</f>
        <v>67.5</v>
      </c>
      <c r="C466" s="428">
        <f t="shared" si="52"/>
        <v>462</v>
      </c>
      <c r="D466" s="429">
        <f>+'No Deducible 93'!AD485</f>
        <v>31270694.653365854</v>
      </c>
      <c r="E466" s="429">
        <f>+'Deducible 151'!AD485</f>
        <v>29452962.49718018</v>
      </c>
      <c r="F466" s="429">
        <f>+'Deducible 185'!AD485</f>
        <v>31270694.653365854</v>
      </c>
    </row>
    <row r="467" spans="1:6" x14ac:dyDescent="0.25">
      <c r="A467" s="426">
        <f t="shared" si="53"/>
        <v>38.583333333333336</v>
      </c>
      <c r="B467" s="427">
        <f>'OptiMaxx plus'!$T$7+A467</f>
        <v>67.58333333333334</v>
      </c>
      <c r="C467" s="428">
        <f t="shared" si="52"/>
        <v>463</v>
      </c>
      <c r="D467" s="429">
        <f>+'No Deducible 93'!AD486</f>
        <v>31497874.32948158</v>
      </c>
      <c r="E467" s="429">
        <f>+'Deducible 151'!AD486</f>
        <v>29662756.034306135</v>
      </c>
      <c r="F467" s="429">
        <f>+'Deducible 185'!AD486</f>
        <v>31497874.32948158</v>
      </c>
    </row>
    <row r="468" spans="1:6" x14ac:dyDescent="0.25">
      <c r="A468" s="426">
        <f t="shared" si="53"/>
        <v>38.666666666666664</v>
      </c>
      <c r="B468" s="427">
        <f>'OptiMaxx plus'!$T$7+A468</f>
        <v>67.66666666666666</v>
      </c>
      <c r="C468" s="428">
        <f t="shared" si="52"/>
        <v>464</v>
      </c>
      <c r="D468" s="429">
        <f>+'No Deducible 93'!AD487</f>
        <v>31726634.16759079</v>
      </c>
      <c r="E468" s="429">
        <f>+'Deducible 151'!AD487</f>
        <v>29873975.291307002</v>
      </c>
      <c r="F468" s="429">
        <f>+'Deducible 185'!AD487</f>
        <v>31726634.16759079</v>
      </c>
    </row>
    <row r="469" spans="1:6" x14ac:dyDescent="0.25">
      <c r="A469" s="426">
        <f t="shared" si="53"/>
        <v>38.75</v>
      </c>
      <c r="B469" s="427">
        <f>'OptiMaxx plus'!$T$7+A469</f>
        <v>67.75</v>
      </c>
      <c r="C469" s="428">
        <f t="shared" si="52"/>
        <v>465</v>
      </c>
      <c r="D469" s="429">
        <f>+'No Deducible 93'!AD488</f>
        <v>31942561.200563427</v>
      </c>
      <c r="E469" s="429">
        <f>+'Deducible 151'!AD488</f>
        <v>30073524.903692357</v>
      </c>
      <c r="F469" s="429">
        <f>+'Deducible 185'!AD488</f>
        <v>31942561.200563427</v>
      </c>
    </row>
    <row r="470" spans="1:6" x14ac:dyDescent="0.25">
      <c r="A470" s="426">
        <f t="shared" si="53"/>
        <v>38.833333333333336</v>
      </c>
      <c r="B470" s="427">
        <f>'OptiMaxx plus'!$T$7+A470</f>
        <v>67.83333333333334</v>
      </c>
      <c r="C470" s="428">
        <f t="shared" si="52"/>
        <v>466</v>
      </c>
      <c r="D470" s="429">
        <f>+'No Deducible 93'!AD489</f>
        <v>32174417.504125606</v>
      </c>
      <c r="E470" s="429">
        <f>+'Deducible 151'!AD489</f>
        <v>30287538.373708695</v>
      </c>
      <c r="F470" s="429">
        <f>+'Deducible 185'!AD489</f>
        <v>32174417.504125606</v>
      </c>
    </row>
    <row r="471" spans="1:6" x14ac:dyDescent="0.25">
      <c r="A471" s="426">
        <f t="shared" si="53"/>
        <v>38.916666666666664</v>
      </c>
      <c r="B471" s="427">
        <f>'OptiMaxx plus'!$T$7+A471</f>
        <v>67.91666666666666</v>
      </c>
      <c r="C471" s="428">
        <f t="shared" si="52"/>
        <v>467</v>
      </c>
      <c r="D471" s="429">
        <f>+'No Deducible 93'!AD490</f>
        <v>32407886.524864104</v>
      </c>
      <c r="E471" s="429">
        <f>+'Deducible 151'!AD490</f>
        <v>30503006.261637542</v>
      </c>
      <c r="F471" s="429">
        <f>+'Deducible 185'!AD490</f>
        <v>32407886.524864104</v>
      </c>
    </row>
    <row r="472" spans="1:6" x14ac:dyDescent="0.25">
      <c r="A472" s="426">
        <f t="shared" si="53"/>
        <v>39</v>
      </c>
      <c r="B472" s="427">
        <f>'OptiMaxx plus'!$T$7+A472</f>
        <v>68</v>
      </c>
      <c r="C472" s="428">
        <f t="shared" si="52"/>
        <v>468</v>
      </c>
      <c r="D472" s="429">
        <f>+'No Deducible 93'!AD491</f>
        <v>32628395.311921723</v>
      </c>
      <c r="E472" s="429">
        <f>+'Deducible 151'!AD491</f>
        <v>30706705.347848795</v>
      </c>
      <c r="F472" s="429">
        <f>+'Deducible 185'!AD491</f>
        <v>32628395.311921723</v>
      </c>
    </row>
    <row r="473" spans="1:6" x14ac:dyDescent="0.25">
      <c r="A473" s="426">
        <f t="shared" si="53"/>
        <v>39.083333333333336</v>
      </c>
      <c r="B473" s="427">
        <f>'OptiMaxx plus'!$T$7+A473</f>
        <v>68.08333333333334</v>
      </c>
      <c r="C473" s="428">
        <f t="shared" ref="C473:C479" si="54">+C472+1</f>
        <v>469</v>
      </c>
      <c r="D473" s="429">
        <f>+'No Deducible 93'!AD492</f>
        <v>32865011.978446495</v>
      </c>
      <c r="E473" s="429">
        <f>+'Deducible 151'!AD492</f>
        <v>30925008.911188643</v>
      </c>
      <c r="F473" s="429">
        <f>+'Deducible 185'!AD492</f>
        <v>32865011.978446495</v>
      </c>
    </row>
    <row r="474" spans="1:6" x14ac:dyDescent="0.25">
      <c r="A474" s="426">
        <f t="shared" si="53"/>
        <v>39.166666666666664</v>
      </c>
      <c r="B474" s="427">
        <f>'OptiMaxx plus'!$T$7+A474</f>
        <v>68.16666666666666</v>
      </c>
      <c r="C474" s="428">
        <f t="shared" si="54"/>
        <v>470</v>
      </c>
      <c r="D474" s="429">
        <f>+'No Deducible 93'!AD493</f>
        <v>33103274.500426736</v>
      </c>
      <c r="E474" s="429">
        <f>+'Deducible 151'!AD493</f>
        <v>31144796.0677396</v>
      </c>
      <c r="F474" s="429">
        <f>+'Deducible 185'!AD493</f>
        <v>33103274.500426736</v>
      </c>
    </row>
    <row r="475" spans="1:6" x14ac:dyDescent="0.25">
      <c r="A475" s="426">
        <f t="shared" si="53"/>
        <v>39.25</v>
      </c>
      <c r="B475" s="427">
        <f>'OptiMaxx plus'!$T$7+A475</f>
        <v>68.25</v>
      </c>
      <c r="C475" s="428">
        <f t="shared" si="54"/>
        <v>471</v>
      </c>
      <c r="D475" s="429">
        <f>+'No Deducible 93'!AD494</f>
        <v>33328448.150921237</v>
      </c>
      <c r="E475" s="429">
        <f>+'Deducible 151'!AD494</f>
        <v>31352714.494399577</v>
      </c>
      <c r="F475" s="429">
        <f>+'Deducible 185'!AD494</f>
        <v>33328448.150921237</v>
      </c>
    </row>
    <row r="476" spans="1:6" x14ac:dyDescent="0.25">
      <c r="A476" s="426">
        <f t="shared" si="53"/>
        <v>39.333333333333336</v>
      </c>
      <c r="B476" s="427">
        <f>'OptiMaxx plus'!$T$7+A476</f>
        <v>68.33333333333334</v>
      </c>
      <c r="C476" s="428">
        <f t="shared" si="54"/>
        <v>472</v>
      </c>
      <c r="D476" s="429">
        <f>+'No Deducible 93'!AD495</f>
        <v>33569937.72424087</v>
      </c>
      <c r="E476" s="429">
        <f>+'Deducible 151'!AD495</f>
        <v>31575411.09681766</v>
      </c>
      <c r="F476" s="429">
        <f>+'Deducible 185'!AD495</f>
        <v>33569937.72424087</v>
      </c>
    </row>
    <row r="477" spans="1:6" x14ac:dyDescent="0.25">
      <c r="A477" s="426">
        <f t="shared" si="53"/>
        <v>39.416666666666664</v>
      </c>
      <c r="B477" s="427">
        <f>'OptiMaxx plus'!$T$7+A477</f>
        <v>68.41666666666666</v>
      </c>
      <c r="C477" s="428">
        <f t="shared" si="54"/>
        <v>473</v>
      </c>
      <c r="D477" s="429">
        <f>+'No Deducible 93'!AD496</f>
        <v>33813107.07507289</v>
      </c>
      <c r="E477" s="429">
        <f>+'Deducible 151'!AD496</f>
        <v>31799621.168105327</v>
      </c>
      <c r="F477" s="429">
        <f>+'Deducible 185'!AD496</f>
        <v>33813107.07507289</v>
      </c>
    </row>
    <row r="478" spans="1:6" x14ac:dyDescent="0.25">
      <c r="A478" s="426">
        <f t="shared" si="53"/>
        <v>39.5</v>
      </c>
      <c r="B478" s="427">
        <f>'OptiMaxx plus'!$T$7+A478</f>
        <v>68.5</v>
      </c>
      <c r="C478" s="428">
        <f t="shared" si="54"/>
        <v>474</v>
      </c>
      <c r="D478" s="429">
        <f>+'No Deducible 93'!AD497</f>
        <v>34043057.88911785</v>
      </c>
      <c r="E478" s="429">
        <f>+'Deducible 151'!AD497</f>
        <v>32011862.02263748</v>
      </c>
      <c r="F478" s="429">
        <f>+'Deducible 185'!AD497</f>
        <v>34043057.88911785</v>
      </c>
    </row>
    <row r="479" spans="1:6" x14ac:dyDescent="0.25">
      <c r="A479" s="426">
        <f t="shared" si="53"/>
        <v>39.583333333333336</v>
      </c>
      <c r="B479" s="427">
        <f>'OptiMaxx plus'!$T$7+A479</f>
        <v>68.58333333333334</v>
      </c>
      <c r="C479" s="428">
        <f t="shared" si="54"/>
        <v>475</v>
      </c>
      <c r="D479" s="429">
        <f>+'No Deducible 93'!AD498</f>
        <v>34289521.73898008</v>
      </c>
      <c r="E479" s="429">
        <f>+'Deducible 151'!AD498</f>
        <v>32239041.04093476</v>
      </c>
      <c r="F479" s="429">
        <f>+'Deducible 185'!AD498</f>
        <v>34289521.73898008</v>
      </c>
    </row>
    <row r="480" spans="1:6" x14ac:dyDescent="0.25">
      <c r="A480" s="426">
        <f t="shared" si="53"/>
        <v>39.666666666666664</v>
      </c>
      <c r="B480" s="427">
        <f>'OptiMaxx plus'!$T$7+A480</f>
        <v>68.66666666666666</v>
      </c>
      <c r="C480" s="428">
        <f t="shared" ref="C480:C506" si="55">+C479+1</f>
        <v>476</v>
      </c>
      <c r="D480" s="429">
        <f>+'No Deducible 93'!AD499</f>
        <v>34537699.99434672</v>
      </c>
      <c r="E480" s="429">
        <f>+'Deducible 151'!AD499</f>
        <v>32467764.01178307</v>
      </c>
      <c r="F480" s="429">
        <f>+'Deducible 185'!AD499</f>
        <v>34537699.99434672</v>
      </c>
    </row>
    <row r="481" spans="1:6" x14ac:dyDescent="0.25">
      <c r="A481" s="426">
        <f t="shared" si="53"/>
        <v>39.75</v>
      </c>
      <c r="B481" s="427">
        <f>'OptiMaxx plus'!$T$7+A481</f>
        <v>68.75</v>
      </c>
      <c r="C481" s="428">
        <f t="shared" si="55"/>
        <v>477</v>
      </c>
      <c r="D481" s="429">
        <f>+'No Deducible 93'!AD500</f>
        <v>34772528.92119687</v>
      </c>
      <c r="E481" s="429">
        <f>+'Deducible 151'!AD500</f>
        <v>32684416.61499837</v>
      </c>
      <c r="F481" s="429">
        <f>+'Deducible 185'!AD500</f>
        <v>34772528.92119687</v>
      </c>
    </row>
    <row r="482" spans="1:6" x14ac:dyDescent="0.25">
      <c r="A482" s="426">
        <f t="shared" si="53"/>
        <v>39.833333333333336</v>
      </c>
      <c r="B482" s="427">
        <f>'OptiMaxx plus'!$T$7+A482</f>
        <v>68.83333333333334</v>
      </c>
      <c r="C482" s="428">
        <f t="shared" si="55"/>
        <v>478</v>
      </c>
      <c r="D482" s="429">
        <f>+'No Deducible 93'!AD501</f>
        <v>35024070.53746973</v>
      </c>
      <c r="E482" s="429">
        <f>+'Deducible 151'!AD501</f>
        <v>32916169.254059028</v>
      </c>
      <c r="F482" s="429">
        <f>+'Deducible 185'!AD501</f>
        <v>35024070.53746973</v>
      </c>
    </row>
    <row r="483" spans="1:6" x14ac:dyDescent="0.25">
      <c r="A483" s="426">
        <f t="shared" si="53"/>
        <v>39.916666666666664</v>
      </c>
      <c r="B483" s="427">
        <f>'OptiMaxx plus'!$T$7+A483</f>
        <v>68.91666666666666</v>
      </c>
      <c r="C483" s="428">
        <f t="shared" si="55"/>
        <v>479</v>
      </c>
      <c r="D483" s="429">
        <f>+'No Deducible 93'!AD502</f>
        <v>35277361.90794112</v>
      </c>
      <c r="E483" s="429">
        <f>+'Deducible 151'!AD502</f>
        <v>33149496.949813336</v>
      </c>
      <c r="F483" s="429">
        <f>+'Deducible 185'!AD502</f>
        <v>35277361.90794112</v>
      </c>
    </row>
    <row r="484" spans="1:6" x14ac:dyDescent="0.25">
      <c r="A484" s="426">
        <f t="shared" si="53"/>
        <v>40</v>
      </c>
      <c r="B484" s="427">
        <f>'OptiMaxx plus'!$T$7+A484</f>
        <v>69</v>
      </c>
      <c r="C484" s="428">
        <f t="shared" si="55"/>
        <v>480</v>
      </c>
      <c r="D484" s="429">
        <f>+'No Deducible 93'!AD503</f>
        <v>35517172.02582742</v>
      </c>
      <c r="E484" s="429">
        <f>+'Deducible 151'!AD503</f>
        <v>33370652.46308966</v>
      </c>
      <c r="F484" s="429">
        <f>+'Deducible 185'!AD503</f>
        <v>35517172.02582742</v>
      </c>
    </row>
    <row r="485" spans="1:6" x14ac:dyDescent="0.25">
      <c r="A485" s="426">
        <f t="shared" si="53"/>
        <v>40.083333333333336</v>
      </c>
      <c r="B485" s="427">
        <f>'OptiMaxx plus'!$T$7+A485</f>
        <v>69.08333333333334</v>
      </c>
      <c r="C485" s="428">
        <f t="shared" si="55"/>
        <v>481</v>
      </c>
      <c r="D485" s="429">
        <f>+'No Deducible 93'!AD504</f>
        <v>35773882.99228433</v>
      </c>
      <c r="E485" s="429">
        <f>+'Deducible 151'!AD504</f>
        <v>33607055.4903084</v>
      </c>
      <c r="F485" s="429">
        <f>+'Deducible 185'!AD504</f>
        <v>35773882.99228433</v>
      </c>
    </row>
    <row r="486" spans="1:6" x14ac:dyDescent="0.25">
      <c r="A486" s="426">
        <f t="shared" si="53"/>
        <v>40.166666666666664</v>
      </c>
      <c r="B486" s="427">
        <f>'OptiMaxx plus'!$T$7+A486</f>
        <v>69.16666666666666</v>
      </c>
      <c r="C486" s="428">
        <f t="shared" si="55"/>
        <v>482</v>
      </c>
      <c r="D486" s="429">
        <f>+'No Deducible 93'!AD505</f>
        <v>36032379.69939397</v>
      </c>
      <c r="E486" s="429">
        <f>+'Deducible 151'!AD505</f>
        <v>33845065.20057736</v>
      </c>
      <c r="F486" s="429">
        <f>+'Deducible 185'!AD505</f>
        <v>36032379.69939397</v>
      </c>
    </row>
    <row r="487" spans="1:6" x14ac:dyDescent="0.25">
      <c r="A487" s="426">
        <f t="shared" si="53"/>
        <v>40.25</v>
      </c>
      <c r="B487" s="427">
        <f>'OptiMaxx plus'!$T$7+A487</f>
        <v>69.25</v>
      </c>
      <c r="C487" s="428">
        <f t="shared" si="55"/>
        <v>483</v>
      </c>
      <c r="D487" s="429">
        <f>+'No Deducible 93'!AD506</f>
        <v>36277261.99297333</v>
      </c>
      <c r="E487" s="429">
        <f>+'Deducible 151'!AD506</f>
        <v>34070800.138040654</v>
      </c>
      <c r="F487" s="429">
        <f>+'Deducible 185'!AD506</f>
        <v>36277261.99297333</v>
      </c>
    </row>
    <row r="488" spans="1:6" x14ac:dyDescent="0.25">
      <c r="A488" s="426">
        <f t="shared" si="53"/>
        <v>40.333333333333336</v>
      </c>
      <c r="B488" s="427">
        <f>'OptiMaxx plus'!$T$7+A488</f>
        <v>69.33333333333334</v>
      </c>
      <c r="C488" s="428">
        <f t="shared" si="55"/>
        <v>484</v>
      </c>
      <c r="D488" s="429">
        <f>+'No Deducible 93'!AD507</f>
        <v>36539263.94863706</v>
      </c>
      <c r="E488" s="429">
        <f>+'Deducible 151'!AD507</f>
        <v>34311964.495665684</v>
      </c>
      <c r="F488" s="429">
        <f>+'Deducible 185'!AD507</f>
        <v>36539263.94863706</v>
      </c>
    </row>
    <row r="489" spans="1:6" x14ac:dyDescent="0.25">
      <c r="A489" s="426">
        <f t="shared" si="53"/>
        <v>40.416666666666664</v>
      </c>
      <c r="B489" s="427">
        <f>'OptiMaxx plus'!$T$7+A489</f>
        <v>69.41666666666666</v>
      </c>
      <c r="C489" s="428">
        <f t="shared" si="55"/>
        <v>485</v>
      </c>
      <c r="D489" s="429">
        <f>+'No Deducible 93'!AD508</f>
        <v>36803088.47853556</v>
      </c>
      <c r="E489" s="429">
        <f>+'Deducible 151'!AD508</f>
        <v>34554767.917465895</v>
      </c>
      <c r="F489" s="429">
        <f>+'Deducible 185'!AD508</f>
        <v>36803088.47853556</v>
      </c>
    </row>
    <row r="490" spans="1:6" x14ac:dyDescent="0.25">
      <c r="A490" s="426">
        <f t="shared" si="53"/>
        <v>40.5</v>
      </c>
      <c r="B490" s="427">
        <f>'OptiMaxx plus'!$T$7+A490</f>
        <v>69.5</v>
      </c>
      <c r="C490" s="428">
        <f t="shared" si="55"/>
        <v>486</v>
      </c>
      <c r="D490" s="429">
        <f>+'No Deducible 93'!AD509</f>
        <v>37053164.386650845</v>
      </c>
      <c r="E490" s="429">
        <f>+'Deducible 151'!AD509</f>
        <v>34785193.42206431</v>
      </c>
      <c r="F490" s="429">
        <f>+'Deducible 185'!AD509</f>
        <v>37053164.386650845</v>
      </c>
    </row>
    <row r="491" spans="1:6" x14ac:dyDescent="0.25">
      <c r="A491" s="426">
        <f t="shared" si="53"/>
        <v>40.583333333333336</v>
      </c>
      <c r="B491" s="427">
        <f>'OptiMaxx plus'!$T$7+A491</f>
        <v>69.58333333333334</v>
      </c>
      <c r="C491" s="428">
        <f t="shared" si="55"/>
        <v>487</v>
      </c>
      <c r="D491" s="429">
        <f>+'No Deducible 93'!AD510</f>
        <v>37320567.44608678</v>
      </c>
      <c r="E491" s="429">
        <f>+'Deducible 151'!AD510</f>
        <v>35031216.02035667</v>
      </c>
      <c r="F491" s="429">
        <f>+'Deducible 185'!AD510</f>
        <v>37320567.44608678</v>
      </c>
    </row>
    <row r="492" spans="1:6" x14ac:dyDescent="0.25">
      <c r="A492" s="426">
        <f t="shared" si="53"/>
        <v>40.666666666666664</v>
      </c>
      <c r="B492" s="427">
        <f>'OptiMaxx plus'!$T$7+A492</f>
        <v>69.66666666666666</v>
      </c>
      <c r="C492" s="428">
        <f t="shared" si="55"/>
        <v>488</v>
      </c>
      <c r="D492" s="429">
        <f>+'No Deducible 93'!AD511</f>
        <v>37589830.68018382</v>
      </c>
      <c r="E492" s="429">
        <f>+'Deducible 151'!AD511</f>
        <v>35278910.72322968</v>
      </c>
      <c r="F492" s="429">
        <f>+'Deducible 185'!AD511</f>
        <v>37589830.68018382</v>
      </c>
    </row>
    <row r="493" spans="1:6" x14ac:dyDescent="0.25">
      <c r="A493" s="426">
        <f t="shared" si="53"/>
        <v>40.75</v>
      </c>
      <c r="B493" s="427">
        <f>'OptiMaxx plus'!$T$7+A493</f>
        <v>69.75</v>
      </c>
      <c r="C493" s="428">
        <f t="shared" si="55"/>
        <v>489</v>
      </c>
      <c r="D493" s="429">
        <f>+'No Deducible 93'!AD512</f>
        <v>37845209.934594736</v>
      </c>
      <c r="E493" s="429">
        <f>+'Deducible 151'!AD512</f>
        <v>35514123.701451585</v>
      </c>
      <c r="F493" s="429">
        <f>+'Deducible 185'!AD512</f>
        <v>37845209.934594736</v>
      </c>
    </row>
    <row r="494" spans="1:6" x14ac:dyDescent="0.25">
      <c r="A494" s="426">
        <f t="shared" si="53"/>
        <v>40.833333333333336</v>
      </c>
      <c r="B494" s="427">
        <f>'OptiMaxx plus'!$T$7+A494</f>
        <v>69.83333333333334</v>
      </c>
      <c r="C494" s="428">
        <f t="shared" si="55"/>
        <v>490</v>
      </c>
      <c r="D494" s="429">
        <f>+'No Deducible 93'!AD513</f>
        <v>38118126.51591563</v>
      </c>
      <c r="E494" s="429">
        <f>+'Deducible 151'!AD513</f>
        <v>35765103.43324228</v>
      </c>
      <c r="F494" s="429">
        <f>+'Deducible 185'!AD513</f>
        <v>38118126.51591563</v>
      </c>
    </row>
    <row r="495" spans="1:6" x14ac:dyDescent="0.25">
      <c r="A495" s="426">
        <f t="shared" si="53"/>
        <v>40.916666666666664</v>
      </c>
      <c r="B495" s="427">
        <f>'OptiMaxx plus'!$T$7+A495</f>
        <v>69.91666666666666</v>
      </c>
      <c r="C495" s="428">
        <f t="shared" si="55"/>
        <v>491</v>
      </c>
      <c r="D495" s="429">
        <f>+'No Deducible 93'!AD514</f>
        <v>38392941.655212976</v>
      </c>
      <c r="E495" s="429">
        <f>+'Deducible 151'!AD514</f>
        <v>36017788.98278899</v>
      </c>
      <c r="F495" s="429">
        <f>+'Deducible 185'!AD514</f>
        <v>38392941.655212976</v>
      </c>
    </row>
    <row r="496" spans="1:6" x14ac:dyDescent="0.25">
      <c r="A496" s="426">
        <f t="shared" si="53"/>
        <v>41</v>
      </c>
      <c r="B496" s="427">
        <f>'OptiMaxx plus'!$T$7+A496</f>
        <v>70</v>
      </c>
      <c r="C496" s="428">
        <f t="shared" si="55"/>
        <v>492</v>
      </c>
      <c r="D496" s="429">
        <f>+'No Deducible 93'!AD515</f>
        <v>38653736.301683165</v>
      </c>
      <c r="E496" s="429">
        <f>+'Deducible 151'!AD515</f>
        <v>36257888.33779061</v>
      </c>
      <c r="F496" s="429">
        <f>+'Deducible 185'!AD515</f>
        <v>38653736.301683165</v>
      </c>
    </row>
    <row r="497" spans="1:6" x14ac:dyDescent="0.25">
      <c r="A497" s="426">
        <f t="shared" si="53"/>
        <v>41.083333333333336</v>
      </c>
      <c r="B497" s="427">
        <f>'OptiMaxx plus'!$T$7+A497</f>
        <v>70.08333333333334</v>
      </c>
      <c r="C497" s="428">
        <f t="shared" si="55"/>
        <v>493</v>
      </c>
      <c r="D497" s="429">
        <f>+'No Deducible 93'!AD516</f>
        <v>38932266.54136021</v>
      </c>
      <c r="E497" s="429">
        <f>+'Deducible 151'!AD516</f>
        <v>36513909.16395734</v>
      </c>
      <c r="F497" s="429">
        <f>+'Deducible 185'!AD516</f>
        <v>38932266.54136021</v>
      </c>
    </row>
    <row r="498" spans="1:6" x14ac:dyDescent="0.25">
      <c r="A498" s="426">
        <f t="shared" si="53"/>
        <v>41.166666666666664</v>
      </c>
      <c r="B498" s="427">
        <f>'OptiMaxx plus'!$T$7+A498</f>
        <v>70.16666666666666</v>
      </c>
      <c r="C498" s="428">
        <f t="shared" si="55"/>
        <v>494</v>
      </c>
      <c r="D498" s="429">
        <f>+'No Deducible 93'!AD517</f>
        <v>39212734.41965985</v>
      </c>
      <c r="E498" s="429">
        <f>+'Deducible 151'!AD517</f>
        <v>36771670.09221337</v>
      </c>
      <c r="F498" s="429">
        <f>+'Deducible 185'!AD517</f>
        <v>39212734.41965985</v>
      </c>
    </row>
    <row r="499" spans="1:6" x14ac:dyDescent="0.25">
      <c r="A499" s="426">
        <f t="shared" si="53"/>
        <v>41.25</v>
      </c>
      <c r="B499" s="427">
        <f>'OptiMaxx plus'!$T$7+A499</f>
        <v>70.25</v>
      </c>
      <c r="C499" s="428">
        <f t="shared" si="55"/>
        <v>495</v>
      </c>
      <c r="D499" s="429">
        <f>+'No Deducible 93'!AD518</f>
        <v>39479044.02860651</v>
      </c>
      <c r="E499" s="429">
        <f>+'Deducible 151'!AD518</f>
        <v>37016739.57818248</v>
      </c>
      <c r="F499" s="429">
        <f>+'Deducible 185'!AD518</f>
        <v>39479044.02860651</v>
      </c>
    </row>
    <row r="500" spans="1:6" x14ac:dyDescent="0.25">
      <c r="A500" s="426">
        <f t="shared" si="53"/>
        <v>41.333333333333336</v>
      </c>
      <c r="B500" s="427">
        <f>'OptiMaxx plus'!$T$7+A500</f>
        <v>70.33333333333334</v>
      </c>
      <c r="C500" s="428">
        <f t="shared" si="55"/>
        <v>496</v>
      </c>
      <c r="D500" s="429">
        <f>+'No Deducible 93'!AD519</f>
        <v>39763319.42338523</v>
      </c>
      <c r="E500" s="429">
        <f>+'Deducible 151'!AD519</f>
        <v>37277921.08619316</v>
      </c>
      <c r="F500" s="429">
        <f>+'Deducible 185'!AD519</f>
        <v>39763319.42338523</v>
      </c>
    </row>
    <row r="501" spans="1:6" x14ac:dyDescent="0.25">
      <c r="A501" s="426">
        <f t="shared" si="53"/>
        <v>41.416666666666664</v>
      </c>
      <c r="B501" s="427">
        <f>'OptiMaxx plus'!$T$7+A501</f>
        <v>70.41666666666666</v>
      </c>
      <c r="C501" s="428">
        <f t="shared" si="55"/>
        <v>497</v>
      </c>
      <c r="D501" s="429">
        <f>+'No Deducible 93'!AD520</f>
        <v>40049572.453222126</v>
      </c>
      <c r="E501" s="429">
        <f>+'Deducible 151'!AD520</f>
        <v>37540877.79421751</v>
      </c>
      <c r="F501" s="429">
        <f>+'Deducible 185'!AD520</f>
        <v>40049572.453222126</v>
      </c>
    </row>
    <row r="502" spans="1:6" x14ac:dyDescent="0.25">
      <c r="A502" s="426">
        <f t="shared" si="53"/>
        <v>41.5</v>
      </c>
      <c r="B502" s="427">
        <f>'OptiMaxx plus'!$T$7+A502</f>
        <v>70.5</v>
      </c>
      <c r="C502" s="428">
        <f t="shared" si="55"/>
        <v>498</v>
      </c>
      <c r="D502" s="429">
        <f>+'No Deducible 93'!AD521</f>
        <v>40321528.371532716</v>
      </c>
      <c r="E502" s="429">
        <f>+'Deducible 151'!AD521</f>
        <v>37791037.265220545</v>
      </c>
      <c r="F502" s="429">
        <f>+'Deducible 185'!AD521</f>
        <v>40321528.371532716</v>
      </c>
    </row>
    <row r="503" spans="1:6" x14ac:dyDescent="0.25">
      <c r="A503" s="426">
        <f t="shared" si="53"/>
        <v>41.583333333333336</v>
      </c>
      <c r="B503" s="427">
        <f>'OptiMaxx plus'!$T$7+A503</f>
        <v>70.58333333333334</v>
      </c>
      <c r="C503" s="428">
        <f t="shared" si="55"/>
        <v>499</v>
      </c>
      <c r="D503" s="429">
        <f>+'No Deducible 93'!AD522</f>
        <v>40611668.53770064</v>
      </c>
      <c r="E503" s="429">
        <f>+'Deducible 151'!AD522</f>
        <v>38057484.53576074</v>
      </c>
      <c r="F503" s="429">
        <f>+'Deducible 185'!AD522</f>
        <v>40611668.53770064</v>
      </c>
    </row>
    <row r="504" spans="1:6" x14ac:dyDescent="0.25">
      <c r="A504" s="426">
        <f t="shared" si="53"/>
        <v>41.666666666666664</v>
      </c>
      <c r="B504" s="427">
        <f>'OptiMaxx plus'!$T$7+A504</f>
        <v>70.66666666666666</v>
      </c>
      <c r="C504" s="428">
        <f t="shared" si="55"/>
        <v>500</v>
      </c>
      <c r="D504" s="429">
        <f>+'No Deducible 93'!AD523</f>
        <v>40903827.16838826</v>
      </c>
      <c r="E504" s="429">
        <f>+'Deducible 151'!AD523</f>
        <v>38325742.81911126</v>
      </c>
      <c r="F504" s="429">
        <f>+'Deducible 185'!AD523</f>
        <v>40903827.16838826</v>
      </c>
    </row>
    <row r="505" spans="1:6" x14ac:dyDescent="0.25">
      <c r="A505" s="426">
        <f t="shared" si="53"/>
        <v>41.75</v>
      </c>
      <c r="B505" s="427">
        <f>'OptiMaxx plus'!$T$7+A505</f>
        <v>70.75</v>
      </c>
      <c r="C505" s="428">
        <f t="shared" si="55"/>
        <v>501</v>
      </c>
      <c r="D505" s="429">
        <f>+'No Deducible 93'!AD524</f>
        <v>41181548.67389185</v>
      </c>
      <c r="E505" s="429">
        <f>+'Deducible 151'!AD524</f>
        <v>38581097.41096575</v>
      </c>
      <c r="F505" s="429">
        <f>+'Deducible 185'!AD524</f>
        <v>41181548.67389185</v>
      </c>
    </row>
    <row r="506" spans="1:6" x14ac:dyDescent="0.25">
      <c r="A506" s="426">
        <f t="shared" si="53"/>
        <v>41.833333333333336</v>
      </c>
      <c r="B506" s="427">
        <f>'OptiMaxx plus'!$T$7+A506</f>
        <v>70.83333333333334</v>
      </c>
      <c r="C506" s="428">
        <f t="shared" si="55"/>
        <v>502</v>
      </c>
      <c r="D506" s="429">
        <f>+'No Deducible 93'!AD525</f>
        <v>41477675.73061181</v>
      </c>
      <c r="E506" s="429">
        <f>+'Deducible 151'!AD525</f>
        <v>38852917.67485575</v>
      </c>
      <c r="F506" s="429">
        <f>+'Deducible 185'!AD525</f>
        <v>41477675.73061181</v>
      </c>
    </row>
    <row r="507" spans="1:6" x14ac:dyDescent="0.25">
      <c r="A507" s="426">
        <f t="shared" si="53"/>
        <v>41.916666666666664</v>
      </c>
      <c r="B507" s="427">
        <f>'OptiMaxx plus'!$T$7+A507</f>
        <v>70.91666666666666</v>
      </c>
      <c r="C507" s="428">
        <f t="shared" ref="C507:C567" si="56">+C506+1</f>
        <v>503</v>
      </c>
      <c r="D507" s="429">
        <f>+'No Deducible 93'!AD526</f>
        <v>41775862.931772016</v>
      </c>
      <c r="E507" s="429">
        <f>+'Deducible 151'!AD526</f>
        <v>39126585.49385458</v>
      </c>
      <c r="F507" s="429">
        <f>+'Deducible 185'!AD526</f>
        <v>41775862.931772016</v>
      </c>
    </row>
    <row r="508" spans="1:6" x14ac:dyDescent="0.25">
      <c r="A508" s="426">
        <f t="shared" si="53"/>
        <v>42</v>
      </c>
      <c r="B508" s="427">
        <f>'OptiMaxx plus'!$T$7+A508</f>
        <v>71</v>
      </c>
      <c r="C508" s="428">
        <f t="shared" si="56"/>
        <v>504</v>
      </c>
      <c r="D508" s="429">
        <f>+'No Deducible 93'!AD527</f>
        <v>42059471.81740739</v>
      </c>
      <c r="E508" s="429">
        <f>+'Deducible 151'!AD527</f>
        <v>39387242.508383825</v>
      </c>
      <c r="F508" s="429">
        <f>+'Deducible 185'!AD527</f>
        <v>42059471.81740739</v>
      </c>
    </row>
    <row r="509" spans="1:6" x14ac:dyDescent="0.25">
      <c r="A509" s="426">
        <f t="shared" si="53"/>
        <v>42.083333333333336</v>
      </c>
      <c r="B509" s="427">
        <f>'OptiMaxx plus'!$T$7+A509</f>
        <v>71.08333333333334</v>
      </c>
      <c r="C509" s="428">
        <f t="shared" si="56"/>
        <v>505</v>
      </c>
      <c r="D509" s="429">
        <f>+'No Deducible 93'!AD528</f>
        <v>42361695.220375635</v>
      </c>
      <c r="E509" s="429">
        <f>+'Deducible 151'!AD528</f>
        <v>39664527.55728864</v>
      </c>
      <c r="F509" s="429">
        <f>+'Deducible 185'!AD528</f>
        <v>42361695.220375635</v>
      </c>
    </row>
    <row r="510" spans="1:6" x14ac:dyDescent="0.25">
      <c r="A510" s="426">
        <f t="shared" si="53"/>
        <v>42.166666666666664</v>
      </c>
      <c r="B510" s="427">
        <f>'OptiMaxx plus'!$T$7+A510</f>
        <v>71.16666666666666</v>
      </c>
      <c r="C510" s="428">
        <f t="shared" si="56"/>
        <v>506</v>
      </c>
      <c r="D510" s="429">
        <f>+'No Deducible 93'!AD529</f>
        <v>42666021.20994561</v>
      </c>
      <c r="E510" s="429">
        <f>+'Deducible 151'!AD529</f>
        <v>39943697.328039095</v>
      </c>
      <c r="F510" s="429">
        <f>+'Deducible 185'!AD529</f>
        <v>42666021.20994561</v>
      </c>
    </row>
    <row r="511" spans="1:6" x14ac:dyDescent="0.25">
      <c r="A511" s="426">
        <f t="shared" si="53"/>
        <v>42.25</v>
      </c>
      <c r="B511" s="427">
        <f>'OptiMaxx plus'!$T$7+A511</f>
        <v>71.25</v>
      </c>
      <c r="C511" s="428">
        <f t="shared" si="56"/>
        <v>507</v>
      </c>
      <c r="D511" s="429">
        <f>+'No Deducible 93'!AD530</f>
        <v>42955626.40512149</v>
      </c>
      <c r="E511" s="429">
        <f>+'Deducible 151'!AD530</f>
        <v>40209748.4034493</v>
      </c>
      <c r="F511" s="429">
        <f>+'Deducible 185'!AD530</f>
        <v>42955626.40512149</v>
      </c>
    </row>
    <row r="512" spans="1:6" x14ac:dyDescent="0.25">
      <c r="A512" s="426">
        <f t="shared" si="53"/>
        <v>42.333333333333336</v>
      </c>
      <c r="B512" s="427">
        <f>'OptiMaxx plus'!$T$7+A512</f>
        <v>71.33333333333334</v>
      </c>
      <c r="C512" s="428">
        <f t="shared" si="56"/>
        <v>508</v>
      </c>
      <c r="D512" s="429">
        <f>+'No Deducible 93'!AD531</f>
        <v>43264088.336462416</v>
      </c>
      <c r="E512" s="429">
        <f>+'Deducible 151'!AD531</f>
        <v>40492627.172615275</v>
      </c>
      <c r="F512" s="429">
        <f>+'Deducible 185'!AD531</f>
        <v>43264088.336462416</v>
      </c>
    </row>
    <row r="513" spans="1:6" x14ac:dyDescent="0.25">
      <c r="A513" s="426">
        <f t="shared" si="53"/>
        <v>42.416666666666664</v>
      </c>
      <c r="B513" s="427">
        <f>'OptiMaxx plus'!$T$7+A513</f>
        <v>71.41666666666666</v>
      </c>
      <c r="C513" s="428">
        <f t="shared" si="56"/>
        <v>509</v>
      </c>
      <c r="D513" s="429">
        <f>+'No Deducible 93'!AD532</f>
        <v>43574696.2867829</v>
      </c>
      <c r="E513" s="429">
        <f>+'Deducible 151'!AD532</f>
        <v>40777428.707558125</v>
      </c>
      <c r="F513" s="429">
        <f>+'Deducible 185'!AD532</f>
        <v>43574696.2867829</v>
      </c>
    </row>
    <row r="514" spans="1:6" x14ac:dyDescent="0.25">
      <c r="A514" s="426">
        <f t="shared" si="53"/>
        <v>42.5</v>
      </c>
      <c r="B514" s="427">
        <f>'OptiMaxx plus'!$T$7+A514</f>
        <v>71.5</v>
      </c>
      <c r="C514" s="428">
        <f t="shared" si="56"/>
        <v>510</v>
      </c>
      <c r="D514" s="429">
        <f>+'No Deducible 93'!AD533</f>
        <v>43870439.88159987</v>
      </c>
      <c r="E514" s="429">
        <f>+'Deducible 151'!AD533</f>
        <v>41049003.1191163</v>
      </c>
      <c r="F514" s="429">
        <f>+'Deducible 185'!AD533</f>
        <v>43870439.88159987</v>
      </c>
    </row>
    <row r="515" spans="1:6" x14ac:dyDescent="0.25">
      <c r="A515" s="426">
        <f t="shared" si="53"/>
        <v>42.583333333333336</v>
      </c>
      <c r="B515" s="427">
        <f>'OptiMaxx plus'!$T$7+A515</f>
        <v>71.58333333333334</v>
      </c>
      <c r="C515" s="428">
        <f t="shared" si="56"/>
        <v>511</v>
      </c>
      <c r="D515" s="429">
        <f>+'No Deducible 93'!AD534</f>
        <v>44185270.281854965</v>
      </c>
      <c r="E515" s="429">
        <f>+'Deducible 151'!AD534</f>
        <v>41337589.55055324</v>
      </c>
      <c r="F515" s="429">
        <f>+'Deducible 185'!AD534</f>
        <v>44185270.281854965</v>
      </c>
    </row>
    <row r="516" spans="1:6" x14ac:dyDescent="0.25">
      <c r="A516" s="426">
        <f t="shared" si="53"/>
        <v>42.666666666666664</v>
      </c>
      <c r="B516" s="427">
        <f>'OptiMaxx plus'!$T$7+A516</f>
        <v>71.66666666666666</v>
      </c>
      <c r="C516" s="428">
        <f t="shared" si="56"/>
        <v>512</v>
      </c>
      <c r="D516" s="429">
        <f>+'No Deducible 93'!AD535</f>
        <v>44502291.03840449</v>
      </c>
      <c r="E516" s="429">
        <f>+'Deducible 151'!AD535</f>
        <v>41628137.56686354</v>
      </c>
      <c r="F516" s="429">
        <f>+'Deducible 185'!AD535</f>
        <v>44502291.03840449</v>
      </c>
    </row>
    <row r="517" spans="1:6" x14ac:dyDescent="0.25">
      <c r="A517" s="426">
        <f t="shared" si="53"/>
        <v>42.75</v>
      </c>
      <c r="B517" s="427">
        <f>'OptiMaxx plus'!$T$7+A517</f>
        <v>71.75</v>
      </c>
      <c r="C517" s="428">
        <f t="shared" si="56"/>
        <v>513</v>
      </c>
      <c r="D517" s="429">
        <f>+'No Deducible 93'!AD536</f>
        <v>44804302.68668704</v>
      </c>
      <c r="E517" s="429">
        <f>+'Deducible 151'!AD536</f>
        <v>41905349.37796003</v>
      </c>
      <c r="F517" s="429">
        <f>+'Deducible 185'!AD536</f>
        <v>44804302.68668704</v>
      </c>
    </row>
    <row r="518" spans="1:6" x14ac:dyDescent="0.25">
      <c r="A518" s="426">
        <f t="shared" ref="A518:A568" si="57">+C518/12</f>
        <v>42.833333333333336</v>
      </c>
      <c r="B518" s="427">
        <f>'OptiMaxx plus'!$T$7+A518</f>
        <v>71.83333333333334</v>
      </c>
      <c r="C518" s="428">
        <f t="shared" si="56"/>
        <v>514</v>
      </c>
      <c r="D518" s="429">
        <f>+'No Deducible 93'!AD537</f>
        <v>45125634.215881504</v>
      </c>
      <c r="E518" s="429">
        <f>+'Deducible 151'!AD537</f>
        <v>42199759.74556324</v>
      </c>
      <c r="F518" s="429">
        <f>+'Deducible 185'!AD537</f>
        <v>45125634.215881504</v>
      </c>
    </row>
    <row r="519" spans="1:6" x14ac:dyDescent="0.25">
      <c r="A519" s="426">
        <f t="shared" si="57"/>
        <v>42.916666666666664</v>
      </c>
      <c r="B519" s="427">
        <f>'OptiMaxx plus'!$T$7+A519</f>
        <v>71.91666666666666</v>
      </c>
      <c r="C519" s="428">
        <f t="shared" si="56"/>
        <v>515</v>
      </c>
      <c r="D519" s="429">
        <f>+'No Deducible 93'!AD538</f>
        <v>45449201.36256432</v>
      </c>
      <c r="E519" s="429">
        <f>+'Deducible 151'!AD538</f>
        <v>42496171.308167875</v>
      </c>
      <c r="F519" s="429">
        <f>+'Deducible 185'!AD538</f>
        <v>45449201.36256432</v>
      </c>
    </row>
    <row r="520" spans="1:6" x14ac:dyDescent="0.25">
      <c r="A520" s="426">
        <f t="shared" si="57"/>
        <v>43</v>
      </c>
      <c r="B520" s="427">
        <f>'OptiMaxx plus'!$T$7+A520</f>
        <v>72</v>
      </c>
      <c r="C520" s="428">
        <f t="shared" si="56"/>
        <v>516</v>
      </c>
      <c r="D520" s="429">
        <f>+'No Deducible 93'!AD539</f>
        <v>45757613.45182748</v>
      </c>
      <c r="E520" s="429">
        <f>+'Deducible 151'!AD539</f>
        <v>42779136.93189604</v>
      </c>
      <c r="F520" s="429">
        <f>+'Deducible 185'!AD539</f>
        <v>45757613.45182748</v>
      </c>
    </row>
    <row r="521" spans="1:6" x14ac:dyDescent="0.25">
      <c r="A521" s="426">
        <f t="shared" si="57"/>
        <v>43.083333333333336</v>
      </c>
      <c r="B521" s="427">
        <f>'OptiMaxx plus'!$T$7+A521</f>
        <v>72.08333333333334</v>
      </c>
      <c r="C521" s="428">
        <f t="shared" si="56"/>
        <v>517</v>
      </c>
      <c r="D521" s="429">
        <f>+'No Deducible 93'!AD540</f>
        <v>46085565.718925275</v>
      </c>
      <c r="E521" s="429">
        <f>+'Deducible 151'!AD540</f>
        <v>43079471.55055272</v>
      </c>
      <c r="F521" s="429">
        <f>+'Deducible 185'!AD540</f>
        <v>46085565.718925275</v>
      </c>
    </row>
    <row r="522" spans="1:6" x14ac:dyDescent="0.25">
      <c r="A522" s="426">
        <f t="shared" si="57"/>
        <v>43.166666666666664</v>
      </c>
      <c r="B522" s="427">
        <f>'OptiMaxx plus'!$T$7+A522</f>
        <v>72.16666666666666</v>
      </c>
      <c r="C522" s="428">
        <f t="shared" si="56"/>
        <v>518</v>
      </c>
      <c r="D522" s="429">
        <f>+'No Deducible 93'!AD541</f>
        <v>46415799.69766611</v>
      </c>
      <c r="E522" s="429">
        <f>+'Deducible 151'!AD541</f>
        <v>43381847.65676924</v>
      </c>
      <c r="F522" s="429">
        <f>+'Deducible 185'!AD541</f>
        <v>46415799.69766611</v>
      </c>
    </row>
    <row r="523" spans="1:6" x14ac:dyDescent="0.25">
      <c r="A523" s="426">
        <f t="shared" si="57"/>
        <v>43.25</v>
      </c>
      <c r="B523" s="427">
        <f>'OptiMaxx plus'!$T$7+A523</f>
        <v>72.25</v>
      </c>
      <c r="C523" s="428">
        <f t="shared" si="56"/>
        <v>519</v>
      </c>
      <c r="D523" s="429">
        <f>+'No Deducible 93'!AD542</f>
        <v>46730731.357813135</v>
      </c>
      <c r="E523" s="429">
        <f>+'Deducible 151'!AD542</f>
        <v>43670667.31511251</v>
      </c>
      <c r="F523" s="429">
        <f>+'Deducible 185'!AD542</f>
        <v>46730731.357813135</v>
      </c>
    </row>
    <row r="524" spans="1:6" x14ac:dyDescent="0.25">
      <c r="A524" s="426">
        <f t="shared" si="57"/>
        <v>43.333333333333336</v>
      </c>
      <c r="B524" s="427">
        <f>'OptiMaxx plus'!$T$7+A524</f>
        <v>72.33333333333334</v>
      </c>
      <c r="C524" s="428">
        <f t="shared" si="56"/>
        <v>520</v>
      </c>
      <c r="D524" s="429">
        <f>+'No Deducible 93'!AD543</f>
        <v>47065458.12870951</v>
      </c>
      <c r="E524" s="429">
        <f>+'Deducible 151'!AD543</f>
        <v>43977065.22875626</v>
      </c>
      <c r="F524" s="429">
        <f>+'Deducible 185'!AD543</f>
        <v>47065458.12870951</v>
      </c>
    </row>
    <row r="525" spans="1:6" x14ac:dyDescent="0.25">
      <c r="A525" s="426">
        <f t="shared" si="57"/>
        <v>43.416666666666664</v>
      </c>
      <c r="B525" s="427">
        <f>'OptiMaxx plus'!$T$7+A525</f>
        <v>72.41666666666666</v>
      </c>
      <c r="C525" s="428">
        <f t="shared" si="56"/>
        <v>521</v>
      </c>
      <c r="D525" s="429">
        <f>+'No Deducible 93'!AD544</f>
        <v>47402513.77630479</v>
      </c>
      <c r="E525" s="429">
        <f>+'Deducible 151'!AD544</f>
        <v>44285545.86849363</v>
      </c>
      <c r="F525" s="429">
        <f>+'Deducible 185'!AD544</f>
        <v>47402513.77630479</v>
      </c>
    </row>
    <row r="526" spans="1:6" x14ac:dyDescent="0.25">
      <c r="A526" s="426">
        <f t="shared" si="57"/>
        <v>43.5</v>
      </c>
      <c r="B526" s="427">
        <f>'OptiMaxx plus'!$T$7+A526</f>
        <v>72.5</v>
      </c>
      <c r="C526" s="428">
        <f t="shared" si="56"/>
        <v>522</v>
      </c>
      <c r="D526" s="429">
        <f>+'No Deducible 93'!AD545</f>
        <v>47724118.74735328</v>
      </c>
      <c r="E526" s="429">
        <f>+'Deducible 151'!AD545</f>
        <v>44580359.02706639</v>
      </c>
      <c r="F526" s="429">
        <f>+'Deducible 185'!AD545</f>
        <v>47724118.74735328</v>
      </c>
    </row>
    <row r="527" spans="1:6" x14ac:dyDescent="0.25">
      <c r="A527" s="426">
        <f t="shared" si="57"/>
        <v>43.583333333333336</v>
      </c>
      <c r="B527" s="427">
        <f>'OptiMaxx plus'!$T$7+A527</f>
        <v>72.58333333333334</v>
      </c>
      <c r="C527" s="428">
        <f t="shared" si="56"/>
        <v>523</v>
      </c>
      <c r="D527" s="429">
        <f>+'No Deducible 93'!AD546</f>
        <v>48065761.180698015</v>
      </c>
      <c r="E527" s="429">
        <f>+'Deducible 151'!AD546</f>
        <v>44892943.78843629</v>
      </c>
      <c r="F527" s="429">
        <f>+'Deducible 185'!AD546</f>
        <v>48065761.180698015</v>
      </c>
    </row>
    <row r="528" spans="1:6" x14ac:dyDescent="0.25">
      <c r="A528" s="426">
        <f t="shared" si="57"/>
        <v>43.666666666666664</v>
      </c>
      <c r="B528" s="427">
        <f>'OptiMaxx plus'!$T$7+A528</f>
        <v>72.66666666666666</v>
      </c>
      <c r="C528" s="428">
        <f t="shared" si="56"/>
        <v>524</v>
      </c>
      <c r="D528" s="429">
        <f>+'No Deducible 93'!AD547</f>
        <v>48409780.638872124</v>
      </c>
      <c r="E528" s="429">
        <f>+'Deducible 151'!AD547</f>
        <v>45207653.35499117</v>
      </c>
      <c r="F528" s="429">
        <f>+'Deducible 185'!AD547</f>
        <v>48409780.638872124</v>
      </c>
    </row>
    <row r="529" spans="1:6" x14ac:dyDescent="0.25">
      <c r="A529" s="426">
        <f t="shared" si="57"/>
        <v>43.75</v>
      </c>
      <c r="B529" s="427">
        <f>'OptiMaxx plus'!$T$7+A529</f>
        <v>72.75</v>
      </c>
      <c r="C529" s="428">
        <f t="shared" si="56"/>
        <v>525</v>
      </c>
      <c r="D529" s="429">
        <f>+'No Deducible 93'!AD548</f>
        <v>48738199.85269598</v>
      </c>
      <c r="E529" s="429">
        <f>+'Deducible 151'!AD548</f>
        <v>45508583.76222159</v>
      </c>
      <c r="F529" s="429">
        <f>+'Deducible 185'!AD548</f>
        <v>48738199.85269598</v>
      </c>
    </row>
    <row r="530" spans="1:6" x14ac:dyDescent="0.25">
      <c r="A530" s="426">
        <f t="shared" si="57"/>
        <v>43.833333333333336</v>
      </c>
      <c r="B530" s="427">
        <f>'OptiMaxx plus'!$T$7+A530</f>
        <v>72.83333333333334</v>
      </c>
      <c r="C530" s="428">
        <f t="shared" si="56"/>
        <v>526</v>
      </c>
      <c r="D530" s="429">
        <f>+'No Deducible 93'!AD549</f>
        <v>49086902.062011205</v>
      </c>
      <c r="E530" s="429">
        <f>+'Deducible 151'!AD549</f>
        <v>45827481.45308099</v>
      </c>
      <c r="F530" s="429">
        <f>+'Deducible 185'!AD549</f>
        <v>49086902.062011205</v>
      </c>
    </row>
    <row r="531" spans="1:6" x14ac:dyDescent="0.25">
      <c r="A531" s="426">
        <f t="shared" si="57"/>
        <v>43.916666666666664</v>
      </c>
      <c r="B531" s="427">
        <f>'OptiMaxx plus'!$T$7+A531</f>
        <v>72.91666666666666</v>
      </c>
      <c r="C531" s="428">
        <f t="shared" si="56"/>
        <v>527</v>
      </c>
      <c r="D531" s="429">
        <f>+'No Deducible 93'!AD550</f>
        <v>49438030.44794248</v>
      </c>
      <c r="E531" s="429">
        <f>+'Deducible 151'!AD550</f>
        <v>46148546.88598203</v>
      </c>
      <c r="F531" s="429">
        <f>+'Deducible 185'!AD550</f>
        <v>49438030.44794248</v>
      </c>
    </row>
    <row r="532" spans="1:6" x14ac:dyDescent="0.25">
      <c r="A532" s="426">
        <f t="shared" si="57"/>
        <v>44</v>
      </c>
      <c r="B532" s="427">
        <f>'OptiMaxx plus'!$T$7+A532</f>
        <v>73</v>
      </c>
      <c r="C532" s="428">
        <f t="shared" si="56"/>
        <v>528</v>
      </c>
      <c r="D532" s="429">
        <f>+'No Deducible 93'!AD551</f>
        <v>49773407.80768041</v>
      </c>
      <c r="E532" s="429">
        <f>+'Deducible 151'!AD551</f>
        <v>46455720.83927529</v>
      </c>
      <c r="F532" s="429">
        <f>+'Deducible 185'!AD551</f>
        <v>49773407.80768041</v>
      </c>
    </row>
    <row r="533" spans="1:6" x14ac:dyDescent="0.25">
      <c r="A533" s="426">
        <f t="shared" si="57"/>
        <v>44.083333333333336</v>
      </c>
      <c r="B533" s="427">
        <f>'OptiMaxx plus'!$T$7+A533</f>
        <v>73.08333333333334</v>
      </c>
      <c r="C533" s="428">
        <f t="shared" si="56"/>
        <v>529</v>
      </c>
      <c r="D533" s="429">
        <f>+'No Deducible 93'!AD552</f>
        <v>50129300.462657124</v>
      </c>
      <c r="E533" s="429">
        <f>+'Deducible 151'!AD552</f>
        <v>46781041.0500173</v>
      </c>
      <c r="F533" s="429">
        <f>+'Deducible 185'!AD552</f>
        <v>50129300.462657124</v>
      </c>
    </row>
    <row r="534" spans="1:6" x14ac:dyDescent="0.25">
      <c r="A534" s="426">
        <f t="shared" si="57"/>
        <v>44.166666666666664</v>
      </c>
      <c r="B534" s="427">
        <f>'OptiMaxx plus'!$T$7+A534</f>
        <v>73.16666666666666</v>
      </c>
      <c r="C534" s="428">
        <f t="shared" si="56"/>
        <v>530</v>
      </c>
      <c r="D534" s="429">
        <f>+'No Deducible 93'!AD553</f>
        <v>50487669.35603834</v>
      </c>
      <c r="E534" s="429">
        <f>+'Deducible 151'!AD553</f>
        <v>47108572.68519898</v>
      </c>
      <c r="F534" s="429">
        <f>+'Deducible 185'!AD553</f>
        <v>50487669.35603834</v>
      </c>
    </row>
    <row r="535" spans="1:6" x14ac:dyDescent="0.25">
      <c r="A535" s="426">
        <f t="shared" si="57"/>
        <v>44.25</v>
      </c>
      <c r="B535" s="427">
        <f>'OptiMaxx plus'!$T$7+A535</f>
        <v>73.25</v>
      </c>
      <c r="C535" s="428">
        <f t="shared" si="56"/>
        <v>531</v>
      </c>
      <c r="D535" s="429">
        <f>+'No Deducible 93'!AD554</f>
        <v>50830135.10783813</v>
      </c>
      <c r="E535" s="429">
        <f>+'Deducible 151'!AD554</f>
        <v>47422099.75065591</v>
      </c>
      <c r="F535" s="429">
        <f>+'Deducible 185'!AD554</f>
        <v>50830135.10783813</v>
      </c>
    </row>
    <row r="536" spans="1:6" x14ac:dyDescent="0.25">
      <c r="A536" s="426">
        <f t="shared" si="57"/>
        <v>44.333333333333336</v>
      </c>
      <c r="B536" s="427">
        <f>'OptiMaxx plus'!$T$7+A536</f>
        <v>73.33333333333334</v>
      </c>
      <c r="C536" s="428">
        <f t="shared" si="56"/>
        <v>532</v>
      </c>
      <c r="D536" s="429">
        <f>+'No Deducible 93'!AD555</f>
        <v>51193384.5333679</v>
      </c>
      <c r="E536" s="429">
        <f>+'Deducible 151'!AD555</f>
        <v>47753992.45805872</v>
      </c>
      <c r="F536" s="429">
        <f>+'Deducible 185'!AD555</f>
        <v>51193384.5333679</v>
      </c>
    </row>
    <row r="537" spans="1:6" x14ac:dyDescent="0.25">
      <c r="A537" s="426">
        <f t="shared" si="57"/>
        <v>44.416666666666664</v>
      </c>
      <c r="B537" s="427">
        <f>'OptiMaxx plus'!$T$7+A537</f>
        <v>73.41666666666666</v>
      </c>
      <c r="C537" s="428">
        <f t="shared" si="56"/>
        <v>533</v>
      </c>
      <c r="D537" s="429">
        <f>+'No Deducible 93'!AD556</f>
        <v>51559161.4174699</v>
      </c>
      <c r="E537" s="429">
        <f>+'Deducible 151'!AD556</f>
        <v>48088141.29266357</v>
      </c>
      <c r="F537" s="429">
        <f>+'Deducible 185'!AD556</f>
        <v>51559161.4174699</v>
      </c>
    </row>
    <row r="538" spans="1:6" x14ac:dyDescent="0.25">
      <c r="A538" s="426">
        <f t="shared" si="57"/>
        <v>44.5</v>
      </c>
      <c r="B538" s="427">
        <f>'OptiMaxx plus'!$T$7+A538</f>
        <v>73.5</v>
      </c>
      <c r="C538" s="428">
        <f t="shared" si="56"/>
        <v>534</v>
      </c>
      <c r="D538" s="429">
        <f>+'No Deducible 93'!AD557</f>
        <v>51908881.935679235</v>
      </c>
      <c r="E538" s="429">
        <f>+'Deducible 151'!AD557</f>
        <v>48408171.959419616</v>
      </c>
      <c r="F538" s="429">
        <f>+'Deducible 185'!AD557</f>
        <v>51908881.935679235</v>
      </c>
    </row>
    <row r="539" spans="1:6" x14ac:dyDescent="0.25">
      <c r="A539" s="426">
        <f t="shared" si="57"/>
        <v>44.583333333333336</v>
      </c>
      <c r="B539" s="427">
        <f>'OptiMaxx plus'!$T$7+A539</f>
        <v>73.58333333333334</v>
      </c>
      <c r="C539" s="428">
        <f t="shared" si="56"/>
        <v>535</v>
      </c>
      <c r="D539" s="429">
        <f>+'No Deducible 93'!AD558</f>
        <v>52279641.47988695</v>
      </c>
      <c r="E539" s="429">
        <f>+'Deducible 151'!AD558</f>
        <v>48746771.13981955</v>
      </c>
      <c r="F539" s="429">
        <f>+'Deducible 185'!AD558</f>
        <v>52279641.47988695</v>
      </c>
    </row>
    <row r="540" spans="1:6" x14ac:dyDescent="0.25">
      <c r="A540" s="426">
        <f t="shared" si="57"/>
        <v>44.666666666666664</v>
      </c>
      <c r="B540" s="427">
        <f>'OptiMaxx plus'!$T$7+A540</f>
        <v>73.66666666666666</v>
      </c>
      <c r="C540" s="428">
        <f t="shared" si="56"/>
        <v>536</v>
      </c>
      <c r="D540" s="429">
        <f>+'No Deducible 93'!AD559</f>
        <v>52652980.77081304</v>
      </c>
      <c r="E540" s="429">
        <f>+'Deducible 151'!AD559</f>
        <v>49087672.061664894</v>
      </c>
      <c r="F540" s="429">
        <f>+'Deducible 185'!AD559</f>
        <v>52652980.77081304</v>
      </c>
    </row>
    <row r="541" spans="1:6" x14ac:dyDescent="0.25">
      <c r="A541" s="426">
        <f t="shared" si="57"/>
        <v>44.75</v>
      </c>
      <c r="B541" s="427">
        <f>'OptiMaxx plus'!$T$7+A541</f>
        <v>73.75</v>
      </c>
      <c r="C541" s="428">
        <f t="shared" si="56"/>
        <v>537</v>
      </c>
      <c r="D541" s="429">
        <f>+'No Deducible 93'!AD560</f>
        <v>53010109.24580468</v>
      </c>
      <c r="E541" s="429">
        <f>+'Deducible 151'!AD560</f>
        <v>49414340.58489421</v>
      </c>
      <c r="F541" s="429">
        <f>+'Deducible 185'!AD560</f>
        <v>53010109.24580468</v>
      </c>
    </row>
    <row r="542" spans="1:6" x14ac:dyDescent="0.25">
      <c r="A542" s="426">
        <f t="shared" si="57"/>
        <v>44.833333333333336</v>
      </c>
      <c r="B542" s="427">
        <f>'OptiMaxx plus'!$T$7+A542</f>
        <v>73.83333333333334</v>
      </c>
      <c r="C542" s="428">
        <f t="shared" si="56"/>
        <v>538</v>
      </c>
      <c r="D542" s="429">
        <f>+'No Deducible 93'!AD561</f>
        <v>53388535.467486106</v>
      </c>
      <c r="E542" s="429">
        <f>+'Deducible 151'!AD561</f>
        <v>49759782.95748237</v>
      </c>
      <c r="F542" s="429">
        <f>+'Deducible 185'!AD561</f>
        <v>53388535.467486106</v>
      </c>
    </row>
    <row r="543" spans="1:6" x14ac:dyDescent="0.25">
      <c r="A543" s="426">
        <f t="shared" si="57"/>
        <v>44.916666666666664</v>
      </c>
      <c r="B543" s="427">
        <f>'OptiMaxx plus'!$T$7+A543</f>
        <v>73.91666666666666</v>
      </c>
      <c r="C543" s="428">
        <f t="shared" si="56"/>
        <v>539</v>
      </c>
      <c r="D543" s="429">
        <f>+'No Deducible 93'!AD562</f>
        <v>53769594.81437397</v>
      </c>
      <c r="E543" s="429">
        <f>+'Deducible 151'!AD562</f>
        <v>50107573.61590315</v>
      </c>
      <c r="F543" s="429">
        <f>+'Deducible 185'!AD562</f>
        <v>53769594.81437397</v>
      </c>
    </row>
    <row r="544" spans="1:6" x14ac:dyDescent="0.25">
      <c r="A544" s="426">
        <f t="shared" si="57"/>
        <v>45</v>
      </c>
      <c r="B544" s="427">
        <f>'OptiMaxx plus'!$T$7+A544</f>
        <v>74</v>
      </c>
      <c r="C544" s="428">
        <f t="shared" si="56"/>
        <v>540</v>
      </c>
      <c r="D544" s="429">
        <f>+'No Deducible 93'!AD563</f>
        <v>54134287.66600332</v>
      </c>
      <c r="E544" s="429">
        <f>+'Deducible 151'!AD563</f>
        <v>50441017.01592849</v>
      </c>
      <c r="F544" s="429">
        <f>+'Deducible 185'!AD563</f>
        <v>54134287.66600332</v>
      </c>
    </row>
    <row r="545" spans="1:6" x14ac:dyDescent="0.25">
      <c r="A545" s="426">
        <f t="shared" si="57"/>
        <v>45.083333333333336</v>
      </c>
      <c r="B545" s="427">
        <f>'OptiMaxx plus'!$T$7+A545</f>
        <v>74.08333333333334</v>
      </c>
      <c r="C545" s="428">
        <f t="shared" si="56"/>
        <v>541</v>
      </c>
      <c r="D545" s="429">
        <f>+'No Deducible 93'!AD564</f>
        <v>54520523.28286817</v>
      </c>
      <c r="E545" s="429">
        <f>+'Deducible 151'!AD564</f>
        <v>50793422.26385627</v>
      </c>
      <c r="F545" s="429">
        <f>+'Deducible 185'!AD564</f>
        <v>54520523.28286817</v>
      </c>
    </row>
    <row r="546" spans="1:6" x14ac:dyDescent="0.25">
      <c r="A546" s="426">
        <f t="shared" si="57"/>
        <v>45.166666666666664</v>
      </c>
      <c r="B546" s="427">
        <f>'OptiMaxx plus'!$T$7+A546</f>
        <v>74.16666666666666</v>
      </c>
      <c r="C546" s="428">
        <f t="shared" si="56"/>
        <v>542</v>
      </c>
      <c r="D546" s="429">
        <f>+'No Deducible 93'!AD565</f>
        <v>54909446.39734754</v>
      </c>
      <c r="E546" s="429">
        <f>+'Deducible 151'!AD565</f>
        <v>51148223.15621731</v>
      </c>
      <c r="F546" s="429">
        <f>+'Deducible 185'!AD565</f>
        <v>54909446.39734754</v>
      </c>
    </row>
    <row r="547" spans="1:6" x14ac:dyDescent="0.25">
      <c r="A547" s="426">
        <f t="shared" si="57"/>
        <v>45.25</v>
      </c>
      <c r="B547" s="427">
        <f>'OptiMaxx plus'!$T$7+A547</f>
        <v>74.25</v>
      </c>
      <c r="C547" s="428">
        <f t="shared" si="56"/>
        <v>543</v>
      </c>
      <c r="D547" s="429">
        <f>+'No Deducible 93'!AD566</f>
        <v>55281845.98449998</v>
      </c>
      <c r="E547" s="429">
        <f>+'Deducible 151'!AD566</f>
        <v>51488561.169364996</v>
      </c>
      <c r="F547" s="429">
        <f>+'Deducible 185'!AD566</f>
        <v>55281845.98449998</v>
      </c>
    </row>
    <row r="548" spans="1:6" x14ac:dyDescent="0.25">
      <c r="A548" s="426">
        <f t="shared" si="57"/>
        <v>45.333333333333336</v>
      </c>
      <c r="B548" s="427">
        <f>'OptiMaxx plus'!$T$7+A548</f>
        <v>74.33333333333334</v>
      </c>
      <c r="C548" s="428">
        <f t="shared" si="56"/>
        <v>544</v>
      </c>
      <c r="D548" s="429">
        <f>+'No Deducible 93'!AD567</f>
        <v>55676070.939120464</v>
      </c>
      <c r="E548" s="429">
        <f>+'Deducible 151'!AD567</f>
        <v>51848091.09497319</v>
      </c>
      <c r="F548" s="429">
        <f>+'Deducible 185'!AD567</f>
        <v>55676070.939120464</v>
      </c>
    </row>
    <row r="549" spans="1:6" x14ac:dyDescent="0.25">
      <c r="A549" s="426">
        <f t="shared" si="57"/>
        <v>45.416666666666664</v>
      </c>
      <c r="B549" s="427">
        <f>'OptiMaxx plus'!$T$7+A549</f>
        <v>74.41666666666666</v>
      </c>
      <c r="C549" s="428">
        <f t="shared" si="56"/>
        <v>545</v>
      </c>
      <c r="D549" s="429">
        <f>+'No Deducible 93'!AD568</f>
        <v>56073039.01699548</v>
      </c>
      <c r="E549" s="429">
        <f>+'Deducible 151'!AD568</f>
        <v>52210065.12444305</v>
      </c>
      <c r="F549" s="429">
        <f>+'Deducible 185'!AD568</f>
        <v>56073039.01699548</v>
      </c>
    </row>
    <row r="550" spans="1:6" x14ac:dyDescent="0.25">
      <c r="A550" s="426">
        <f t="shared" si="57"/>
        <v>45.5</v>
      </c>
      <c r="B550" s="427">
        <f>'OptiMaxx plus'!$T$7+A550</f>
        <v>74.5</v>
      </c>
      <c r="C550" s="428">
        <f t="shared" si="56"/>
        <v>546</v>
      </c>
      <c r="D550" s="429">
        <f>+'No Deducible 93'!AD569</f>
        <v>56453325.41717976</v>
      </c>
      <c r="E550" s="429">
        <f>+'Deducible 151'!AD569</f>
        <v>52557460.165951215</v>
      </c>
      <c r="F550" s="429">
        <f>+'Deducible 185'!AD569</f>
        <v>56453325.41717976</v>
      </c>
    </row>
    <row r="551" spans="1:6" x14ac:dyDescent="0.25">
      <c r="A551" s="426">
        <f t="shared" si="57"/>
        <v>45.583333333333336</v>
      </c>
      <c r="B551" s="427">
        <f>'OptiMaxx plus'!$T$7+A551</f>
        <v>74.58333333333334</v>
      </c>
      <c r="C551" s="428">
        <f t="shared" si="56"/>
        <v>547</v>
      </c>
      <c r="D551" s="429">
        <f>+'No Deducible 93'!AD570</f>
        <v>56855706.3027624</v>
      </c>
      <c r="E551" s="429">
        <f>+'Deducible 151'!AD570</f>
        <v>52924260.05088188</v>
      </c>
      <c r="F551" s="429">
        <f>+'Deducible 185'!AD570</f>
        <v>56855706.3027624</v>
      </c>
    </row>
    <row r="552" spans="1:6" x14ac:dyDescent="0.25">
      <c r="A552" s="426">
        <f t="shared" si="57"/>
        <v>45.666666666666664</v>
      </c>
      <c r="B552" s="427">
        <f>'OptiMaxx plus'!$T$7+A552</f>
        <v>74.66666666666666</v>
      </c>
      <c r="C552" s="428">
        <f t="shared" si="56"/>
        <v>548</v>
      </c>
      <c r="D552" s="429">
        <f>+'No Deducible 93'!AD571</f>
        <v>57260887.097475015</v>
      </c>
      <c r="E552" s="429">
        <f>+'Deducible 151'!AD571</f>
        <v>53293553.48750673</v>
      </c>
      <c r="F552" s="429">
        <f>+'Deducible 185'!AD571</f>
        <v>57260887.097475015</v>
      </c>
    </row>
    <row r="553" spans="1:6" x14ac:dyDescent="0.25">
      <c r="A553" s="426">
        <f t="shared" si="57"/>
        <v>45.75</v>
      </c>
      <c r="B553" s="427">
        <f>'OptiMaxx plus'!$T$7+A553</f>
        <v>74.75</v>
      </c>
      <c r="C553" s="428">
        <f t="shared" si="56"/>
        <v>549</v>
      </c>
      <c r="D553" s="429">
        <f>+'No Deducible 93'!AD572</f>
        <v>57649226.825219415</v>
      </c>
      <c r="E553" s="429">
        <f>+'Deducible 151'!AD572</f>
        <v>53648151.21069454</v>
      </c>
      <c r="F553" s="429">
        <f>+'Deducible 185'!AD572</f>
        <v>57649226.825219415</v>
      </c>
    </row>
    <row r="554" spans="1:6" x14ac:dyDescent="0.25">
      <c r="A554" s="426">
        <f t="shared" si="57"/>
        <v>45.833333333333336</v>
      </c>
      <c r="B554" s="427">
        <f>'OptiMaxx plus'!$T$7+A554</f>
        <v>74.83333333333334</v>
      </c>
      <c r="C554" s="428">
        <f t="shared" si="56"/>
        <v>550</v>
      </c>
      <c r="D554" s="429">
        <f>+'No Deducible 93'!AD573</f>
        <v>58059933.723621376</v>
      </c>
      <c r="E554" s="429">
        <f>+'Deducible 151'!AD573</f>
        <v>54022369.3113811</v>
      </c>
      <c r="F554" s="429">
        <f>+'Deducible 185'!AD573</f>
        <v>58059933.723621376</v>
      </c>
    </row>
    <row r="555" spans="1:6" x14ac:dyDescent="0.25">
      <c r="A555" s="426">
        <f t="shared" si="57"/>
        <v>45.916666666666664</v>
      </c>
      <c r="B555" s="427">
        <f>'OptiMaxx plus'!$T$7+A555</f>
        <v>74.91666666666666</v>
      </c>
      <c r="C555" s="428">
        <f t="shared" si="56"/>
        <v>551</v>
      </c>
      <c r="D555" s="429">
        <f>+'No Deducible 93'!AD574</f>
        <v>58473498.50156397</v>
      </c>
      <c r="E555" s="429">
        <f>+'Deducible 151'!AD574</f>
        <v>54399131.42023957</v>
      </c>
      <c r="F555" s="429">
        <f>+'Deducible 185'!AD574</f>
        <v>58473498.50156397</v>
      </c>
    </row>
    <row r="556" spans="1:6" x14ac:dyDescent="0.25">
      <c r="A556" s="426">
        <f t="shared" si="57"/>
        <v>46</v>
      </c>
      <c r="B556" s="427">
        <f>'OptiMaxx plus'!$T$7+A556</f>
        <v>75</v>
      </c>
      <c r="C556" s="428">
        <f t="shared" si="56"/>
        <v>552</v>
      </c>
      <c r="D556" s="429">
        <f>+'No Deducible 93'!AD575</f>
        <v>58870061.581534624</v>
      </c>
      <c r="E556" s="429">
        <f>+'Deducible 151'!AD575</f>
        <v>54761080.478076816</v>
      </c>
      <c r="F556" s="429">
        <f>+'Deducible 185'!AD575</f>
        <v>58870061.581534624</v>
      </c>
    </row>
    <row r="557" spans="1:6" x14ac:dyDescent="0.25">
      <c r="A557" s="426">
        <f t="shared" si="57"/>
        <v>46.083333333333336</v>
      </c>
      <c r="B557" s="427">
        <f>'OptiMaxx plus'!$T$7+A557</f>
        <v>75.08333333333334</v>
      </c>
      <c r="C557" s="428">
        <f t="shared" si="56"/>
        <v>553</v>
      </c>
      <c r="D557" s="429">
        <f>+'No Deducible 93'!AD576</f>
        <v>59289250.33258258</v>
      </c>
      <c r="E557" s="429">
        <f>+'Deducible 151'!AD576</f>
        <v>55142847.45820606</v>
      </c>
      <c r="F557" s="429">
        <f>+'Deducible 185'!AD576</f>
        <v>59289250.33258258</v>
      </c>
    </row>
    <row r="558" spans="1:6" x14ac:dyDescent="0.25">
      <c r="A558" s="426">
        <f t="shared" si="57"/>
        <v>46.166666666666664</v>
      </c>
      <c r="B558" s="427">
        <f>'OptiMaxx plus'!$T$7+A558</f>
        <v>75.16666666666666</v>
      </c>
      <c r="C558" s="428">
        <f t="shared" si="56"/>
        <v>554</v>
      </c>
      <c r="D558" s="429">
        <f>+'No Deducible 93'!AD577</f>
        <v>59711356.01890206</v>
      </c>
      <c r="E558" s="429">
        <f>+'Deducible 151'!AD577</f>
        <v>55527209.79191127</v>
      </c>
      <c r="F558" s="429">
        <f>+'Deducible 185'!AD577</f>
        <v>59711356.01890206</v>
      </c>
    </row>
    <row r="559" spans="1:6" x14ac:dyDescent="0.25">
      <c r="A559" s="426">
        <f t="shared" si="57"/>
        <v>46.25</v>
      </c>
      <c r="B559" s="427">
        <f>'OptiMaxx plus'!$T$7+A559</f>
        <v>75.25</v>
      </c>
      <c r="C559" s="428">
        <f t="shared" si="56"/>
        <v>555</v>
      </c>
      <c r="D559" s="429">
        <f>+'No Deducible 93'!AD578</f>
        <v>60116298.00702013</v>
      </c>
      <c r="E559" s="429">
        <f>+'Deducible 151'!AD578</f>
        <v>55896640.98845397</v>
      </c>
      <c r="F559" s="429">
        <f>+'Deducible 185'!AD578</f>
        <v>60116298.00702013</v>
      </c>
    </row>
    <row r="560" spans="1:6" x14ac:dyDescent="0.25">
      <c r="A560" s="426">
        <f t="shared" si="57"/>
        <v>46.333333333333336</v>
      </c>
      <c r="B560" s="427">
        <f>'OptiMaxx plus'!$T$7+A560</f>
        <v>75.33333333333334</v>
      </c>
      <c r="C560" s="428">
        <f t="shared" si="56"/>
        <v>556</v>
      </c>
      <c r="D560" s="429">
        <f>+'No Deducible 93'!AD579</f>
        <v>60544163.32030904</v>
      </c>
      <c r="E560" s="429">
        <f>+'Deducible 151'!AD579</f>
        <v>56286131.44296805</v>
      </c>
      <c r="F560" s="429">
        <f>+'Deducible 185'!AD579</f>
        <v>60544163.32030904</v>
      </c>
    </row>
    <row r="561" spans="1:6" x14ac:dyDescent="0.25">
      <c r="A561" s="426">
        <f t="shared" si="57"/>
        <v>46.416666666666664</v>
      </c>
      <c r="B561" s="427">
        <f>'OptiMaxx plus'!$T$7+A561</f>
        <v>75.41666666666666</v>
      </c>
      <c r="C561" s="428">
        <f t="shared" si="56"/>
        <v>557</v>
      </c>
      <c r="D561" s="429">
        <f>+'No Deducible 93'!AD580</f>
        <v>60975005.980691105</v>
      </c>
      <c r="E561" s="429">
        <f>+'Deducible 151'!AD580</f>
        <v>56678269.78433367</v>
      </c>
      <c r="F561" s="429">
        <f>+'Deducible 185'!AD580</f>
        <v>60975005.980691105</v>
      </c>
    </row>
    <row r="562" spans="1:6" x14ac:dyDescent="0.25">
      <c r="A562" s="426">
        <f t="shared" si="57"/>
        <v>46.5</v>
      </c>
      <c r="B562" s="427">
        <f>'OptiMaxx plus'!$T$7+A562</f>
        <v>75.5</v>
      </c>
      <c r="C562" s="428">
        <f t="shared" si="56"/>
        <v>558</v>
      </c>
      <c r="D562" s="429">
        <f>+'No Deducible 93'!AD581</f>
        <v>61388521.81816512</v>
      </c>
      <c r="E562" s="429">
        <f>+'Deducible 151'!AD581</f>
        <v>57055358.43874765</v>
      </c>
      <c r="F562" s="429">
        <f>+'Deducible 185'!AD581</f>
        <v>61388521.81816512</v>
      </c>
    </row>
    <row r="563" spans="1:6" x14ac:dyDescent="0.25">
      <c r="A563" s="426">
        <f t="shared" si="57"/>
        <v>46.583333333333336</v>
      </c>
      <c r="B563" s="427">
        <f>'OptiMaxx plus'!$T$7+A563</f>
        <v>75.58333333333334</v>
      </c>
      <c r="C563" s="428">
        <f t="shared" si="56"/>
        <v>559</v>
      </c>
      <c r="D563" s="429">
        <f>+'No Deducible 93'!AD582</f>
        <v>61825244.67914084</v>
      </c>
      <c r="E563" s="429">
        <f>+'Deducible 151'!AD582</f>
        <v>57452729.91097696</v>
      </c>
      <c r="F563" s="429">
        <f>+'Deducible 185'!AD582</f>
        <v>61825244.67914084</v>
      </c>
    </row>
    <row r="564" spans="1:6" x14ac:dyDescent="0.25">
      <c r="A564" s="426">
        <f t="shared" si="57"/>
        <v>46.666666666666664</v>
      </c>
      <c r="B564" s="427">
        <f>'OptiMaxx plus'!$T$7+A564</f>
        <v>75.66666666666666</v>
      </c>
      <c r="C564" s="428">
        <f t="shared" si="56"/>
        <v>560</v>
      </c>
      <c r="D564" s="429">
        <f>+'No Deducible 93'!AD583</f>
        <v>62265006.55951463</v>
      </c>
      <c r="E564" s="429">
        <f>+'Deducible 151'!AD583</f>
        <v>57852802.875168435</v>
      </c>
      <c r="F564" s="429">
        <f>+'Deducible 185'!AD583</f>
        <v>62265006.55951463</v>
      </c>
    </row>
    <row r="565" spans="1:6" x14ac:dyDescent="0.25">
      <c r="A565" s="426">
        <f t="shared" si="57"/>
        <v>46.75</v>
      </c>
      <c r="B565" s="427">
        <f>'OptiMaxx plus'!$T$7+A565</f>
        <v>75.75</v>
      </c>
      <c r="C565" s="428">
        <f t="shared" si="56"/>
        <v>561</v>
      </c>
      <c r="D565" s="429">
        <f>+'No Deducible 93'!AD584</f>
        <v>62687277.24329622</v>
      </c>
      <c r="E565" s="429">
        <f>+'Deducible 151'!AD584</f>
        <v>58237707.00591749</v>
      </c>
      <c r="F565" s="429">
        <f>+'Deducible 185'!AD584</f>
        <v>62687277.24329622</v>
      </c>
    </row>
    <row r="566" spans="1:6" x14ac:dyDescent="0.25">
      <c r="A566" s="426">
        <f t="shared" si="57"/>
        <v>46.833333333333336</v>
      </c>
      <c r="B566" s="427">
        <f>'OptiMaxx plus'!$T$7+A566</f>
        <v>75.83333333333334</v>
      </c>
      <c r="C566" s="428">
        <f t="shared" si="56"/>
        <v>562</v>
      </c>
      <c r="D566" s="429">
        <f>+'No Deducible 93'!AD585</f>
        <v>63133042.42814128</v>
      </c>
      <c r="E566" s="429">
        <f>+'Deducible 151'!AD585</f>
        <v>58643120.265560724</v>
      </c>
      <c r="F566" s="429">
        <f>+'Deducible 185'!AD585</f>
        <v>63133042.42814128</v>
      </c>
    </row>
    <row r="567" spans="1:6" x14ac:dyDescent="0.25">
      <c r="A567" s="426">
        <f t="shared" si="57"/>
        <v>46.916666666666664</v>
      </c>
      <c r="B567" s="427">
        <f>'OptiMaxx plus'!$T$7+A567</f>
        <v>75.91666666666666</v>
      </c>
      <c r="C567" s="428">
        <f t="shared" si="56"/>
        <v>563</v>
      </c>
      <c r="D567" s="429">
        <f>+'No Deducible 93'!AD586</f>
        <v>63581909.5915767</v>
      </c>
      <c r="E567" s="429">
        <f>+'Deducible 151'!AD586</f>
        <v>59051289.716064654</v>
      </c>
      <c r="F567" s="429">
        <f>+'Deducible 185'!AD586</f>
        <v>63581909.5915767</v>
      </c>
    </row>
    <row r="568" spans="1:6" x14ac:dyDescent="0.25">
      <c r="A568" s="426">
        <f t="shared" si="57"/>
        <v>47</v>
      </c>
      <c r="B568" s="427">
        <f>'OptiMaxx plus'!$T$7+A568</f>
        <v>76</v>
      </c>
      <c r="C568" s="428">
        <f>+C567+1</f>
        <v>564</v>
      </c>
      <c r="D568" s="429">
        <f>+'No Deducible 93'!AD587</f>
        <v>64013119.933797166</v>
      </c>
      <c r="E568" s="429">
        <f>+'Deducible 151'!AD587</f>
        <v>59444170.59564978</v>
      </c>
      <c r="F568" s="429">
        <f>+'Deducible 185'!AD587</f>
        <v>64013119.933797166</v>
      </c>
    </row>
  </sheetData>
  <mergeCells count="16">
    <mergeCell ref="A2:F2"/>
    <mergeCell ref="H2:K2"/>
    <mergeCell ref="M2:R2"/>
    <mergeCell ref="T2:W2"/>
    <mergeCell ref="AB1:AB3"/>
    <mergeCell ref="AI13:AN17"/>
    <mergeCell ref="AO13:AS17"/>
    <mergeCell ref="AT13:AX17"/>
    <mergeCell ref="AI19:AN23"/>
    <mergeCell ref="AO19:AS22"/>
    <mergeCell ref="AT19:AX23"/>
    <mergeCell ref="AY19:BC23"/>
    <mergeCell ref="BD19:BH23"/>
    <mergeCell ref="BI19:BJ23"/>
    <mergeCell ref="AI25:AN32"/>
    <mergeCell ref="AO25:AS28"/>
  </mergeCells>
  <pageMargins left="0.75" right="0.75" top="1" bottom="1" header="0" footer="0"/>
  <pageSetup orientation="portrait" horizontalDpi="4294967295" verticalDpi="4294967295" scale="100" fitToWidth="1" fitToHeight="1" firstPageNumber="1" useFirstPageNumber="1" copies="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
  <sheetViews>
    <sheetView workbookViewId="0" zoomScale="100" zoomScaleNormal="100">
      <selection activeCell="T12" sqref="T12"/>
    </sheetView>
  </sheetViews>
  <sheetFormatPr defaultRowHeight="12.75" outlineLevelRow="0" outlineLevelCol="0" x14ac:dyDescent="0" customHeight="1"/>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
  <sheetViews>
    <sheetView workbookViewId="0" zoomScale="100" zoomScaleNormal="100"/>
  </sheetViews>
  <sheetFormatPr defaultRowHeight="12.75" outlineLevelRow="0" outlineLevelCol="0" x14ac:dyDescent="0"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OptiMaxx plus</vt:lpstr>
      <vt:lpstr>No Deducible 93</vt:lpstr>
      <vt:lpstr>Deducible 151</vt:lpstr>
      <vt:lpstr>Deducible 185</vt:lpstr>
      <vt:lpstr>Bono</vt:lpstr>
      <vt:lpstr>Resumen</vt:lpstr>
      <vt:lpstr>Hoja1</vt:lpstr>
      <vt:lpstr>Hoja2</vt:lpstr>
    </vt:vector>
  </TitlesOfParts>
  <Company>Allianz México S.A. de C.V.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J_DECASO</dc:creator>
  <cp:lastModifiedBy>Martin</cp:lastModifiedBy>
  <cp:lastPrinted>2019-03-01T19:50:56Z</cp:lastPrinted>
  <dcterms:created xsi:type="dcterms:W3CDTF">2010-04-28T22:15:15Z</dcterms:created>
  <dcterms:modified xsi:type="dcterms:W3CDTF">2022-11-28T18:09:59Z</dcterms:modified>
</cp:coreProperties>
</file>